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5D34EEB-F87E-497C-A93C-C211B752B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5" r:id="rId1"/>
    <sheet name="Graphs" sheetId="9" r:id="rId2"/>
    <sheet name="A (old)" sheetId="1" r:id="rId3"/>
    <sheet name="Q_fit" sheetId="8" r:id="rId4"/>
    <sheet name="A (2)" sheetId="3" r:id="rId5"/>
    <sheet name="A (4)" sheetId="6" r:id="rId6"/>
    <sheet name="Sheet1" sheetId="4" r:id="rId7"/>
    <sheet name="BAV" sheetId="7" r:id="rId8"/>
  </sheets>
  <definedNames>
    <definedName name="solver_adj" localSheetId="4" hidden="1">'A (2)'!$E$11:$E$13</definedName>
    <definedName name="solver_adj" localSheetId="5" hidden="1">'A (4)'!$E$11:$E$13</definedName>
    <definedName name="solver_adj" localSheetId="2" hidden="1">'A (old)'!$E$11:$E$13</definedName>
    <definedName name="solver_adj" localSheetId="0" hidden="1">Active!$E$11:$E$13</definedName>
    <definedName name="solver_cvg" localSheetId="4" hidden="1">0.0001</definedName>
    <definedName name="solver_cvg" localSheetId="5" hidden="1">0.0001</definedName>
    <definedName name="solver_cvg" localSheetId="2" hidden="1">0.0001</definedName>
    <definedName name="solver_cvg" localSheetId="0" hidden="1">0.0001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drv" localSheetId="0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est" localSheetId="0" hidden="1">1</definedName>
    <definedName name="solver_itr" localSheetId="4" hidden="1">100</definedName>
    <definedName name="solver_itr" localSheetId="5" hidden="1">100</definedName>
    <definedName name="solver_itr" localSheetId="2" hidden="1">100</definedName>
    <definedName name="solver_itr" localSheetId="0" hidden="1">100</definedName>
    <definedName name="solver_lin" localSheetId="4" hidden="1">2</definedName>
    <definedName name="solver_lin" localSheetId="5" hidden="1">2</definedName>
    <definedName name="solver_lin" localSheetId="2" hidden="1">2</definedName>
    <definedName name="solver_lin" localSheetId="0" hidden="1">2</definedName>
    <definedName name="solver_neg" localSheetId="4" hidden="1">2</definedName>
    <definedName name="solver_neg" localSheetId="5" hidden="1">2</definedName>
    <definedName name="solver_neg" localSheetId="2" hidden="1">2</definedName>
    <definedName name="solver_neg" localSheetId="0" hidden="1">2</definedName>
    <definedName name="solver_num" localSheetId="4" hidden="1">0</definedName>
    <definedName name="solver_num" localSheetId="5" hidden="1">0</definedName>
    <definedName name="solver_num" localSheetId="2" hidden="1">0</definedName>
    <definedName name="solver_num" localSheetId="0" hidden="1">0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nwt" localSheetId="0" hidden="1">1</definedName>
    <definedName name="solver_opt" localSheetId="4" hidden="1">'A (2)'!$E$14</definedName>
    <definedName name="solver_opt" localSheetId="5" hidden="1">'A (4)'!$E$14</definedName>
    <definedName name="solver_opt" localSheetId="2" hidden="1">'A (old)'!$E$14</definedName>
    <definedName name="solver_opt" localSheetId="0" hidden="1">Active!$E$14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pre" localSheetId="0" hidden="1">0.000001</definedName>
    <definedName name="solver_scl" localSheetId="4" hidden="1">2</definedName>
    <definedName name="solver_scl" localSheetId="5" hidden="1">2</definedName>
    <definedName name="solver_scl" localSheetId="2" hidden="1">2</definedName>
    <definedName name="solver_scl" localSheetId="0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ho" localSheetId="0" hidden="1">2</definedName>
    <definedName name="solver_tim" localSheetId="4" hidden="1">100</definedName>
    <definedName name="solver_tim" localSheetId="5" hidden="1">100</definedName>
    <definedName name="solver_tim" localSheetId="2" hidden="1">100</definedName>
    <definedName name="solver_tim" localSheetId="0" hidden="1">100</definedName>
    <definedName name="solver_tol" localSheetId="4" hidden="1">0.05</definedName>
    <definedName name="solver_tol" localSheetId="5" hidden="1">0.05</definedName>
    <definedName name="solver_tol" localSheetId="2" hidden="1">0.05</definedName>
    <definedName name="solver_tol" localSheetId="0" hidden="1">0.05</definedName>
    <definedName name="solver_typ" localSheetId="4" hidden="1">2</definedName>
    <definedName name="solver_typ" localSheetId="5" hidden="1">2</definedName>
    <definedName name="solver_typ" localSheetId="2" hidden="1">2</definedName>
    <definedName name="solver_typ" localSheetId="0" hidden="1">2</definedName>
    <definedName name="solver_val" localSheetId="4" hidden="1">0</definedName>
    <definedName name="solver_val" localSheetId="5" hidden="1">0</definedName>
    <definedName name="solver_val" localSheetId="2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04" i="5" l="1"/>
  <c r="F204" i="5"/>
  <c r="G204" i="5" s="1"/>
  <c r="Q204" i="5"/>
  <c r="E202" i="5"/>
  <c r="F202" i="5" s="1"/>
  <c r="Q202" i="5"/>
  <c r="E203" i="5"/>
  <c r="F203" i="5"/>
  <c r="G203" i="5" s="1"/>
  <c r="Q203" i="5"/>
  <c r="E201" i="5"/>
  <c r="F201" i="5" s="1"/>
  <c r="G201" i="5" s="1"/>
  <c r="Q201" i="5"/>
  <c r="D9" i="5"/>
  <c r="C9" i="5"/>
  <c r="E200" i="5"/>
  <c r="F200" i="5" s="1"/>
  <c r="G200" i="5" s="1"/>
  <c r="D11" i="5"/>
  <c r="P204" i="5" s="1"/>
  <c r="R204" i="5" s="1"/>
  <c r="T204" i="5" s="1"/>
  <c r="D12" i="5"/>
  <c r="P196" i="5" s="1"/>
  <c r="U196" i="5" s="1"/>
  <c r="Q200" i="5"/>
  <c r="E199" i="5"/>
  <c r="F199" i="5" s="1"/>
  <c r="D13" i="5"/>
  <c r="Q199" i="5"/>
  <c r="B10" i="8"/>
  <c r="A9" i="8"/>
  <c r="C9" i="8" s="1"/>
  <c r="B15" i="8" s="1"/>
  <c r="D21" i="8"/>
  <c r="J21" i="8" s="1"/>
  <c r="H21" i="8"/>
  <c r="I21" i="8"/>
  <c r="F21" i="8"/>
  <c r="L21" i="8"/>
  <c r="G16" i="8"/>
  <c r="G15" i="8" s="1"/>
  <c r="E21" i="8"/>
  <c r="K21" i="8" s="1"/>
  <c r="G21" i="8"/>
  <c r="E22" i="8"/>
  <c r="G22" i="8" s="1"/>
  <c r="E23" i="8"/>
  <c r="G23" i="8" s="1"/>
  <c r="E24" i="8"/>
  <c r="G24" i="8"/>
  <c r="E25" i="8"/>
  <c r="G25" i="8"/>
  <c r="E26" i="8"/>
  <c r="G26" i="8" s="1"/>
  <c r="E27" i="8"/>
  <c r="G27" i="8" s="1"/>
  <c r="E28" i="8"/>
  <c r="G28" i="8"/>
  <c r="E29" i="8"/>
  <c r="G29" i="8"/>
  <c r="E30" i="8"/>
  <c r="G30" i="8" s="1"/>
  <c r="E31" i="8"/>
  <c r="G31" i="8" s="1"/>
  <c r="E32" i="8"/>
  <c r="G32" i="8"/>
  <c r="E33" i="8"/>
  <c r="G33" i="8"/>
  <c r="E34" i="8"/>
  <c r="G34" i="8" s="1"/>
  <c r="E35" i="8"/>
  <c r="G35" i="8" s="1"/>
  <c r="E36" i="8"/>
  <c r="G36" i="8"/>
  <c r="E37" i="8"/>
  <c r="G37" i="8"/>
  <c r="E38" i="8"/>
  <c r="G38" i="8" s="1"/>
  <c r="E39" i="8"/>
  <c r="G39" i="8" s="1"/>
  <c r="E40" i="8"/>
  <c r="G40" i="8"/>
  <c r="E41" i="8"/>
  <c r="G41" i="8"/>
  <c r="E42" i="8"/>
  <c r="G42" i="8" s="1"/>
  <c r="E43" i="8"/>
  <c r="G43" i="8" s="1"/>
  <c r="E44" i="8"/>
  <c r="G44" i="8"/>
  <c r="E45" i="8"/>
  <c r="G45" i="8"/>
  <c r="E46" i="8"/>
  <c r="G46" i="8" s="1"/>
  <c r="E47" i="8"/>
  <c r="G47" i="8" s="1"/>
  <c r="E48" i="8"/>
  <c r="G48" i="8"/>
  <c r="E49" i="8"/>
  <c r="G49" i="8"/>
  <c r="E50" i="8"/>
  <c r="G50" i="8" s="1"/>
  <c r="E51" i="8"/>
  <c r="G51" i="8" s="1"/>
  <c r="E52" i="8"/>
  <c r="G52" i="8"/>
  <c r="E53" i="8"/>
  <c r="G53" i="8"/>
  <c r="E54" i="8"/>
  <c r="G54" i="8" s="1"/>
  <c r="E55" i="8"/>
  <c r="G55" i="8" s="1"/>
  <c r="E56" i="8"/>
  <c r="G56" i="8"/>
  <c r="E57" i="8"/>
  <c r="G57" i="8"/>
  <c r="E58" i="8"/>
  <c r="G58" i="8" s="1"/>
  <c r="E59" i="8"/>
  <c r="G59" i="8" s="1"/>
  <c r="E60" i="8"/>
  <c r="G60" i="8"/>
  <c r="E61" i="8"/>
  <c r="G61" i="8"/>
  <c r="E62" i="8"/>
  <c r="G62" i="8" s="1"/>
  <c r="E63" i="8"/>
  <c r="G63" i="8" s="1"/>
  <c r="E64" i="8"/>
  <c r="G64" i="8"/>
  <c r="E65" i="8"/>
  <c r="G65" i="8"/>
  <c r="E66" i="8"/>
  <c r="G66" i="8" s="1"/>
  <c r="E67" i="8"/>
  <c r="G67" i="8" s="1"/>
  <c r="E68" i="8"/>
  <c r="G68" i="8"/>
  <c r="E69" i="8"/>
  <c r="G69" i="8"/>
  <c r="E70" i="8"/>
  <c r="G70" i="8" s="1"/>
  <c r="E71" i="8"/>
  <c r="G71" i="8" s="1"/>
  <c r="E72" i="8"/>
  <c r="G72" i="8"/>
  <c r="E73" i="8"/>
  <c r="G73" i="8"/>
  <c r="E74" i="8"/>
  <c r="G74" i="8" s="1"/>
  <c r="E75" i="8"/>
  <c r="G75" i="8" s="1"/>
  <c r="E76" i="8"/>
  <c r="G76" i="8"/>
  <c r="E77" i="8"/>
  <c r="G77" i="8"/>
  <c r="E78" i="8"/>
  <c r="G78" i="8" s="1"/>
  <c r="E79" i="8"/>
  <c r="G79" i="8" s="1"/>
  <c r="E80" i="8"/>
  <c r="G80" i="8"/>
  <c r="E81" i="8"/>
  <c r="G81" i="8"/>
  <c r="E82" i="8"/>
  <c r="G82" i="8" s="1"/>
  <c r="E83" i="8"/>
  <c r="G83" i="8" s="1"/>
  <c r="E84" i="8"/>
  <c r="G84" i="8"/>
  <c r="E85" i="8"/>
  <c r="G85" i="8"/>
  <c r="E86" i="8"/>
  <c r="G86" i="8" s="1"/>
  <c r="E87" i="8"/>
  <c r="G87" i="8" s="1"/>
  <c r="E88" i="8"/>
  <c r="G88" i="8"/>
  <c r="E89" i="8"/>
  <c r="G89" i="8"/>
  <c r="E90" i="8"/>
  <c r="G90" i="8" s="1"/>
  <c r="E91" i="8"/>
  <c r="G91" i="8" s="1"/>
  <c r="E92" i="8"/>
  <c r="G92" i="8"/>
  <c r="E93" i="8"/>
  <c r="G93" i="8"/>
  <c r="E94" i="8"/>
  <c r="G94" i="8" s="1"/>
  <c r="E95" i="8"/>
  <c r="G95" i="8" s="1"/>
  <c r="E96" i="8"/>
  <c r="G96" i="8"/>
  <c r="E97" i="8"/>
  <c r="G97" i="8"/>
  <c r="E98" i="8"/>
  <c r="G98" i="8" s="1"/>
  <c r="E99" i="8"/>
  <c r="G99" i="8" s="1"/>
  <c r="E100" i="8"/>
  <c r="G100" i="8"/>
  <c r="E101" i="8"/>
  <c r="G101" i="8"/>
  <c r="E102" i="8"/>
  <c r="G102" i="8" s="1"/>
  <c r="E103" i="8"/>
  <c r="G103" i="8" s="1"/>
  <c r="E104" i="8"/>
  <c r="G104" i="8"/>
  <c r="E105" i="8"/>
  <c r="G105" i="8"/>
  <c r="E106" i="8"/>
  <c r="G106" i="8" s="1"/>
  <c r="E107" i="8"/>
  <c r="G107" i="8" s="1"/>
  <c r="E108" i="8"/>
  <c r="G108" i="8"/>
  <c r="E109" i="8"/>
  <c r="G109" i="8"/>
  <c r="E110" i="8"/>
  <c r="G110" i="8" s="1"/>
  <c r="E111" i="8"/>
  <c r="G111" i="8" s="1"/>
  <c r="E112" i="8"/>
  <c r="G112" i="8"/>
  <c r="E113" i="8"/>
  <c r="G113" i="8"/>
  <c r="E114" i="8"/>
  <c r="G114" i="8" s="1"/>
  <c r="E115" i="8"/>
  <c r="G115" i="8" s="1"/>
  <c r="E116" i="8"/>
  <c r="G116" i="8" s="1"/>
  <c r="E117" i="8"/>
  <c r="G117" i="8"/>
  <c r="E118" i="8"/>
  <c r="G118" i="8" s="1"/>
  <c r="E119" i="8"/>
  <c r="G119" i="8" s="1"/>
  <c r="E120" i="8"/>
  <c r="G120" i="8" s="1"/>
  <c r="E121" i="8"/>
  <c r="G121" i="8"/>
  <c r="E122" i="8"/>
  <c r="G122" i="8" s="1"/>
  <c r="E123" i="8"/>
  <c r="G123" i="8" s="1"/>
  <c r="E124" i="8"/>
  <c r="G124" i="8" s="1"/>
  <c r="E125" i="8"/>
  <c r="G125" i="8"/>
  <c r="E126" i="8"/>
  <c r="G126" i="8" s="1"/>
  <c r="E127" i="8"/>
  <c r="G127" i="8" s="1"/>
  <c r="E128" i="8"/>
  <c r="G128" i="8" s="1"/>
  <c r="E129" i="8"/>
  <c r="G129" i="8"/>
  <c r="E130" i="8"/>
  <c r="G130" i="8" s="1"/>
  <c r="E131" i="8"/>
  <c r="G131" i="8" s="1"/>
  <c r="E132" i="8"/>
  <c r="G132" i="8" s="1"/>
  <c r="E133" i="8"/>
  <c r="G133" i="8"/>
  <c r="E134" i="8"/>
  <c r="G134" i="8" s="1"/>
  <c r="E135" i="8"/>
  <c r="G135" i="8" s="1"/>
  <c r="E136" i="8"/>
  <c r="G136" i="8" s="1"/>
  <c r="E137" i="8"/>
  <c r="G137" i="8"/>
  <c r="E138" i="8"/>
  <c r="G138" i="8" s="1"/>
  <c r="E139" i="8"/>
  <c r="G139" i="8" s="1"/>
  <c r="E140" i="8"/>
  <c r="G140" i="8" s="1"/>
  <c r="E141" i="8"/>
  <c r="G141" i="8"/>
  <c r="E142" i="8"/>
  <c r="G142" i="8" s="1"/>
  <c r="E143" i="8"/>
  <c r="G143" i="8" s="1"/>
  <c r="E144" i="8"/>
  <c r="G144" i="8" s="1"/>
  <c r="E145" i="8"/>
  <c r="G145" i="8"/>
  <c r="E146" i="8"/>
  <c r="G146" i="8" s="1"/>
  <c r="E147" i="8"/>
  <c r="G147" i="8" s="1"/>
  <c r="E148" i="8"/>
  <c r="G148" i="8" s="1"/>
  <c r="E149" i="8"/>
  <c r="G149" i="8"/>
  <c r="E150" i="8"/>
  <c r="G150" i="8" s="1"/>
  <c r="E151" i="8"/>
  <c r="E152" i="8"/>
  <c r="G152" i="8" s="1"/>
  <c r="E153" i="8"/>
  <c r="G153" i="8"/>
  <c r="E154" i="8"/>
  <c r="G154" i="8" s="1"/>
  <c r="E155" i="8"/>
  <c r="G155" i="8" s="1"/>
  <c r="E156" i="8"/>
  <c r="G156" i="8" s="1"/>
  <c r="E157" i="8"/>
  <c r="G157" i="8"/>
  <c r="E158" i="8"/>
  <c r="G158" i="8"/>
  <c r="E159" i="8"/>
  <c r="G159" i="8" s="1"/>
  <c r="E160" i="8"/>
  <c r="G160" i="8" s="1"/>
  <c r="E161" i="8"/>
  <c r="G161" i="8"/>
  <c r="E162" i="8"/>
  <c r="G162" i="8"/>
  <c r="E163" i="8"/>
  <c r="G163" i="8" s="1"/>
  <c r="E164" i="8"/>
  <c r="G164" i="8" s="1"/>
  <c r="E165" i="8"/>
  <c r="G165" i="8"/>
  <c r="E166" i="8"/>
  <c r="G166" i="8"/>
  <c r="E167" i="8"/>
  <c r="G167" i="8" s="1"/>
  <c r="E168" i="8"/>
  <c r="G168" i="8" s="1"/>
  <c r="E169" i="8"/>
  <c r="G169" i="8"/>
  <c r="E170" i="8"/>
  <c r="G170" i="8"/>
  <c r="E171" i="8"/>
  <c r="G171" i="8" s="1"/>
  <c r="E172" i="8"/>
  <c r="G172" i="8" s="1"/>
  <c r="E173" i="8"/>
  <c r="G173" i="8"/>
  <c r="E174" i="8"/>
  <c r="G174" i="8"/>
  <c r="E175" i="8"/>
  <c r="G175" i="8" s="1"/>
  <c r="E176" i="8"/>
  <c r="G176" i="8" s="1"/>
  <c r="E177" i="8"/>
  <c r="G177" i="8"/>
  <c r="E178" i="8"/>
  <c r="G178" i="8" s="1"/>
  <c r="E179" i="8"/>
  <c r="E180" i="8"/>
  <c r="G180" i="8" s="1"/>
  <c r="E181" i="8"/>
  <c r="G181" i="8"/>
  <c r="E182" i="8"/>
  <c r="G182" i="8" s="1"/>
  <c r="E183" i="8"/>
  <c r="G183" i="8" s="1"/>
  <c r="E184" i="8"/>
  <c r="G184" i="8"/>
  <c r="E185" i="8"/>
  <c r="G185" i="8"/>
  <c r="E186" i="8"/>
  <c r="G186" i="8" s="1"/>
  <c r="E187" i="8"/>
  <c r="G187" i="8" s="1"/>
  <c r="H16" i="8"/>
  <c r="H15" i="8" s="1"/>
  <c r="D22" i="8"/>
  <c r="H22" i="8"/>
  <c r="D23" i="8"/>
  <c r="H23" i="8" s="1"/>
  <c r="D24" i="8"/>
  <c r="D25" i="8"/>
  <c r="H25" i="8" s="1"/>
  <c r="D26" i="8"/>
  <c r="H26" i="8"/>
  <c r="D27" i="8"/>
  <c r="H27" i="8" s="1"/>
  <c r="D28" i="8"/>
  <c r="H28" i="8" s="1"/>
  <c r="D29" i="8"/>
  <c r="H29" i="8" s="1"/>
  <c r="D30" i="8"/>
  <c r="H30" i="8"/>
  <c r="D31" i="8"/>
  <c r="H31" i="8" s="1"/>
  <c r="D32" i="8"/>
  <c r="D33" i="8"/>
  <c r="H33" i="8" s="1"/>
  <c r="D34" i="8"/>
  <c r="H34" i="8"/>
  <c r="D35" i="8"/>
  <c r="H35" i="8" s="1"/>
  <c r="D36" i="8"/>
  <c r="H36" i="8" s="1"/>
  <c r="D37" i="8"/>
  <c r="H37" i="8" s="1"/>
  <c r="D38" i="8"/>
  <c r="H38" i="8"/>
  <c r="D39" i="8"/>
  <c r="H39" i="8" s="1"/>
  <c r="D40" i="8"/>
  <c r="H40" i="8" s="1"/>
  <c r="D41" i="8"/>
  <c r="H41" i="8" s="1"/>
  <c r="D42" i="8"/>
  <c r="H42" i="8"/>
  <c r="D43" i="8"/>
  <c r="H43" i="8" s="1"/>
  <c r="D44" i="8"/>
  <c r="H44" i="8" s="1"/>
  <c r="D45" i="8"/>
  <c r="H45" i="8" s="1"/>
  <c r="D46" i="8"/>
  <c r="H46" i="8"/>
  <c r="D47" i="8"/>
  <c r="H47" i="8" s="1"/>
  <c r="D48" i="8"/>
  <c r="H48" i="8" s="1"/>
  <c r="D49" i="8"/>
  <c r="H49" i="8" s="1"/>
  <c r="D50" i="8"/>
  <c r="H50" i="8"/>
  <c r="D51" i="8"/>
  <c r="H51" i="8" s="1"/>
  <c r="D52" i="8"/>
  <c r="H52" i="8" s="1"/>
  <c r="D53" i="8"/>
  <c r="H53" i="8" s="1"/>
  <c r="D54" i="8"/>
  <c r="H54" i="8"/>
  <c r="D55" i="8"/>
  <c r="H55" i="8" s="1"/>
  <c r="D56" i="8"/>
  <c r="D57" i="8"/>
  <c r="H57" i="8" s="1"/>
  <c r="D58" i="8"/>
  <c r="H58" i="8"/>
  <c r="D59" i="8"/>
  <c r="H59" i="8" s="1"/>
  <c r="D60" i="8"/>
  <c r="H60" i="8" s="1"/>
  <c r="D61" i="8"/>
  <c r="H61" i="8" s="1"/>
  <c r="D62" i="8"/>
  <c r="H62" i="8"/>
  <c r="D63" i="8"/>
  <c r="H63" i="8" s="1"/>
  <c r="D64" i="8"/>
  <c r="H64" i="8" s="1"/>
  <c r="D65" i="8"/>
  <c r="H65" i="8" s="1"/>
  <c r="D66" i="8"/>
  <c r="H66" i="8"/>
  <c r="D67" i="8"/>
  <c r="H67" i="8" s="1"/>
  <c r="D68" i="8"/>
  <c r="H68" i="8" s="1"/>
  <c r="D69" i="8"/>
  <c r="H69" i="8" s="1"/>
  <c r="D70" i="8"/>
  <c r="H70" i="8"/>
  <c r="D71" i="8"/>
  <c r="H71" i="8" s="1"/>
  <c r="D72" i="8"/>
  <c r="H72" i="8" s="1"/>
  <c r="D73" i="8"/>
  <c r="H73" i="8" s="1"/>
  <c r="D74" i="8"/>
  <c r="H74" i="8"/>
  <c r="D75" i="8"/>
  <c r="H75" i="8" s="1"/>
  <c r="D76" i="8"/>
  <c r="H76" i="8" s="1"/>
  <c r="D77" i="8"/>
  <c r="H77" i="8" s="1"/>
  <c r="D78" i="8"/>
  <c r="H78" i="8"/>
  <c r="D79" i="8"/>
  <c r="H79" i="8" s="1"/>
  <c r="D80" i="8"/>
  <c r="H80" i="8" s="1"/>
  <c r="D81" i="8"/>
  <c r="H81" i="8" s="1"/>
  <c r="D82" i="8"/>
  <c r="H82" i="8"/>
  <c r="D83" i="8"/>
  <c r="H83" i="8" s="1"/>
  <c r="D84" i="8"/>
  <c r="H84" i="8" s="1"/>
  <c r="D85" i="8"/>
  <c r="H85" i="8" s="1"/>
  <c r="D86" i="8"/>
  <c r="H86" i="8"/>
  <c r="D87" i="8"/>
  <c r="H87" i="8" s="1"/>
  <c r="D88" i="8"/>
  <c r="D89" i="8"/>
  <c r="H89" i="8" s="1"/>
  <c r="D90" i="8"/>
  <c r="H90" i="8"/>
  <c r="D91" i="8"/>
  <c r="H91" i="8" s="1"/>
  <c r="D92" i="8"/>
  <c r="H92" i="8" s="1"/>
  <c r="D93" i="8"/>
  <c r="H93" i="8" s="1"/>
  <c r="D94" i="8"/>
  <c r="H94" i="8"/>
  <c r="D95" i="8"/>
  <c r="H95" i="8" s="1"/>
  <c r="D96" i="8"/>
  <c r="H96" i="8" s="1"/>
  <c r="D97" i="8"/>
  <c r="H97" i="8" s="1"/>
  <c r="D98" i="8"/>
  <c r="H98" i="8"/>
  <c r="D99" i="8"/>
  <c r="H99" i="8" s="1"/>
  <c r="D100" i="8"/>
  <c r="H100" i="8" s="1"/>
  <c r="D101" i="8"/>
  <c r="H101" i="8" s="1"/>
  <c r="D102" i="8"/>
  <c r="H102" i="8"/>
  <c r="D103" i="8"/>
  <c r="H103" i="8" s="1"/>
  <c r="D104" i="8"/>
  <c r="H104" i="8" s="1"/>
  <c r="D105" i="8"/>
  <c r="H105" i="8" s="1"/>
  <c r="D106" i="8"/>
  <c r="H106" i="8"/>
  <c r="D107" i="8"/>
  <c r="H107" i="8" s="1"/>
  <c r="D108" i="8"/>
  <c r="H108" i="8" s="1"/>
  <c r="D109" i="8"/>
  <c r="H109" i="8" s="1"/>
  <c r="D110" i="8"/>
  <c r="H110" i="8"/>
  <c r="D111" i="8"/>
  <c r="H111" i="8" s="1"/>
  <c r="D112" i="8"/>
  <c r="H112" i="8" s="1"/>
  <c r="D113" i="8"/>
  <c r="H113" i="8" s="1"/>
  <c r="D114" i="8"/>
  <c r="H114" i="8"/>
  <c r="D115" i="8"/>
  <c r="H115" i="8" s="1"/>
  <c r="D116" i="8"/>
  <c r="H116" i="8" s="1"/>
  <c r="D117" i="8"/>
  <c r="H117" i="8" s="1"/>
  <c r="D118" i="8"/>
  <c r="H118" i="8"/>
  <c r="D119" i="8"/>
  <c r="H119" i="8" s="1"/>
  <c r="D120" i="8"/>
  <c r="D121" i="8"/>
  <c r="H121" i="8" s="1"/>
  <c r="D122" i="8"/>
  <c r="H122" i="8"/>
  <c r="D123" i="8"/>
  <c r="H123" i="8" s="1"/>
  <c r="D124" i="8"/>
  <c r="H124" i="8" s="1"/>
  <c r="D125" i="8"/>
  <c r="H125" i="8" s="1"/>
  <c r="D126" i="8"/>
  <c r="H126" i="8"/>
  <c r="D127" i="8"/>
  <c r="H127" i="8" s="1"/>
  <c r="D128" i="8"/>
  <c r="H128" i="8" s="1"/>
  <c r="D129" i="8"/>
  <c r="H129" i="8" s="1"/>
  <c r="D130" i="8"/>
  <c r="H130" i="8"/>
  <c r="D131" i="8"/>
  <c r="H131" i="8" s="1"/>
  <c r="D132" i="8"/>
  <c r="H132" i="8" s="1"/>
  <c r="D133" i="8"/>
  <c r="H133" i="8" s="1"/>
  <c r="D134" i="8"/>
  <c r="H134" i="8"/>
  <c r="D135" i="8"/>
  <c r="H135" i="8" s="1"/>
  <c r="D136" i="8"/>
  <c r="H136" i="8" s="1"/>
  <c r="D137" i="8"/>
  <c r="H137" i="8" s="1"/>
  <c r="D138" i="8"/>
  <c r="H138" i="8"/>
  <c r="D139" i="8"/>
  <c r="H139" i="8" s="1"/>
  <c r="D140" i="8"/>
  <c r="H140" i="8" s="1"/>
  <c r="D141" i="8"/>
  <c r="H141" i="8" s="1"/>
  <c r="D142" i="8"/>
  <c r="H142" i="8"/>
  <c r="D143" i="8"/>
  <c r="H143" i="8" s="1"/>
  <c r="D144" i="8"/>
  <c r="H144" i="8" s="1"/>
  <c r="D145" i="8"/>
  <c r="H145" i="8" s="1"/>
  <c r="D146" i="8"/>
  <c r="H146" i="8"/>
  <c r="D147" i="8"/>
  <c r="H147" i="8" s="1"/>
  <c r="D148" i="8"/>
  <c r="H148" i="8" s="1"/>
  <c r="D149" i="8"/>
  <c r="H149" i="8" s="1"/>
  <c r="D150" i="8"/>
  <c r="H150" i="8"/>
  <c r="D151" i="8"/>
  <c r="H151" i="8" s="1"/>
  <c r="D152" i="8"/>
  <c r="D153" i="8"/>
  <c r="H153" i="8" s="1"/>
  <c r="D154" i="8"/>
  <c r="H154" i="8"/>
  <c r="D155" i="8"/>
  <c r="H155" i="8" s="1"/>
  <c r="D156" i="8"/>
  <c r="H156" i="8" s="1"/>
  <c r="D157" i="8"/>
  <c r="H157" i="8" s="1"/>
  <c r="D158" i="8"/>
  <c r="H158" i="8"/>
  <c r="D159" i="8"/>
  <c r="H159" i="8" s="1"/>
  <c r="D160" i="8"/>
  <c r="H160" i="8" s="1"/>
  <c r="D161" i="8"/>
  <c r="H161" i="8" s="1"/>
  <c r="D162" i="8"/>
  <c r="H162" i="8"/>
  <c r="D163" i="8"/>
  <c r="H163" i="8" s="1"/>
  <c r="D164" i="8"/>
  <c r="H164" i="8" s="1"/>
  <c r="D165" i="8"/>
  <c r="H165" i="8" s="1"/>
  <c r="D166" i="8"/>
  <c r="H166" i="8"/>
  <c r="D167" i="8"/>
  <c r="H167" i="8" s="1"/>
  <c r="D168" i="8"/>
  <c r="H168" i="8" s="1"/>
  <c r="D169" i="8"/>
  <c r="H169" i="8" s="1"/>
  <c r="D170" i="8"/>
  <c r="H170" i="8"/>
  <c r="D171" i="8"/>
  <c r="H171" i="8" s="1"/>
  <c r="D172" i="8"/>
  <c r="H172" i="8" s="1"/>
  <c r="D173" i="8"/>
  <c r="H173" i="8" s="1"/>
  <c r="D174" i="8"/>
  <c r="H174" i="8"/>
  <c r="D175" i="8"/>
  <c r="H175" i="8" s="1"/>
  <c r="D176" i="8"/>
  <c r="H176" i="8" s="1"/>
  <c r="D177" i="8"/>
  <c r="H177" i="8" s="1"/>
  <c r="D178" i="8"/>
  <c r="D179" i="8"/>
  <c r="H179" i="8" s="1"/>
  <c r="D180" i="8"/>
  <c r="H180" i="8" s="1"/>
  <c r="D181" i="8"/>
  <c r="H181" i="8" s="1"/>
  <c r="D182" i="8"/>
  <c r="I182" i="8" s="1"/>
  <c r="D183" i="8"/>
  <c r="H183" i="8" s="1"/>
  <c r="D184" i="8"/>
  <c r="D185" i="8"/>
  <c r="H185" i="8" s="1"/>
  <c r="D186" i="8"/>
  <c r="H186" i="8"/>
  <c r="D187" i="8"/>
  <c r="H187" i="8"/>
  <c r="J16" i="8"/>
  <c r="J15" i="8"/>
  <c r="J22" i="8"/>
  <c r="J23" i="8"/>
  <c r="J26" i="8"/>
  <c r="J27" i="8"/>
  <c r="J28" i="8"/>
  <c r="J29" i="8"/>
  <c r="J30" i="8"/>
  <c r="J31" i="8"/>
  <c r="J34" i="8"/>
  <c r="J35" i="8"/>
  <c r="J36" i="8"/>
  <c r="J37" i="8"/>
  <c r="J38" i="8"/>
  <c r="J39" i="8"/>
  <c r="J40" i="8"/>
  <c r="J42" i="8"/>
  <c r="J43" i="8"/>
  <c r="J44" i="8"/>
  <c r="J45" i="8"/>
  <c r="J46" i="8"/>
  <c r="J47" i="8"/>
  <c r="J48" i="8"/>
  <c r="J50" i="8"/>
  <c r="J51" i="8"/>
  <c r="J52" i="8"/>
  <c r="J53" i="8"/>
  <c r="J54" i="8"/>
  <c r="J55" i="8"/>
  <c r="J58" i="8"/>
  <c r="J59" i="8"/>
  <c r="J60" i="8"/>
  <c r="J61" i="8"/>
  <c r="J62" i="8"/>
  <c r="J63" i="8"/>
  <c r="J64" i="8"/>
  <c r="J66" i="8"/>
  <c r="J67" i="8"/>
  <c r="J68" i="8"/>
  <c r="J69" i="8"/>
  <c r="J70" i="8"/>
  <c r="J71" i="8"/>
  <c r="J72" i="8"/>
  <c r="J74" i="8"/>
  <c r="J75" i="8"/>
  <c r="J76" i="8"/>
  <c r="J77" i="8"/>
  <c r="J78" i="8"/>
  <c r="J79" i="8"/>
  <c r="J80" i="8"/>
  <c r="J82" i="8"/>
  <c r="J83" i="8"/>
  <c r="J84" i="8"/>
  <c r="J85" i="8"/>
  <c r="J86" i="8"/>
  <c r="J87" i="8"/>
  <c r="J90" i="8"/>
  <c r="J91" i="8"/>
  <c r="J92" i="8"/>
  <c r="J93" i="8"/>
  <c r="J94" i="8"/>
  <c r="J95" i="8"/>
  <c r="J96" i="8"/>
  <c r="J98" i="8"/>
  <c r="J99" i="8"/>
  <c r="J100" i="8"/>
  <c r="J101" i="8"/>
  <c r="J102" i="8"/>
  <c r="J103" i="8"/>
  <c r="J104" i="8"/>
  <c r="J106" i="8"/>
  <c r="J107" i="8"/>
  <c r="J108" i="8"/>
  <c r="J109" i="8"/>
  <c r="J110" i="8"/>
  <c r="J111" i="8"/>
  <c r="J112" i="8"/>
  <c r="J114" i="8"/>
  <c r="J115" i="8"/>
  <c r="J116" i="8"/>
  <c r="J117" i="8"/>
  <c r="J118" i="8"/>
  <c r="J119" i="8"/>
  <c r="J122" i="8"/>
  <c r="J123" i="8"/>
  <c r="J124" i="8"/>
  <c r="J125" i="8"/>
  <c r="J126" i="8"/>
  <c r="J127" i="8"/>
  <c r="J128" i="8"/>
  <c r="J130" i="8"/>
  <c r="J131" i="8"/>
  <c r="J132" i="8"/>
  <c r="J133" i="8"/>
  <c r="J134" i="8"/>
  <c r="J135" i="8"/>
  <c r="J136" i="8"/>
  <c r="J138" i="8"/>
  <c r="J139" i="8"/>
  <c r="J140" i="8"/>
  <c r="J141" i="8"/>
  <c r="J142" i="8"/>
  <c r="J143" i="8"/>
  <c r="J144" i="8"/>
  <c r="J146" i="8"/>
  <c r="J147" i="8"/>
  <c r="J148" i="8"/>
  <c r="J149" i="8"/>
  <c r="J150" i="8"/>
  <c r="J151" i="8"/>
  <c r="J154" i="8"/>
  <c r="J155" i="8"/>
  <c r="J156" i="8"/>
  <c r="J157" i="8"/>
  <c r="J158" i="8"/>
  <c r="J159" i="8"/>
  <c r="J160" i="8"/>
  <c r="J162" i="8"/>
  <c r="J163" i="8"/>
  <c r="J164" i="8"/>
  <c r="J165" i="8"/>
  <c r="J166" i="8"/>
  <c r="J167" i="8"/>
  <c r="J168" i="8"/>
  <c r="J170" i="8"/>
  <c r="J171" i="8"/>
  <c r="J172" i="8"/>
  <c r="J173" i="8"/>
  <c r="J174" i="8"/>
  <c r="J175" i="8"/>
  <c r="J176" i="8"/>
  <c r="J179" i="8"/>
  <c r="J180" i="8"/>
  <c r="J181" i="8"/>
  <c r="J183" i="8"/>
  <c r="J186" i="8"/>
  <c r="J187" i="8"/>
  <c r="I16" i="8"/>
  <c r="I15" i="8" s="1"/>
  <c r="I22" i="8"/>
  <c r="I23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9" i="8"/>
  <c r="I180" i="8"/>
  <c r="I181" i="8"/>
  <c r="I183" i="8"/>
  <c r="I185" i="8"/>
  <c r="I186" i="8"/>
  <c r="I187" i="8"/>
  <c r="K16" i="8"/>
  <c r="K15" i="8" s="1"/>
  <c r="K22" i="8"/>
  <c r="K23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80" i="8"/>
  <c r="K181" i="8"/>
  <c r="K182" i="8"/>
  <c r="K183" i="8"/>
  <c r="K185" i="8"/>
  <c r="K186" i="8"/>
  <c r="K187" i="8"/>
  <c r="F16" i="8"/>
  <c r="F15" i="8" s="1"/>
  <c r="F22" i="8"/>
  <c r="F23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9" i="8"/>
  <c r="F180" i="8"/>
  <c r="F181" i="8"/>
  <c r="F182" i="8"/>
  <c r="F183" i="8"/>
  <c r="F185" i="8"/>
  <c r="F186" i="8"/>
  <c r="F187" i="8"/>
  <c r="L16" i="8"/>
  <c r="L15" i="8"/>
  <c r="L22" i="8"/>
  <c r="L23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80" i="8"/>
  <c r="L181" i="8"/>
  <c r="L182" i="8"/>
  <c r="L183" i="8"/>
  <c r="L185" i="8"/>
  <c r="L186" i="8"/>
  <c r="L187" i="8"/>
  <c r="C16" i="8"/>
  <c r="C15" i="8"/>
  <c r="Q16" i="8"/>
  <c r="Q15" i="8"/>
  <c r="P16" i="8"/>
  <c r="P15" i="8"/>
  <c r="P12" i="8" s="1"/>
  <c r="O16" i="8"/>
  <c r="O15" i="8"/>
  <c r="O13" i="8"/>
  <c r="O12" i="8"/>
  <c r="N16" i="8"/>
  <c r="N15" i="8"/>
  <c r="E16" i="8"/>
  <c r="E15" i="8" s="1"/>
  <c r="D16" i="8"/>
  <c r="D15" i="8"/>
  <c r="M16" i="8"/>
  <c r="M15" i="8"/>
  <c r="M12" i="8"/>
  <c r="G6" i="8"/>
  <c r="G7" i="8"/>
  <c r="G5" i="8"/>
  <c r="G4" i="8"/>
  <c r="E52" i="5"/>
  <c r="F52" i="5"/>
  <c r="G52" i="5"/>
  <c r="E190" i="5"/>
  <c r="F190" i="5" s="1"/>
  <c r="Q190" i="5"/>
  <c r="E96" i="5"/>
  <c r="F96" i="5"/>
  <c r="E107" i="5"/>
  <c r="F107" i="5"/>
  <c r="G107" i="5"/>
  <c r="E133" i="5"/>
  <c r="F133" i="5" s="1"/>
  <c r="G133" i="5" s="1"/>
  <c r="I133" i="5" s="1"/>
  <c r="E141" i="5"/>
  <c r="F141" i="5"/>
  <c r="E143" i="5"/>
  <c r="F143" i="5" s="1"/>
  <c r="G143" i="5" s="1"/>
  <c r="I143" i="5" s="1"/>
  <c r="E157" i="5"/>
  <c r="F157" i="5"/>
  <c r="E162" i="5"/>
  <c r="F162" i="5"/>
  <c r="G162" i="5"/>
  <c r="E164" i="5"/>
  <c r="F164" i="5" s="1"/>
  <c r="E165" i="5"/>
  <c r="F165" i="5"/>
  <c r="E170" i="5"/>
  <c r="F170" i="5"/>
  <c r="E174" i="5"/>
  <c r="F174" i="5" s="1"/>
  <c r="E175" i="5"/>
  <c r="F175" i="5"/>
  <c r="G175" i="5" s="1"/>
  <c r="E176" i="5"/>
  <c r="F176" i="5" s="1"/>
  <c r="E125" i="5"/>
  <c r="F125" i="5"/>
  <c r="G125" i="5"/>
  <c r="E126" i="5"/>
  <c r="F126" i="5" s="1"/>
  <c r="G126" i="5" s="1"/>
  <c r="E127" i="5"/>
  <c r="F127" i="5" s="1"/>
  <c r="G127" i="5" s="1"/>
  <c r="E128" i="5"/>
  <c r="F128" i="5"/>
  <c r="G128" i="5"/>
  <c r="E129" i="5"/>
  <c r="F129" i="5"/>
  <c r="G129" i="5"/>
  <c r="E130" i="5"/>
  <c r="F130" i="5" s="1"/>
  <c r="G130" i="5" s="1"/>
  <c r="E132" i="5"/>
  <c r="F132" i="5"/>
  <c r="G132" i="5" s="1"/>
  <c r="E134" i="5"/>
  <c r="F134" i="5"/>
  <c r="G134" i="5" s="1"/>
  <c r="E135" i="5"/>
  <c r="F135" i="5"/>
  <c r="G135" i="5"/>
  <c r="E136" i="5"/>
  <c r="F136" i="5" s="1"/>
  <c r="G136" i="5" s="1"/>
  <c r="E137" i="5"/>
  <c r="F137" i="5" s="1"/>
  <c r="G137" i="5" s="1"/>
  <c r="E138" i="5"/>
  <c r="F138" i="5"/>
  <c r="G138" i="5"/>
  <c r="E139" i="5"/>
  <c r="F139" i="5"/>
  <c r="G139" i="5"/>
  <c r="E140" i="5"/>
  <c r="F140" i="5" s="1"/>
  <c r="G140" i="5" s="1"/>
  <c r="E142" i="5"/>
  <c r="F142" i="5"/>
  <c r="G142" i="5" s="1"/>
  <c r="E144" i="5"/>
  <c r="F144" i="5"/>
  <c r="G144" i="5" s="1"/>
  <c r="E145" i="5"/>
  <c r="F145" i="5"/>
  <c r="G145" i="5"/>
  <c r="E149" i="5"/>
  <c r="F149" i="5" s="1"/>
  <c r="G149" i="5" s="1"/>
  <c r="E150" i="5"/>
  <c r="F150" i="5" s="1"/>
  <c r="G150" i="5" s="1"/>
  <c r="E152" i="5"/>
  <c r="F152" i="5"/>
  <c r="G152" i="5"/>
  <c r="E153" i="5"/>
  <c r="F153" i="5"/>
  <c r="G153" i="5"/>
  <c r="E155" i="5"/>
  <c r="F155" i="5" s="1"/>
  <c r="G155" i="5" s="1"/>
  <c r="E156" i="5"/>
  <c r="F156" i="5"/>
  <c r="G156" i="5" s="1"/>
  <c r="E158" i="5"/>
  <c r="F158" i="5"/>
  <c r="G158" i="5" s="1"/>
  <c r="E159" i="5"/>
  <c r="F159" i="5"/>
  <c r="G159" i="5"/>
  <c r="E160" i="5"/>
  <c r="F160" i="5" s="1"/>
  <c r="G160" i="5" s="1"/>
  <c r="E161" i="5"/>
  <c r="F161" i="5" s="1"/>
  <c r="G161" i="5" s="1"/>
  <c r="E163" i="5"/>
  <c r="F163" i="5"/>
  <c r="G163" i="5"/>
  <c r="E166" i="5"/>
  <c r="F166" i="5"/>
  <c r="G166" i="5"/>
  <c r="E167" i="5"/>
  <c r="F167" i="5" s="1"/>
  <c r="G167" i="5" s="1"/>
  <c r="E168" i="5"/>
  <c r="F168" i="5"/>
  <c r="G168" i="5" s="1"/>
  <c r="E169" i="5"/>
  <c r="F169" i="5"/>
  <c r="G169" i="5" s="1"/>
  <c r="E171" i="5"/>
  <c r="F171" i="5"/>
  <c r="G171" i="5"/>
  <c r="E172" i="5"/>
  <c r="F172" i="5" s="1"/>
  <c r="G172" i="5" s="1"/>
  <c r="E173" i="5"/>
  <c r="F173" i="5" s="1"/>
  <c r="G173" i="5" s="1"/>
  <c r="E177" i="5"/>
  <c r="F177" i="5"/>
  <c r="G177" i="5"/>
  <c r="E178" i="5"/>
  <c r="F178" i="5"/>
  <c r="G178" i="5"/>
  <c r="E179" i="5"/>
  <c r="F179" i="5" s="1"/>
  <c r="G179" i="5" s="1"/>
  <c r="E180" i="5"/>
  <c r="F180" i="5"/>
  <c r="G180" i="5" s="1"/>
  <c r="E181" i="5"/>
  <c r="F181" i="5"/>
  <c r="G181" i="5" s="1"/>
  <c r="E182" i="5"/>
  <c r="F182" i="5"/>
  <c r="G182" i="5"/>
  <c r="E183" i="5"/>
  <c r="F183" i="5" s="1"/>
  <c r="G183" i="5" s="1"/>
  <c r="E184" i="5"/>
  <c r="F184" i="5" s="1"/>
  <c r="G184" i="5" s="1"/>
  <c r="E185" i="5"/>
  <c r="F185" i="5"/>
  <c r="G185" i="5"/>
  <c r="E186" i="5"/>
  <c r="F186" i="5"/>
  <c r="G186" i="5"/>
  <c r="E187" i="5"/>
  <c r="F187" i="5" s="1"/>
  <c r="G187" i="5" s="1"/>
  <c r="E188" i="5"/>
  <c r="F188" i="5"/>
  <c r="G188" i="5" s="1"/>
  <c r="E189" i="5"/>
  <c r="F189" i="5"/>
  <c r="G189" i="5" s="1"/>
  <c r="E191" i="5"/>
  <c r="F191" i="5"/>
  <c r="G191" i="5"/>
  <c r="E192" i="5"/>
  <c r="F192" i="5" s="1"/>
  <c r="G192" i="5" s="1"/>
  <c r="E193" i="5"/>
  <c r="F193" i="5" s="1"/>
  <c r="G193" i="5" s="1"/>
  <c r="E194" i="5"/>
  <c r="F194" i="5"/>
  <c r="G194" i="5"/>
  <c r="E195" i="5"/>
  <c r="F195" i="5"/>
  <c r="G195" i="5"/>
  <c r="E196" i="5"/>
  <c r="F196" i="5" s="1"/>
  <c r="G196" i="5" s="1"/>
  <c r="E197" i="5"/>
  <c r="F197" i="5"/>
  <c r="G197" i="5" s="1"/>
  <c r="E198" i="5"/>
  <c r="F198" i="5" s="1"/>
  <c r="G198" i="5" s="1"/>
  <c r="E120" i="5"/>
  <c r="F120" i="5"/>
  <c r="E121" i="5"/>
  <c r="F121" i="5" s="1"/>
  <c r="E122" i="5"/>
  <c r="F122" i="5"/>
  <c r="E123" i="5"/>
  <c r="F123" i="5" s="1"/>
  <c r="E124" i="5"/>
  <c r="F124" i="5"/>
  <c r="E131" i="5"/>
  <c r="F131" i="5" s="1"/>
  <c r="E146" i="5"/>
  <c r="F146" i="5"/>
  <c r="E147" i="5"/>
  <c r="F147" i="5" s="1"/>
  <c r="E148" i="5"/>
  <c r="F148" i="5"/>
  <c r="E151" i="5"/>
  <c r="F151" i="5" s="1"/>
  <c r="E154" i="5"/>
  <c r="F154" i="5"/>
  <c r="Q176" i="5"/>
  <c r="Q175" i="5"/>
  <c r="Q174" i="5"/>
  <c r="Q170" i="5"/>
  <c r="Q165" i="5"/>
  <c r="Q164" i="5"/>
  <c r="Q162" i="5"/>
  <c r="K162" i="5"/>
  <c r="Q157" i="5"/>
  <c r="Q143" i="5"/>
  <c r="Q141" i="5"/>
  <c r="Q133" i="5"/>
  <c r="Q107" i="5"/>
  <c r="Q96" i="5"/>
  <c r="G131" i="7"/>
  <c r="C131" i="7" s="1"/>
  <c r="E131" i="7" s="1"/>
  <c r="G130" i="7"/>
  <c r="C130" i="7"/>
  <c r="E130" i="7"/>
  <c r="G129" i="7"/>
  <c r="C129" i="7"/>
  <c r="E129" i="7"/>
  <c r="G128" i="7"/>
  <c r="C128" i="7" s="1"/>
  <c r="E128" i="7" s="1"/>
  <c r="G127" i="7"/>
  <c r="C127" i="7" s="1"/>
  <c r="E127" i="7" s="1"/>
  <c r="G126" i="7"/>
  <c r="C126" i="7" s="1"/>
  <c r="E126" i="7" s="1"/>
  <c r="G125" i="7"/>
  <c r="C125" i="7"/>
  <c r="E125" i="7"/>
  <c r="G124" i="7"/>
  <c r="C124" i="7" s="1"/>
  <c r="E124" i="7"/>
  <c r="G145" i="7"/>
  <c r="C145" i="7" s="1"/>
  <c r="E145" i="7" s="1"/>
  <c r="G123" i="7"/>
  <c r="C123" i="7"/>
  <c r="E123" i="7" s="1"/>
  <c r="G122" i="7"/>
  <c r="C122" i="7"/>
  <c r="E122" i="7" s="1"/>
  <c r="G121" i="7"/>
  <c r="C121" i="7" s="1"/>
  <c r="E121" i="7" s="1"/>
  <c r="G120" i="7"/>
  <c r="C120" i="7"/>
  <c r="E120" i="7" s="1"/>
  <c r="G119" i="7"/>
  <c r="C119" i="7" s="1"/>
  <c r="E119" i="7" s="1"/>
  <c r="G118" i="7"/>
  <c r="C118" i="7"/>
  <c r="E118" i="7"/>
  <c r="G117" i="7"/>
  <c r="C117" i="7" s="1"/>
  <c r="E117" i="7" s="1"/>
  <c r="G116" i="7"/>
  <c r="C116" i="7" s="1"/>
  <c r="E116" i="7" s="1"/>
  <c r="G115" i="7"/>
  <c r="C115" i="7"/>
  <c r="E115" i="7"/>
  <c r="G114" i="7"/>
  <c r="C114" i="7"/>
  <c r="E114" i="7"/>
  <c r="G113" i="7"/>
  <c r="C113" i="7" s="1"/>
  <c r="E113" i="7" s="1"/>
  <c r="G112" i="7"/>
  <c r="C112" i="7" s="1"/>
  <c r="E112" i="7" s="1"/>
  <c r="G144" i="7"/>
  <c r="C144" i="7"/>
  <c r="G143" i="7"/>
  <c r="C143" i="7"/>
  <c r="E143" i="7"/>
  <c r="G142" i="7"/>
  <c r="C142" i="7" s="1"/>
  <c r="E142" i="7"/>
  <c r="G111" i="7"/>
  <c r="C111" i="7" s="1"/>
  <c r="E111" i="7" s="1"/>
  <c r="G110" i="7"/>
  <c r="C110" i="7"/>
  <c r="E110" i="7"/>
  <c r="G141" i="7"/>
  <c r="C141" i="7"/>
  <c r="E141" i="7" s="1"/>
  <c r="G109" i="7"/>
  <c r="C109" i="7" s="1"/>
  <c r="E109" i="7" s="1"/>
  <c r="G108" i="7"/>
  <c r="C108" i="7" s="1"/>
  <c r="E108" i="7" s="1"/>
  <c r="G140" i="7"/>
  <c r="C140" i="7"/>
  <c r="E140" i="7" s="1"/>
  <c r="G139" i="7"/>
  <c r="C139" i="7"/>
  <c r="E139" i="7"/>
  <c r="G138" i="7"/>
  <c r="C138" i="7" s="1"/>
  <c r="E138" i="7" s="1"/>
  <c r="G107" i="7"/>
  <c r="C107" i="7" s="1"/>
  <c r="E107" i="7" s="1"/>
  <c r="G106" i="7"/>
  <c r="C106" i="7"/>
  <c r="E106" i="7" s="1"/>
  <c r="G105" i="7"/>
  <c r="C105" i="7"/>
  <c r="E105" i="7"/>
  <c r="G137" i="7"/>
  <c r="C137" i="7" s="1"/>
  <c r="E137" i="7" s="1"/>
  <c r="G104" i="7"/>
  <c r="C104" i="7"/>
  <c r="E104" i="7" s="1"/>
  <c r="G103" i="7"/>
  <c r="C103" i="7" s="1"/>
  <c r="E103" i="7" s="1"/>
  <c r="G102" i="7"/>
  <c r="C102" i="7"/>
  <c r="E102" i="7"/>
  <c r="G101" i="7"/>
  <c r="C101" i="7" s="1"/>
  <c r="E101" i="7" s="1"/>
  <c r="G100" i="7"/>
  <c r="C100" i="7" s="1"/>
  <c r="E100" i="7" s="1"/>
  <c r="G99" i="7"/>
  <c r="C99" i="7"/>
  <c r="E99" i="7"/>
  <c r="G136" i="7"/>
  <c r="C136" i="7"/>
  <c r="E136" i="7" s="1"/>
  <c r="G135" i="7"/>
  <c r="C135" i="7" s="1"/>
  <c r="E135" i="7" s="1"/>
  <c r="G98" i="7"/>
  <c r="C98" i="7"/>
  <c r="E98" i="7" s="1"/>
  <c r="G97" i="7"/>
  <c r="C97" i="7"/>
  <c r="E97" i="7" s="1"/>
  <c r="G96" i="7"/>
  <c r="C96" i="7"/>
  <c r="E96" i="7"/>
  <c r="G95" i="7"/>
  <c r="C95" i="7" s="1"/>
  <c r="E95" i="7"/>
  <c r="G94" i="7"/>
  <c r="C94" i="7" s="1"/>
  <c r="E94" i="7" s="1"/>
  <c r="G93" i="7"/>
  <c r="C93" i="7"/>
  <c r="E93" i="7" s="1"/>
  <c r="G134" i="7"/>
  <c r="C134" i="7"/>
  <c r="E134" i="7" s="1"/>
  <c r="G92" i="7"/>
  <c r="C92" i="7" s="1"/>
  <c r="E92" i="7" s="1"/>
  <c r="G91" i="7"/>
  <c r="C91" i="7" s="1"/>
  <c r="E91" i="7" s="1"/>
  <c r="G90" i="7"/>
  <c r="C90" i="7" s="1"/>
  <c r="E90" i="7" s="1"/>
  <c r="G89" i="7"/>
  <c r="C89" i="7"/>
  <c r="E89" i="7"/>
  <c r="G88" i="7"/>
  <c r="C88" i="7" s="1"/>
  <c r="E88" i="7"/>
  <c r="E119" i="5"/>
  <c r="G87" i="7"/>
  <c r="C87" i="7" s="1"/>
  <c r="E118" i="5"/>
  <c r="E87" i="7"/>
  <c r="G86" i="7"/>
  <c r="C86" i="7" s="1"/>
  <c r="E86" i="7" s="1"/>
  <c r="E117" i="5"/>
  <c r="G85" i="7"/>
  <c r="C85" i="7" s="1"/>
  <c r="E115" i="5"/>
  <c r="E85" i="7"/>
  <c r="G84" i="7"/>
  <c r="C84" i="7" s="1"/>
  <c r="E84" i="7"/>
  <c r="E114" i="5"/>
  <c r="G83" i="7"/>
  <c r="C83" i="7" s="1"/>
  <c r="G82" i="7"/>
  <c r="C82" i="7"/>
  <c r="E82" i="7" s="1"/>
  <c r="E113" i="5"/>
  <c r="G81" i="7"/>
  <c r="C81" i="7" s="1"/>
  <c r="E81" i="7" s="1"/>
  <c r="E111" i="5"/>
  <c r="G80" i="7"/>
  <c r="C80" i="7" s="1"/>
  <c r="E80" i="7" s="1"/>
  <c r="E110" i="5"/>
  <c r="G79" i="7"/>
  <c r="C79" i="7" s="1"/>
  <c r="E79" i="7" s="1"/>
  <c r="G133" i="7"/>
  <c r="C133" i="7"/>
  <c r="E133" i="7"/>
  <c r="G78" i="7"/>
  <c r="C78" i="7"/>
  <c r="E78" i="7" s="1"/>
  <c r="E105" i="5"/>
  <c r="G77" i="7"/>
  <c r="C77" i="7"/>
  <c r="E104" i="5"/>
  <c r="E77" i="7" s="1"/>
  <c r="G76" i="7"/>
  <c r="C76" i="7"/>
  <c r="E76" i="7" s="1"/>
  <c r="E101" i="5"/>
  <c r="G75" i="7"/>
  <c r="C75" i="7"/>
  <c r="E98" i="5"/>
  <c r="G132" i="7"/>
  <c r="C132" i="7" s="1"/>
  <c r="E132" i="7" s="1"/>
  <c r="G74" i="7"/>
  <c r="C74" i="7" s="1"/>
  <c r="E74" i="7" s="1"/>
  <c r="E93" i="5"/>
  <c r="G73" i="7"/>
  <c r="C73" i="7"/>
  <c r="E92" i="5"/>
  <c r="G72" i="7"/>
  <c r="C72" i="7" s="1"/>
  <c r="E72" i="7" s="1"/>
  <c r="E89" i="5"/>
  <c r="G71" i="7"/>
  <c r="C71" i="7"/>
  <c r="E71" i="7" s="1"/>
  <c r="E87" i="5"/>
  <c r="G70" i="7"/>
  <c r="C70" i="7" s="1"/>
  <c r="E70" i="7" s="1"/>
  <c r="E86" i="5"/>
  <c r="G69" i="7"/>
  <c r="C69" i="7" s="1"/>
  <c r="E69" i="7" s="1"/>
  <c r="E85" i="5"/>
  <c r="G68" i="7"/>
  <c r="C68" i="7" s="1"/>
  <c r="E68" i="7" s="1"/>
  <c r="E84" i="5"/>
  <c r="G67" i="7"/>
  <c r="C67" i="7" s="1"/>
  <c r="E67" i="7" s="1"/>
  <c r="E83" i="5"/>
  <c r="G66" i="7"/>
  <c r="C66" i="7" s="1"/>
  <c r="E66" i="7" s="1"/>
  <c r="E82" i="5"/>
  <c r="G65" i="7"/>
  <c r="C65" i="7" s="1"/>
  <c r="E65" i="7" s="1"/>
  <c r="E81" i="5"/>
  <c r="G64" i="7"/>
  <c r="C64" i="7" s="1"/>
  <c r="E64" i="7" s="1"/>
  <c r="E80" i="5"/>
  <c r="G63" i="7"/>
  <c r="C63" i="7"/>
  <c r="E63" i="7" s="1"/>
  <c r="E79" i="5"/>
  <c r="G62" i="7"/>
  <c r="C62" i="7" s="1"/>
  <c r="E62" i="7" s="1"/>
  <c r="E78" i="5"/>
  <c r="G61" i="7"/>
  <c r="C61" i="7" s="1"/>
  <c r="E61" i="7" s="1"/>
  <c r="E77" i="5"/>
  <c r="G60" i="7"/>
  <c r="C60" i="7" s="1"/>
  <c r="E60" i="7" s="1"/>
  <c r="E76" i="5"/>
  <c r="G59" i="7"/>
  <c r="C59" i="7"/>
  <c r="E59" i="7" s="1"/>
  <c r="E74" i="5"/>
  <c r="G58" i="7"/>
  <c r="C58" i="7" s="1"/>
  <c r="E58" i="7" s="1"/>
  <c r="E73" i="5"/>
  <c r="G57" i="7"/>
  <c r="C57" i="7"/>
  <c r="E72" i="5"/>
  <c r="G56" i="7"/>
  <c r="C56" i="7" s="1"/>
  <c r="E56" i="7" s="1"/>
  <c r="E71" i="5"/>
  <c r="G55" i="7"/>
  <c r="C55" i="7"/>
  <c r="E55" i="7" s="1"/>
  <c r="E70" i="5"/>
  <c r="G54" i="7"/>
  <c r="C54" i="7" s="1"/>
  <c r="E54" i="7" s="1"/>
  <c r="E69" i="5"/>
  <c r="G53" i="7"/>
  <c r="C53" i="7" s="1"/>
  <c r="E53" i="7" s="1"/>
  <c r="E68" i="5"/>
  <c r="G52" i="7"/>
  <c r="C52" i="7" s="1"/>
  <c r="E52" i="7" s="1"/>
  <c r="E67" i="5"/>
  <c r="G51" i="7"/>
  <c r="C51" i="7" s="1"/>
  <c r="E51" i="7" s="1"/>
  <c r="E66" i="5"/>
  <c r="G50" i="7"/>
  <c r="C50" i="7" s="1"/>
  <c r="E50" i="7" s="1"/>
  <c r="E65" i="5"/>
  <c r="G49" i="7"/>
  <c r="C49" i="7" s="1"/>
  <c r="E49" i="7" s="1"/>
  <c r="E64" i="5"/>
  <c r="G48" i="7"/>
  <c r="C48" i="7" s="1"/>
  <c r="E48" i="7" s="1"/>
  <c r="E63" i="5"/>
  <c r="G47" i="7"/>
  <c r="C47" i="7"/>
  <c r="E47" i="7" s="1"/>
  <c r="E62" i="5"/>
  <c r="G46" i="7"/>
  <c r="C46" i="7" s="1"/>
  <c r="E46" i="7" s="1"/>
  <c r="E61" i="5"/>
  <c r="G45" i="7"/>
  <c r="C45" i="7" s="1"/>
  <c r="E45" i="7" s="1"/>
  <c r="E60" i="5"/>
  <c r="G44" i="7"/>
  <c r="C44" i="7" s="1"/>
  <c r="E44" i="7" s="1"/>
  <c r="E59" i="5"/>
  <c r="G43" i="7"/>
  <c r="C43" i="7"/>
  <c r="E43" i="7" s="1"/>
  <c r="E58" i="5"/>
  <c r="G42" i="7"/>
  <c r="C42" i="7" s="1"/>
  <c r="E42" i="7" s="1"/>
  <c r="E57" i="5"/>
  <c r="G41" i="7"/>
  <c r="C41" i="7"/>
  <c r="E56" i="5"/>
  <c r="G40" i="7"/>
  <c r="C40" i="7" s="1"/>
  <c r="E40" i="7" s="1"/>
  <c r="E55" i="5"/>
  <c r="G39" i="7"/>
  <c r="C39" i="7"/>
  <c r="E39" i="7" s="1"/>
  <c r="E54" i="5"/>
  <c r="G38" i="7"/>
  <c r="C38" i="7" s="1"/>
  <c r="E38" i="7" s="1"/>
  <c r="E53" i="5"/>
  <c r="G37" i="7"/>
  <c r="C37" i="7" s="1"/>
  <c r="E37" i="7" s="1"/>
  <c r="E51" i="5"/>
  <c r="G36" i="7"/>
  <c r="C36" i="7" s="1"/>
  <c r="E36" i="7" s="1"/>
  <c r="E50" i="5"/>
  <c r="G35" i="7"/>
  <c r="C35" i="7" s="1"/>
  <c r="E35" i="7" s="1"/>
  <c r="E49" i="5"/>
  <c r="G34" i="7"/>
  <c r="C34" i="7" s="1"/>
  <c r="E34" i="7" s="1"/>
  <c r="E48" i="5"/>
  <c r="G33" i="7"/>
  <c r="C33" i="7" s="1"/>
  <c r="E33" i="7" s="1"/>
  <c r="E47" i="5"/>
  <c r="G32" i="7"/>
  <c r="C32" i="7" s="1"/>
  <c r="E32" i="7" s="1"/>
  <c r="E46" i="5"/>
  <c r="G31" i="7"/>
  <c r="C31" i="7"/>
  <c r="E31" i="7" s="1"/>
  <c r="E45" i="5"/>
  <c r="G30" i="7"/>
  <c r="C30" i="7" s="1"/>
  <c r="E30" i="7" s="1"/>
  <c r="E44" i="5"/>
  <c r="G29" i="7"/>
  <c r="C29" i="7" s="1"/>
  <c r="E29" i="7" s="1"/>
  <c r="E43" i="5"/>
  <c r="G28" i="7"/>
  <c r="C28" i="7" s="1"/>
  <c r="E28" i="7" s="1"/>
  <c r="E42" i="5"/>
  <c r="G27" i="7"/>
  <c r="C27" i="7"/>
  <c r="E27" i="7" s="1"/>
  <c r="E41" i="5"/>
  <c r="G26" i="7"/>
  <c r="C26" i="7" s="1"/>
  <c r="E26" i="7" s="1"/>
  <c r="E40" i="5"/>
  <c r="G25" i="7"/>
  <c r="C25" i="7"/>
  <c r="E39" i="5"/>
  <c r="G24" i="7"/>
  <c r="C24" i="7" s="1"/>
  <c r="E24" i="7" s="1"/>
  <c r="E38" i="5"/>
  <c r="G23" i="7"/>
  <c r="C23" i="7"/>
  <c r="E23" i="7" s="1"/>
  <c r="E37" i="5"/>
  <c r="G22" i="7"/>
  <c r="C22" i="7" s="1"/>
  <c r="E22" i="7" s="1"/>
  <c r="E36" i="5"/>
  <c r="G21" i="7"/>
  <c r="C21" i="7" s="1"/>
  <c r="E21" i="7" s="1"/>
  <c r="E35" i="5"/>
  <c r="G20" i="7"/>
  <c r="C20" i="7" s="1"/>
  <c r="E20" i="7" s="1"/>
  <c r="E34" i="5"/>
  <c r="G19" i="7"/>
  <c r="C19" i="7" s="1"/>
  <c r="E19" i="7" s="1"/>
  <c r="E33" i="5"/>
  <c r="G18" i="7"/>
  <c r="C18" i="7" s="1"/>
  <c r="E18" i="7" s="1"/>
  <c r="E32" i="5"/>
  <c r="G17" i="7"/>
  <c r="C17" i="7" s="1"/>
  <c r="E17" i="7" s="1"/>
  <c r="E31" i="5"/>
  <c r="G16" i="7"/>
  <c r="C16" i="7" s="1"/>
  <c r="E30" i="5"/>
  <c r="E16" i="7"/>
  <c r="G15" i="7"/>
  <c r="C15" i="7" s="1"/>
  <c r="E15" i="7"/>
  <c r="E29" i="5"/>
  <c r="G14" i="7"/>
  <c r="C14" i="7" s="1"/>
  <c r="E14" i="7" s="1"/>
  <c r="E28" i="5"/>
  <c r="G13" i="7"/>
  <c r="C13" i="7" s="1"/>
  <c r="E13" i="7" s="1"/>
  <c r="E27" i="5"/>
  <c r="G12" i="7"/>
  <c r="C12" i="7" s="1"/>
  <c r="E12" i="7" s="1"/>
  <c r="E26" i="5"/>
  <c r="G11" i="7"/>
  <c r="C11" i="7" s="1"/>
  <c r="E11" i="7"/>
  <c r="E25" i="5"/>
  <c r="H131" i="7"/>
  <c r="B131" i="7" s="1"/>
  <c r="D131" i="7"/>
  <c r="A131" i="7"/>
  <c r="H130" i="7"/>
  <c r="B130" i="7" s="1"/>
  <c r="D130" i="7"/>
  <c r="A130" i="7"/>
  <c r="H129" i="7"/>
  <c r="B129" i="7" s="1"/>
  <c r="D129" i="7"/>
  <c r="A129" i="7"/>
  <c r="H128" i="7"/>
  <c r="B128" i="7" s="1"/>
  <c r="D128" i="7"/>
  <c r="A128" i="7"/>
  <c r="H127" i="7"/>
  <c r="B127" i="7" s="1"/>
  <c r="D127" i="7"/>
  <c r="A127" i="7"/>
  <c r="H126" i="7"/>
  <c r="B126" i="7" s="1"/>
  <c r="D126" i="7"/>
  <c r="A126" i="7"/>
  <c r="H125" i="7"/>
  <c r="B125" i="7" s="1"/>
  <c r="D125" i="7"/>
  <c r="A125" i="7"/>
  <c r="H124" i="7"/>
  <c r="B124" i="7" s="1"/>
  <c r="D124" i="7"/>
  <c r="A124" i="7"/>
  <c r="H145" i="7"/>
  <c r="B145" i="7" s="1"/>
  <c r="D145" i="7"/>
  <c r="A145" i="7"/>
  <c r="H123" i="7"/>
  <c r="B123" i="7" s="1"/>
  <c r="D123" i="7"/>
  <c r="A123" i="7"/>
  <c r="H122" i="7"/>
  <c r="B122" i="7" s="1"/>
  <c r="D122" i="7"/>
  <c r="A122" i="7"/>
  <c r="H121" i="7"/>
  <c r="B121" i="7" s="1"/>
  <c r="D121" i="7"/>
  <c r="A121" i="7"/>
  <c r="H120" i="7"/>
  <c r="B120" i="7" s="1"/>
  <c r="D120" i="7"/>
  <c r="A120" i="7"/>
  <c r="H119" i="7"/>
  <c r="B119" i="7" s="1"/>
  <c r="D119" i="7"/>
  <c r="A119" i="7"/>
  <c r="H118" i="7"/>
  <c r="B118" i="7" s="1"/>
  <c r="D118" i="7"/>
  <c r="A118" i="7"/>
  <c r="H117" i="7"/>
  <c r="B117" i="7" s="1"/>
  <c r="D117" i="7"/>
  <c r="A117" i="7"/>
  <c r="H116" i="7"/>
  <c r="B116" i="7" s="1"/>
  <c r="D116" i="7"/>
  <c r="A116" i="7"/>
  <c r="H115" i="7"/>
  <c r="B115" i="7" s="1"/>
  <c r="D115" i="7"/>
  <c r="A115" i="7"/>
  <c r="H114" i="7"/>
  <c r="B114" i="7" s="1"/>
  <c r="D114" i="7"/>
  <c r="A114" i="7"/>
  <c r="H113" i="7"/>
  <c r="B113" i="7" s="1"/>
  <c r="D113" i="7"/>
  <c r="A113" i="7"/>
  <c r="H112" i="7"/>
  <c r="B112" i="7" s="1"/>
  <c r="D112" i="7"/>
  <c r="A112" i="7"/>
  <c r="H144" i="7"/>
  <c r="B144" i="7" s="1"/>
  <c r="D144" i="7"/>
  <c r="A144" i="7"/>
  <c r="H143" i="7"/>
  <c r="B143" i="7" s="1"/>
  <c r="D143" i="7"/>
  <c r="A143" i="7"/>
  <c r="H142" i="7"/>
  <c r="B142" i="7" s="1"/>
  <c r="D142" i="7"/>
  <c r="A142" i="7"/>
  <c r="H111" i="7"/>
  <c r="B111" i="7" s="1"/>
  <c r="D111" i="7"/>
  <c r="A111" i="7"/>
  <c r="H110" i="7"/>
  <c r="B110" i="7" s="1"/>
  <c r="D110" i="7"/>
  <c r="A110" i="7"/>
  <c r="H141" i="7"/>
  <c r="B141" i="7" s="1"/>
  <c r="D141" i="7"/>
  <c r="A141" i="7"/>
  <c r="H109" i="7"/>
  <c r="B109" i="7" s="1"/>
  <c r="D109" i="7"/>
  <c r="A109" i="7"/>
  <c r="H108" i="7"/>
  <c r="B108" i="7" s="1"/>
  <c r="D108" i="7"/>
  <c r="A108" i="7"/>
  <c r="H140" i="7"/>
  <c r="B140" i="7" s="1"/>
  <c r="D140" i="7"/>
  <c r="A140" i="7"/>
  <c r="H139" i="7"/>
  <c r="B139" i="7" s="1"/>
  <c r="D139" i="7"/>
  <c r="A139" i="7"/>
  <c r="H138" i="7"/>
  <c r="B138" i="7" s="1"/>
  <c r="D138" i="7"/>
  <c r="A138" i="7"/>
  <c r="H107" i="7"/>
  <c r="B107" i="7" s="1"/>
  <c r="D107" i="7"/>
  <c r="A107" i="7"/>
  <c r="H106" i="7"/>
  <c r="B106" i="7" s="1"/>
  <c r="D106" i="7"/>
  <c r="A106" i="7"/>
  <c r="H105" i="7"/>
  <c r="B105" i="7" s="1"/>
  <c r="D105" i="7"/>
  <c r="A105" i="7"/>
  <c r="H137" i="7"/>
  <c r="B137" i="7" s="1"/>
  <c r="D137" i="7"/>
  <c r="A137" i="7"/>
  <c r="H104" i="7"/>
  <c r="B104" i="7" s="1"/>
  <c r="D104" i="7"/>
  <c r="A104" i="7"/>
  <c r="H103" i="7"/>
  <c r="B103" i="7" s="1"/>
  <c r="D103" i="7"/>
  <c r="A103" i="7"/>
  <c r="H102" i="7"/>
  <c r="B102" i="7" s="1"/>
  <c r="D102" i="7"/>
  <c r="A102" i="7"/>
  <c r="H101" i="7"/>
  <c r="B101" i="7" s="1"/>
  <c r="D101" i="7"/>
  <c r="A101" i="7"/>
  <c r="H100" i="7"/>
  <c r="B100" i="7" s="1"/>
  <c r="D100" i="7"/>
  <c r="A100" i="7"/>
  <c r="H99" i="7"/>
  <c r="B99" i="7" s="1"/>
  <c r="D99" i="7"/>
  <c r="A99" i="7"/>
  <c r="H136" i="7"/>
  <c r="B136" i="7" s="1"/>
  <c r="D136" i="7"/>
  <c r="A136" i="7"/>
  <c r="H135" i="7"/>
  <c r="B135" i="7" s="1"/>
  <c r="D135" i="7"/>
  <c r="A135" i="7"/>
  <c r="H98" i="7"/>
  <c r="B98" i="7" s="1"/>
  <c r="D98" i="7"/>
  <c r="A98" i="7"/>
  <c r="H97" i="7"/>
  <c r="B97" i="7" s="1"/>
  <c r="D97" i="7"/>
  <c r="A97" i="7"/>
  <c r="H96" i="7"/>
  <c r="B96" i="7" s="1"/>
  <c r="D96" i="7"/>
  <c r="A96" i="7"/>
  <c r="H95" i="7"/>
  <c r="B95" i="7" s="1"/>
  <c r="D95" i="7"/>
  <c r="A95" i="7"/>
  <c r="H94" i="7"/>
  <c r="B94" i="7" s="1"/>
  <c r="D94" i="7"/>
  <c r="A94" i="7"/>
  <c r="H93" i="7"/>
  <c r="B93" i="7" s="1"/>
  <c r="D93" i="7"/>
  <c r="A93" i="7"/>
  <c r="H134" i="7"/>
  <c r="B134" i="7" s="1"/>
  <c r="D134" i="7"/>
  <c r="A134" i="7"/>
  <c r="H92" i="7"/>
  <c r="B92" i="7" s="1"/>
  <c r="D92" i="7"/>
  <c r="A92" i="7"/>
  <c r="H91" i="7"/>
  <c r="B91" i="7" s="1"/>
  <c r="D91" i="7"/>
  <c r="A91" i="7"/>
  <c r="H90" i="7"/>
  <c r="B90" i="7" s="1"/>
  <c r="D90" i="7"/>
  <c r="A90" i="7"/>
  <c r="H89" i="7"/>
  <c r="B89" i="7" s="1"/>
  <c r="D89" i="7"/>
  <c r="A89" i="7"/>
  <c r="H88" i="7"/>
  <c r="B88" i="7" s="1"/>
  <c r="D88" i="7"/>
  <c r="A88" i="7"/>
  <c r="H87" i="7"/>
  <c r="B87" i="7" s="1"/>
  <c r="D87" i="7"/>
  <c r="A87" i="7"/>
  <c r="H86" i="7"/>
  <c r="B86" i="7" s="1"/>
  <c r="D86" i="7"/>
  <c r="A86" i="7"/>
  <c r="H85" i="7"/>
  <c r="B85" i="7" s="1"/>
  <c r="D85" i="7"/>
  <c r="A85" i="7"/>
  <c r="H84" i="7"/>
  <c r="B84" i="7" s="1"/>
  <c r="D84" i="7"/>
  <c r="A84" i="7"/>
  <c r="H83" i="7"/>
  <c r="B83" i="7" s="1"/>
  <c r="D83" i="7"/>
  <c r="A83" i="7"/>
  <c r="H82" i="7"/>
  <c r="B82" i="7" s="1"/>
  <c r="D82" i="7"/>
  <c r="A82" i="7"/>
  <c r="H81" i="7"/>
  <c r="B81" i="7" s="1"/>
  <c r="D81" i="7"/>
  <c r="A81" i="7"/>
  <c r="H80" i="7"/>
  <c r="B80" i="7" s="1"/>
  <c r="F80" i="7"/>
  <c r="D80" i="7" s="1"/>
  <c r="A80" i="7"/>
  <c r="H79" i="7"/>
  <c r="B79" i="7"/>
  <c r="F79" i="7"/>
  <c r="D79" i="7"/>
  <c r="A79" i="7"/>
  <c r="H133" i="7"/>
  <c r="B133" i="7" s="1"/>
  <c r="F133" i="7"/>
  <c r="D133" i="7"/>
  <c r="A133" i="7"/>
  <c r="H78" i="7"/>
  <c r="B78" i="7"/>
  <c r="F78" i="7"/>
  <c r="D78" i="7"/>
  <c r="A78" i="7"/>
  <c r="H77" i="7"/>
  <c r="B77" i="7" s="1"/>
  <c r="F77" i="7"/>
  <c r="D77" i="7" s="1"/>
  <c r="A77" i="7"/>
  <c r="H76" i="7"/>
  <c r="B76" i="7"/>
  <c r="D76" i="7"/>
  <c r="A76" i="7"/>
  <c r="H75" i="7"/>
  <c r="D75" i="7"/>
  <c r="B75" i="7"/>
  <c r="A75" i="7"/>
  <c r="H132" i="7"/>
  <c r="B132" i="7"/>
  <c r="D132" i="7"/>
  <c r="A132" i="7"/>
  <c r="H74" i="7"/>
  <c r="D74" i="7"/>
  <c r="B74" i="7"/>
  <c r="A74" i="7"/>
  <c r="H73" i="7"/>
  <c r="B73" i="7"/>
  <c r="D73" i="7"/>
  <c r="A73" i="7"/>
  <c r="H72" i="7"/>
  <c r="B72" i="7"/>
  <c r="D72" i="7"/>
  <c r="A72" i="7"/>
  <c r="H71" i="7"/>
  <c r="B71" i="7"/>
  <c r="D71" i="7"/>
  <c r="A71" i="7"/>
  <c r="H70" i="7"/>
  <c r="B70" i="7"/>
  <c r="D70" i="7"/>
  <c r="A70" i="7"/>
  <c r="H69" i="7"/>
  <c r="B69" i="7"/>
  <c r="D69" i="7"/>
  <c r="A69" i="7"/>
  <c r="H68" i="7"/>
  <c r="B68" i="7"/>
  <c r="D68" i="7"/>
  <c r="A68" i="7"/>
  <c r="H67" i="7"/>
  <c r="B67" i="7"/>
  <c r="D67" i="7"/>
  <c r="A67" i="7"/>
  <c r="H66" i="7"/>
  <c r="D66" i="7"/>
  <c r="B66" i="7"/>
  <c r="A66" i="7"/>
  <c r="H65" i="7"/>
  <c r="B65" i="7"/>
  <c r="D65" i="7"/>
  <c r="A65" i="7"/>
  <c r="H64" i="7"/>
  <c r="D64" i="7"/>
  <c r="B64" i="7"/>
  <c r="A64" i="7"/>
  <c r="H63" i="7"/>
  <c r="B63" i="7"/>
  <c r="D63" i="7"/>
  <c r="A63" i="7"/>
  <c r="H62" i="7"/>
  <c r="B62" i="7"/>
  <c r="D62" i="7"/>
  <c r="A62" i="7"/>
  <c r="H61" i="7"/>
  <c r="B61" i="7"/>
  <c r="D61" i="7"/>
  <c r="A61" i="7"/>
  <c r="H60" i="7"/>
  <c r="D60" i="7"/>
  <c r="B60" i="7"/>
  <c r="A60" i="7"/>
  <c r="H59" i="7"/>
  <c r="B59" i="7"/>
  <c r="D59" i="7"/>
  <c r="A59" i="7"/>
  <c r="H58" i="7"/>
  <c r="D58" i="7"/>
  <c r="B58" i="7"/>
  <c r="A58" i="7"/>
  <c r="H57" i="7"/>
  <c r="B57" i="7"/>
  <c r="D57" i="7"/>
  <c r="A57" i="7"/>
  <c r="H56" i="7"/>
  <c r="B56" i="7"/>
  <c r="D56" i="7"/>
  <c r="A56" i="7"/>
  <c r="H55" i="7"/>
  <c r="B55" i="7"/>
  <c r="D55" i="7"/>
  <c r="A55" i="7"/>
  <c r="H54" i="7"/>
  <c r="B54" i="7"/>
  <c r="D54" i="7"/>
  <c r="A54" i="7"/>
  <c r="H53" i="7"/>
  <c r="B53" i="7"/>
  <c r="D53" i="7"/>
  <c r="A53" i="7"/>
  <c r="H52" i="7"/>
  <c r="B52" i="7"/>
  <c r="D52" i="7"/>
  <c r="A52" i="7"/>
  <c r="H51" i="7"/>
  <c r="B51" i="7"/>
  <c r="D51" i="7"/>
  <c r="A51" i="7"/>
  <c r="H50" i="7"/>
  <c r="D50" i="7"/>
  <c r="B50" i="7"/>
  <c r="A50" i="7"/>
  <c r="H49" i="7"/>
  <c r="B49" i="7"/>
  <c r="D49" i="7"/>
  <c r="A49" i="7"/>
  <c r="H48" i="7"/>
  <c r="D48" i="7"/>
  <c r="B48" i="7"/>
  <c r="A48" i="7"/>
  <c r="H47" i="7"/>
  <c r="B47" i="7"/>
  <c r="D47" i="7"/>
  <c r="A47" i="7"/>
  <c r="H46" i="7"/>
  <c r="B46" i="7"/>
  <c r="D46" i="7"/>
  <c r="A46" i="7"/>
  <c r="H45" i="7"/>
  <c r="B45" i="7"/>
  <c r="D45" i="7"/>
  <c r="A45" i="7"/>
  <c r="H44" i="7"/>
  <c r="D44" i="7"/>
  <c r="B44" i="7"/>
  <c r="A44" i="7"/>
  <c r="H43" i="7"/>
  <c r="B43" i="7"/>
  <c r="D43" i="7"/>
  <c r="A43" i="7"/>
  <c r="H42" i="7"/>
  <c r="D42" i="7"/>
  <c r="B42" i="7"/>
  <c r="A42" i="7"/>
  <c r="H41" i="7"/>
  <c r="B41" i="7"/>
  <c r="D41" i="7"/>
  <c r="A41" i="7"/>
  <c r="H40" i="7"/>
  <c r="B40" i="7"/>
  <c r="D40" i="7"/>
  <c r="A40" i="7"/>
  <c r="H39" i="7"/>
  <c r="B39" i="7"/>
  <c r="D39" i="7"/>
  <c r="A39" i="7"/>
  <c r="H38" i="7"/>
  <c r="B38" i="7"/>
  <c r="D38" i="7"/>
  <c r="A38" i="7"/>
  <c r="H37" i="7"/>
  <c r="B37" i="7"/>
  <c r="D37" i="7"/>
  <c r="A37" i="7"/>
  <c r="H36" i="7"/>
  <c r="B36" i="7"/>
  <c r="D36" i="7"/>
  <c r="A36" i="7"/>
  <c r="H35" i="7"/>
  <c r="B35" i="7"/>
  <c r="D35" i="7"/>
  <c r="A35" i="7"/>
  <c r="H34" i="7"/>
  <c r="D34" i="7"/>
  <c r="B34" i="7"/>
  <c r="A34" i="7"/>
  <c r="H33" i="7"/>
  <c r="B33" i="7"/>
  <c r="D33" i="7"/>
  <c r="A33" i="7"/>
  <c r="H32" i="7"/>
  <c r="D32" i="7"/>
  <c r="B32" i="7"/>
  <c r="A32" i="7"/>
  <c r="H31" i="7"/>
  <c r="B31" i="7"/>
  <c r="D31" i="7"/>
  <c r="A31" i="7"/>
  <c r="H30" i="7"/>
  <c r="B30" i="7"/>
  <c r="D30" i="7"/>
  <c r="A30" i="7"/>
  <c r="H29" i="7"/>
  <c r="B29" i="7"/>
  <c r="D29" i="7"/>
  <c r="A29" i="7"/>
  <c r="H28" i="7"/>
  <c r="D28" i="7"/>
  <c r="B28" i="7"/>
  <c r="A28" i="7"/>
  <c r="H27" i="7"/>
  <c r="B27" i="7"/>
  <c r="D27" i="7"/>
  <c r="A27" i="7"/>
  <c r="H26" i="7"/>
  <c r="D26" i="7"/>
  <c r="B26" i="7"/>
  <c r="A26" i="7"/>
  <c r="H25" i="7"/>
  <c r="B25" i="7"/>
  <c r="D25" i="7"/>
  <c r="A25" i="7"/>
  <c r="H24" i="7"/>
  <c r="B24" i="7"/>
  <c r="D24" i="7"/>
  <c r="A24" i="7"/>
  <c r="H23" i="7"/>
  <c r="B23" i="7"/>
  <c r="D23" i="7"/>
  <c r="A23" i="7"/>
  <c r="H22" i="7"/>
  <c r="B22" i="7"/>
  <c r="D22" i="7"/>
  <c r="A22" i="7"/>
  <c r="H21" i="7"/>
  <c r="B21" i="7"/>
  <c r="D21" i="7"/>
  <c r="A21" i="7"/>
  <c r="H20" i="7"/>
  <c r="B20" i="7"/>
  <c r="D20" i="7"/>
  <c r="A20" i="7"/>
  <c r="H19" i="7"/>
  <c r="B19" i="7"/>
  <c r="D19" i="7"/>
  <c r="A19" i="7"/>
  <c r="H18" i="7"/>
  <c r="D18" i="7"/>
  <c r="B18" i="7"/>
  <c r="A18" i="7"/>
  <c r="H17" i="7"/>
  <c r="B17" i="7"/>
  <c r="D17" i="7"/>
  <c r="A17" i="7"/>
  <c r="H16" i="7"/>
  <c r="D16" i="7"/>
  <c r="B16" i="7"/>
  <c r="A16" i="7"/>
  <c r="H15" i="7"/>
  <c r="B15" i="7"/>
  <c r="D15" i="7"/>
  <c r="A15" i="7"/>
  <c r="H14" i="7"/>
  <c r="B14" i="7"/>
  <c r="D14" i="7"/>
  <c r="A14" i="7"/>
  <c r="H13" i="7"/>
  <c r="B13" i="7"/>
  <c r="D13" i="7"/>
  <c r="A13" i="7"/>
  <c r="H12" i="7"/>
  <c r="D12" i="7"/>
  <c r="B12" i="7"/>
  <c r="A12" i="7"/>
  <c r="H11" i="7"/>
  <c r="B11" i="7"/>
  <c r="D11" i="7"/>
  <c r="A11" i="7"/>
  <c r="Q185" i="5"/>
  <c r="K192" i="5"/>
  <c r="Q192" i="5"/>
  <c r="K193" i="5"/>
  <c r="Q193" i="5"/>
  <c r="Q195" i="5"/>
  <c r="K196" i="5"/>
  <c r="Q196" i="5"/>
  <c r="K197" i="5"/>
  <c r="Q197" i="5"/>
  <c r="K198" i="5"/>
  <c r="Q198" i="5"/>
  <c r="D11" i="6"/>
  <c r="D12" i="6"/>
  <c r="E135" i="6"/>
  <c r="F135" i="6" s="1"/>
  <c r="G135" i="6" s="1"/>
  <c r="L135" i="6"/>
  <c r="E136" i="6"/>
  <c r="F136" i="6"/>
  <c r="G136" i="6" s="1"/>
  <c r="L136" i="6" s="1"/>
  <c r="E75" i="6"/>
  <c r="F75" i="6" s="1"/>
  <c r="G75" i="6" s="1"/>
  <c r="L75" i="6"/>
  <c r="E46" i="6"/>
  <c r="F46" i="6"/>
  <c r="G46" i="6" s="1"/>
  <c r="L46" i="6" s="1"/>
  <c r="E47" i="6"/>
  <c r="F47" i="6" s="1"/>
  <c r="G47" i="6" s="1"/>
  <c r="E48" i="6"/>
  <c r="F48" i="6" s="1"/>
  <c r="G48" i="6" s="1"/>
  <c r="E49" i="6"/>
  <c r="F49" i="6" s="1"/>
  <c r="G49" i="6" s="1"/>
  <c r="E50" i="6"/>
  <c r="F50" i="6"/>
  <c r="G50" i="6" s="1"/>
  <c r="E51" i="6"/>
  <c r="F51" i="6"/>
  <c r="G51" i="6" s="1"/>
  <c r="E53" i="6"/>
  <c r="F53" i="6" s="1"/>
  <c r="G53" i="6" s="1"/>
  <c r="E54" i="6"/>
  <c r="F54" i="6" s="1"/>
  <c r="G54" i="6" s="1"/>
  <c r="E55" i="6"/>
  <c r="F55" i="6" s="1"/>
  <c r="G55" i="6" s="1"/>
  <c r="E56" i="6"/>
  <c r="F56" i="6"/>
  <c r="E57" i="6"/>
  <c r="F57" i="6"/>
  <c r="G57" i="6" s="1"/>
  <c r="L57" i="6" s="1"/>
  <c r="E58" i="6"/>
  <c r="F58" i="6"/>
  <c r="E59" i="6"/>
  <c r="F59" i="6"/>
  <c r="G59" i="6" s="1"/>
  <c r="L59" i="6"/>
  <c r="E61" i="6"/>
  <c r="F61" i="6" s="1"/>
  <c r="E62" i="6"/>
  <c r="F62" i="6"/>
  <c r="G62" i="6" s="1"/>
  <c r="L62" i="6"/>
  <c r="E63" i="6"/>
  <c r="F63" i="6"/>
  <c r="G63" i="6" s="1"/>
  <c r="E64" i="6"/>
  <c r="F64" i="6" s="1"/>
  <c r="G64" i="6"/>
  <c r="L64" i="6" s="1"/>
  <c r="E65" i="6"/>
  <c r="F65" i="6" s="1"/>
  <c r="G65" i="6"/>
  <c r="E66" i="6"/>
  <c r="F66" i="6" s="1"/>
  <c r="G66" i="6" s="1"/>
  <c r="L66" i="6"/>
  <c r="E67" i="6"/>
  <c r="F67" i="6"/>
  <c r="G67" i="6" s="1"/>
  <c r="E68" i="6"/>
  <c r="F68" i="6"/>
  <c r="G68" i="6" s="1"/>
  <c r="L68" i="6" s="1"/>
  <c r="E69" i="6"/>
  <c r="F69" i="6" s="1"/>
  <c r="E70" i="6"/>
  <c r="F70" i="6" s="1"/>
  <c r="G70" i="6" s="1"/>
  <c r="E71" i="6"/>
  <c r="F71" i="6" s="1"/>
  <c r="G71" i="6"/>
  <c r="E72" i="6"/>
  <c r="F72" i="6"/>
  <c r="G72" i="6" s="1"/>
  <c r="L72" i="6" s="1"/>
  <c r="E73" i="6"/>
  <c r="F73" i="6" s="1"/>
  <c r="G73" i="6" s="1"/>
  <c r="E74" i="6"/>
  <c r="F74" i="6" s="1"/>
  <c r="G74" i="6"/>
  <c r="L74" i="6" s="1"/>
  <c r="E89" i="6"/>
  <c r="F89" i="6"/>
  <c r="G89" i="6" s="1"/>
  <c r="E92" i="6"/>
  <c r="F92" i="6"/>
  <c r="G92" i="6" s="1"/>
  <c r="E93" i="6"/>
  <c r="F93" i="6" s="1"/>
  <c r="E96" i="6"/>
  <c r="F96" i="6" s="1"/>
  <c r="E97" i="6"/>
  <c r="F97" i="6" s="1"/>
  <c r="E100" i="6"/>
  <c r="F100" i="6" s="1"/>
  <c r="G100" i="6"/>
  <c r="E103" i="6"/>
  <c r="F103" i="6"/>
  <c r="G103" i="6" s="1"/>
  <c r="E104" i="6"/>
  <c r="F104" i="6"/>
  <c r="G104" i="6" s="1"/>
  <c r="L104" i="6" s="1"/>
  <c r="E107" i="6"/>
  <c r="F107" i="6"/>
  <c r="G107" i="6"/>
  <c r="E108" i="6"/>
  <c r="F108" i="6" s="1"/>
  <c r="G108" i="6"/>
  <c r="E110" i="6"/>
  <c r="F110" i="6"/>
  <c r="G110" i="6" s="1"/>
  <c r="L110" i="6" s="1"/>
  <c r="E112" i="6"/>
  <c r="F112" i="6" s="1"/>
  <c r="E114" i="6"/>
  <c r="F114" i="6"/>
  <c r="E130" i="6"/>
  <c r="F130" i="6"/>
  <c r="G130" i="6" s="1"/>
  <c r="L130" i="6" s="1"/>
  <c r="E126" i="6"/>
  <c r="F126" i="6" s="1"/>
  <c r="E132" i="6"/>
  <c r="F132" i="6"/>
  <c r="G132" i="6" s="1"/>
  <c r="L132" i="6" s="1"/>
  <c r="E133" i="6"/>
  <c r="F133" i="6"/>
  <c r="G133" i="6"/>
  <c r="L133" i="6" s="1"/>
  <c r="E134" i="6"/>
  <c r="F134" i="6"/>
  <c r="G134" i="6" s="1"/>
  <c r="E21" i="6"/>
  <c r="F21" i="6" s="1"/>
  <c r="E22" i="6"/>
  <c r="F22" i="6" s="1"/>
  <c r="G22" i="6" s="1"/>
  <c r="J22" i="6" s="1"/>
  <c r="E23" i="6"/>
  <c r="F23" i="6"/>
  <c r="G23" i="6" s="1"/>
  <c r="L23" i="6"/>
  <c r="E24" i="6"/>
  <c r="F24" i="6"/>
  <c r="G24" i="6" s="1"/>
  <c r="E25" i="6"/>
  <c r="F25" i="6"/>
  <c r="G25" i="6" s="1"/>
  <c r="E26" i="6"/>
  <c r="F26" i="6" s="1"/>
  <c r="G26" i="6" s="1"/>
  <c r="E27" i="6"/>
  <c r="F27" i="6" s="1"/>
  <c r="G27" i="6"/>
  <c r="L27" i="6" s="1"/>
  <c r="E28" i="6"/>
  <c r="F28" i="6" s="1"/>
  <c r="G28" i="6"/>
  <c r="E29" i="6"/>
  <c r="F29" i="6" s="1"/>
  <c r="E30" i="6"/>
  <c r="F30" i="6"/>
  <c r="G30" i="6" s="1"/>
  <c r="E31" i="6"/>
  <c r="F31" i="6" s="1"/>
  <c r="G31" i="6" s="1"/>
  <c r="O31" i="6" s="1"/>
  <c r="E35" i="6"/>
  <c r="F35" i="6" s="1"/>
  <c r="G35" i="6"/>
  <c r="L35" i="6" s="1"/>
  <c r="E36" i="6"/>
  <c r="F36" i="6" s="1"/>
  <c r="G36" i="6"/>
  <c r="E39" i="6"/>
  <c r="F39" i="6" s="1"/>
  <c r="G39" i="6" s="1"/>
  <c r="E40" i="6"/>
  <c r="F40" i="6" s="1"/>
  <c r="E45" i="6"/>
  <c r="F45" i="6"/>
  <c r="G45" i="6" s="1"/>
  <c r="E123" i="6"/>
  <c r="F123" i="6"/>
  <c r="G123" i="6" s="1"/>
  <c r="K123" i="6" s="1"/>
  <c r="E65" i="1"/>
  <c r="E11" i="4" s="1"/>
  <c r="E66" i="1"/>
  <c r="E12" i="4" s="1"/>
  <c r="E67" i="1"/>
  <c r="E13" i="4" s="1"/>
  <c r="E68" i="1"/>
  <c r="E14" i="4" s="1"/>
  <c r="E61" i="1"/>
  <c r="E15" i="4" s="1"/>
  <c r="E160" i="1"/>
  <c r="E16" i="4"/>
  <c r="E161" i="1"/>
  <c r="E17" i="4" s="1"/>
  <c r="E162" i="1"/>
  <c r="E18" i="4" s="1"/>
  <c r="E35" i="1"/>
  <c r="E19" i="4" s="1"/>
  <c r="E54" i="1"/>
  <c r="E20" i="4" s="1"/>
  <c r="E55" i="1"/>
  <c r="E21" i="4" s="1"/>
  <c r="E36" i="1"/>
  <c r="E22" i="4"/>
  <c r="E37" i="1"/>
  <c r="E23" i="4" s="1"/>
  <c r="E38" i="1"/>
  <c r="E24" i="4" s="1"/>
  <c r="E39" i="1"/>
  <c r="E25" i="4" s="1"/>
  <c r="E56" i="1"/>
  <c r="E26" i="4"/>
  <c r="E57" i="1"/>
  <c r="E27" i="4" s="1"/>
  <c r="E58" i="1"/>
  <c r="E28" i="4" s="1"/>
  <c r="E59" i="1"/>
  <c r="E29" i="4" s="1"/>
  <c r="E60" i="1"/>
  <c r="E30" i="4"/>
  <c r="E150" i="1"/>
  <c r="E31" i="4" s="1"/>
  <c r="E151" i="1"/>
  <c r="E32" i="4" s="1"/>
  <c r="E152" i="1"/>
  <c r="E33" i="4" s="1"/>
  <c r="E153" i="1"/>
  <c r="E34" i="4"/>
  <c r="E154" i="1"/>
  <c r="E35" i="4" s="1"/>
  <c r="E155" i="1"/>
  <c r="E36" i="4" s="1"/>
  <c r="E156" i="1"/>
  <c r="E37" i="4" s="1"/>
  <c r="E157" i="1"/>
  <c r="E38" i="4"/>
  <c r="E158" i="1"/>
  <c r="E39" i="4" s="1"/>
  <c r="E159" i="1"/>
  <c r="E40" i="4" s="1"/>
  <c r="E163" i="1"/>
  <c r="E41" i="4" s="1"/>
  <c r="E164" i="1"/>
  <c r="E42" i="4"/>
  <c r="E165" i="1"/>
  <c r="E43" i="4" s="1"/>
  <c r="E166" i="1"/>
  <c r="E44" i="4" s="1"/>
  <c r="E167" i="1"/>
  <c r="E45" i="4"/>
  <c r="E168" i="1"/>
  <c r="E46" i="4"/>
  <c r="E169" i="1"/>
  <c r="E47" i="4"/>
  <c r="E170" i="1"/>
  <c r="E48" i="4"/>
  <c r="E171" i="1"/>
  <c r="E49" i="4"/>
  <c r="E172" i="1"/>
  <c r="E50" i="4"/>
  <c r="E173" i="1"/>
  <c r="E51" i="4"/>
  <c r="E113" i="1"/>
  <c r="E52" i="4" s="1"/>
  <c r="E114" i="1"/>
  <c r="E53" i="4" s="1"/>
  <c r="E40" i="1"/>
  <c r="E54" i="4"/>
  <c r="E23" i="1"/>
  <c r="E55" i="4" s="1"/>
  <c r="E26" i="1"/>
  <c r="E56" i="4" s="1"/>
  <c r="E81" i="1"/>
  <c r="E57" i="4" s="1"/>
  <c r="E82" i="1"/>
  <c r="E58" i="4"/>
  <c r="E80" i="1"/>
  <c r="E59" i="4" s="1"/>
  <c r="E86" i="1"/>
  <c r="E60" i="4" s="1"/>
  <c r="E87" i="1"/>
  <c r="E61" i="4" s="1"/>
  <c r="E83" i="1"/>
  <c r="E62" i="4"/>
  <c r="E84" i="1"/>
  <c r="E63" i="4" s="1"/>
  <c r="E85" i="1"/>
  <c r="E64" i="4" s="1"/>
  <c r="E64" i="1"/>
  <c r="E65" i="4" s="1"/>
  <c r="E44" i="1"/>
  <c r="E66" i="4"/>
  <c r="E45" i="1"/>
  <c r="E67" i="4" s="1"/>
  <c r="E48" i="1"/>
  <c r="E68" i="4" s="1"/>
  <c r="E46" i="1"/>
  <c r="E69" i="4" s="1"/>
  <c r="E47" i="1"/>
  <c r="E70" i="4" s="1"/>
  <c r="E49" i="1"/>
  <c r="E71" i="4" s="1"/>
  <c r="E50" i="1"/>
  <c r="E72" i="4"/>
  <c r="E51" i="1"/>
  <c r="E73" i="4"/>
  <c r="E52" i="1"/>
  <c r="E74" i="4"/>
  <c r="E53" i="1"/>
  <c r="E75" i="4"/>
  <c r="D9" i="6"/>
  <c r="E9" i="6"/>
  <c r="E109" i="6"/>
  <c r="F109" i="6"/>
  <c r="E111" i="6"/>
  <c r="F111" i="6"/>
  <c r="G111" i="6" s="1"/>
  <c r="E113" i="6"/>
  <c r="F113" i="6" s="1"/>
  <c r="G113" i="6"/>
  <c r="J113" i="6" s="1"/>
  <c r="E115" i="6"/>
  <c r="F115" i="6"/>
  <c r="G115" i="6" s="1"/>
  <c r="E116" i="6"/>
  <c r="F116" i="6" s="1"/>
  <c r="G116" i="6"/>
  <c r="K116" i="6" s="1"/>
  <c r="E117" i="6"/>
  <c r="F117" i="6"/>
  <c r="E124" i="6"/>
  <c r="F124" i="6"/>
  <c r="G124" i="6" s="1"/>
  <c r="J124" i="6" s="1"/>
  <c r="E125" i="6"/>
  <c r="F125" i="6"/>
  <c r="E127" i="6"/>
  <c r="F127" i="6"/>
  <c r="E128" i="6"/>
  <c r="F128" i="6"/>
  <c r="G128" i="6" s="1"/>
  <c r="I128" i="6" s="1"/>
  <c r="E131" i="6"/>
  <c r="F131" i="6"/>
  <c r="G131" i="6" s="1"/>
  <c r="K131" i="6" s="1"/>
  <c r="E137" i="6"/>
  <c r="F137" i="6" s="1"/>
  <c r="G137" i="6" s="1"/>
  <c r="E138" i="6"/>
  <c r="F138" i="6"/>
  <c r="E139" i="6"/>
  <c r="F139" i="6"/>
  <c r="E140" i="6"/>
  <c r="F140" i="6"/>
  <c r="G140" i="6" s="1"/>
  <c r="K140" i="6" s="1"/>
  <c r="E144" i="6"/>
  <c r="F144" i="6" s="1"/>
  <c r="G144" i="6" s="1"/>
  <c r="K144" i="6" s="1"/>
  <c r="E145" i="6"/>
  <c r="F145" i="6" s="1"/>
  <c r="E147" i="6"/>
  <c r="F147" i="6" s="1"/>
  <c r="G147" i="6" s="1"/>
  <c r="K147" i="6" s="1"/>
  <c r="E148" i="6"/>
  <c r="F148" i="6"/>
  <c r="G148" i="6" s="1"/>
  <c r="K148" i="6" s="1"/>
  <c r="E150" i="6"/>
  <c r="F150" i="6" s="1"/>
  <c r="G150" i="6"/>
  <c r="E151" i="6"/>
  <c r="F151" i="6"/>
  <c r="E152" i="6"/>
  <c r="F152" i="6"/>
  <c r="E153" i="6"/>
  <c r="F153" i="6"/>
  <c r="G153" i="6" s="1"/>
  <c r="K153" i="6" s="1"/>
  <c r="E154" i="6"/>
  <c r="F154" i="6" s="1"/>
  <c r="G154" i="6" s="1"/>
  <c r="E155" i="6"/>
  <c r="F155" i="6"/>
  <c r="E156" i="6"/>
  <c r="F156" i="6"/>
  <c r="E157" i="6"/>
  <c r="F157" i="6"/>
  <c r="E158" i="6"/>
  <c r="F158" i="6" s="1"/>
  <c r="G158" i="6" s="1"/>
  <c r="K158" i="6" s="1"/>
  <c r="E159" i="6"/>
  <c r="F159" i="6" s="1"/>
  <c r="E160" i="6"/>
  <c r="F160" i="6" s="1"/>
  <c r="E161" i="6"/>
  <c r="F161" i="6" s="1"/>
  <c r="G161" i="6" s="1"/>
  <c r="K161" i="6" s="1"/>
  <c r="E162" i="6"/>
  <c r="F162" i="6" s="1"/>
  <c r="G162" i="6" s="1"/>
  <c r="E163" i="6"/>
  <c r="F163" i="6"/>
  <c r="E164" i="6"/>
  <c r="F164" i="6"/>
  <c r="E165" i="6"/>
  <c r="F165" i="6"/>
  <c r="G165" i="6" s="1"/>
  <c r="E166" i="6"/>
  <c r="F166" i="6" s="1"/>
  <c r="G166" i="6" s="1"/>
  <c r="E167" i="6"/>
  <c r="F167" i="6"/>
  <c r="E168" i="6"/>
  <c r="F168" i="6"/>
  <c r="E169" i="6"/>
  <c r="F169" i="6"/>
  <c r="E170" i="6"/>
  <c r="F170" i="6"/>
  <c r="G170" i="6" s="1"/>
  <c r="E171" i="6"/>
  <c r="F171" i="6" s="1"/>
  <c r="E172" i="6"/>
  <c r="F172" i="6" s="1"/>
  <c r="E173" i="6"/>
  <c r="F173" i="6" s="1"/>
  <c r="G173" i="6" s="1"/>
  <c r="E174" i="6"/>
  <c r="F174" i="6"/>
  <c r="G174" i="6" s="1"/>
  <c r="E175" i="6"/>
  <c r="F175" i="6" s="1"/>
  <c r="E176" i="6"/>
  <c r="F176" i="6" s="1"/>
  <c r="E177" i="6"/>
  <c r="F177" i="6" s="1"/>
  <c r="E118" i="6"/>
  <c r="F118" i="6" s="1"/>
  <c r="E119" i="6"/>
  <c r="F119" i="6" s="1"/>
  <c r="E120" i="6"/>
  <c r="F120" i="6" s="1"/>
  <c r="E121" i="6"/>
  <c r="F121" i="6" s="1"/>
  <c r="E122" i="6"/>
  <c r="F122" i="6" s="1"/>
  <c r="E129" i="6"/>
  <c r="F129" i="6" s="1"/>
  <c r="E141" i="6"/>
  <c r="F141" i="6" s="1"/>
  <c r="S141" i="6"/>
  <c r="E142" i="6"/>
  <c r="F142" i="6"/>
  <c r="E143" i="6"/>
  <c r="F143" i="6"/>
  <c r="E146" i="6"/>
  <c r="F146" i="6"/>
  <c r="E149" i="6"/>
  <c r="F149" i="6"/>
  <c r="D13" i="6"/>
  <c r="E32" i="6"/>
  <c r="F32" i="6" s="1"/>
  <c r="G32" i="6"/>
  <c r="E33" i="6"/>
  <c r="F33" i="6"/>
  <c r="G33" i="6" s="1"/>
  <c r="E34" i="6"/>
  <c r="F34" i="6" s="1"/>
  <c r="E37" i="6"/>
  <c r="F37" i="6" s="1"/>
  <c r="E38" i="6"/>
  <c r="F38" i="6" s="1"/>
  <c r="G38" i="6"/>
  <c r="O38" i="6" s="1"/>
  <c r="E41" i="6"/>
  <c r="F41" i="6"/>
  <c r="G41" i="6" s="1"/>
  <c r="O41" i="6" s="1"/>
  <c r="E42" i="6"/>
  <c r="F42" i="6"/>
  <c r="E43" i="6"/>
  <c r="F43" i="6"/>
  <c r="G43" i="6" s="1"/>
  <c r="E44" i="6"/>
  <c r="F44" i="6" s="1"/>
  <c r="E52" i="6"/>
  <c r="F52" i="6"/>
  <c r="E60" i="6"/>
  <c r="F60" i="6"/>
  <c r="G60" i="6" s="1"/>
  <c r="K60" i="6" s="1"/>
  <c r="E76" i="6"/>
  <c r="F76" i="6" s="1"/>
  <c r="G76" i="6" s="1"/>
  <c r="E77" i="6"/>
  <c r="F77" i="6"/>
  <c r="G77" i="6" s="1"/>
  <c r="E78" i="6"/>
  <c r="F78" i="6" s="1"/>
  <c r="G78" i="6" s="1"/>
  <c r="I78" i="6" s="1"/>
  <c r="E79" i="6"/>
  <c r="F79" i="6" s="1"/>
  <c r="G79" i="6" s="1"/>
  <c r="E80" i="6"/>
  <c r="F80" i="6"/>
  <c r="E81" i="6"/>
  <c r="F81" i="6"/>
  <c r="G81" i="6" s="1"/>
  <c r="I81" i="6" s="1"/>
  <c r="E82" i="6"/>
  <c r="F82" i="6"/>
  <c r="E83" i="6"/>
  <c r="F83" i="6"/>
  <c r="G83" i="6" s="1"/>
  <c r="K83" i="6" s="1"/>
  <c r="E84" i="6"/>
  <c r="F84" i="6"/>
  <c r="G84" i="6" s="1"/>
  <c r="E85" i="6"/>
  <c r="F85" i="6" s="1"/>
  <c r="E86" i="6"/>
  <c r="F86" i="6"/>
  <c r="G86" i="6" s="1"/>
  <c r="I86" i="6" s="1"/>
  <c r="E87" i="6"/>
  <c r="F87" i="6"/>
  <c r="G87" i="6" s="1"/>
  <c r="E88" i="6"/>
  <c r="F88" i="6" s="1"/>
  <c r="E90" i="6"/>
  <c r="F90" i="6" s="1"/>
  <c r="G90" i="6" s="1"/>
  <c r="E91" i="6"/>
  <c r="F91" i="6"/>
  <c r="G91" i="6" s="1"/>
  <c r="K91" i="6"/>
  <c r="E94" i="6"/>
  <c r="F94" i="6"/>
  <c r="G94" i="6" s="1"/>
  <c r="E95" i="6"/>
  <c r="F95" i="6" s="1"/>
  <c r="G95" i="6" s="1"/>
  <c r="K95" i="6" s="1"/>
  <c r="E98" i="6"/>
  <c r="F98" i="6"/>
  <c r="E99" i="6"/>
  <c r="F99" i="6" s="1"/>
  <c r="G99" i="6" s="1"/>
  <c r="E101" i="6"/>
  <c r="F101" i="6"/>
  <c r="E102" i="6"/>
  <c r="F102" i="6"/>
  <c r="G102" i="6" s="1"/>
  <c r="E105" i="6"/>
  <c r="F105" i="6" s="1"/>
  <c r="G105" i="6" s="1"/>
  <c r="K105" i="6" s="1"/>
  <c r="E106" i="6"/>
  <c r="F106" i="6"/>
  <c r="F16" i="6"/>
  <c r="F17" i="6" s="1"/>
  <c r="C17" i="6"/>
  <c r="B19" i="6"/>
  <c r="R123" i="6"/>
  <c r="R126" i="6"/>
  <c r="K132" i="6"/>
  <c r="R132" i="6"/>
  <c r="K133" i="6"/>
  <c r="R133" i="6"/>
  <c r="K134" i="6"/>
  <c r="R134" i="6"/>
  <c r="R21" i="6"/>
  <c r="R22" i="6"/>
  <c r="J23" i="6"/>
  <c r="R23" i="6"/>
  <c r="R24" i="6"/>
  <c r="R25" i="6"/>
  <c r="R26" i="6"/>
  <c r="O27" i="6"/>
  <c r="R27" i="6"/>
  <c r="R28" i="6"/>
  <c r="R29" i="6"/>
  <c r="O30" i="6"/>
  <c r="R30" i="6"/>
  <c r="R31" i="6"/>
  <c r="R35" i="6"/>
  <c r="R36" i="6"/>
  <c r="R39" i="6"/>
  <c r="R40" i="6"/>
  <c r="R45" i="6"/>
  <c r="O46" i="6"/>
  <c r="R46" i="6"/>
  <c r="O47" i="6"/>
  <c r="R47" i="6"/>
  <c r="R48" i="6"/>
  <c r="R49" i="6"/>
  <c r="R50" i="6"/>
  <c r="R51" i="6"/>
  <c r="R53" i="6"/>
  <c r="R54" i="6"/>
  <c r="R55" i="6"/>
  <c r="R56" i="6"/>
  <c r="K57" i="6"/>
  <c r="R57" i="6"/>
  <c r="R58" i="6"/>
  <c r="K59" i="6"/>
  <c r="R59" i="6"/>
  <c r="R61" i="6"/>
  <c r="K62" i="6"/>
  <c r="R62" i="6"/>
  <c r="R63" i="6"/>
  <c r="K64" i="6"/>
  <c r="R64" i="6"/>
  <c r="R65" i="6"/>
  <c r="K66" i="6"/>
  <c r="R66" i="6"/>
  <c r="R67" i="6"/>
  <c r="K68" i="6"/>
  <c r="R68" i="6"/>
  <c r="R69" i="6"/>
  <c r="R70" i="6"/>
  <c r="R71" i="6"/>
  <c r="K72" i="6"/>
  <c r="R72" i="6"/>
  <c r="J73" i="6"/>
  <c r="R73" i="6"/>
  <c r="J74" i="6"/>
  <c r="R74" i="6"/>
  <c r="R89" i="6"/>
  <c r="R92" i="6"/>
  <c r="R93" i="6"/>
  <c r="R96" i="6"/>
  <c r="R97" i="6"/>
  <c r="R100" i="6"/>
  <c r="R103" i="6"/>
  <c r="J104" i="6"/>
  <c r="R104" i="6"/>
  <c r="R107" i="6"/>
  <c r="R108" i="6"/>
  <c r="J110" i="6"/>
  <c r="R110" i="6"/>
  <c r="R112" i="6"/>
  <c r="R114" i="6"/>
  <c r="K130" i="6"/>
  <c r="R130" i="6"/>
  <c r="K135" i="6"/>
  <c r="R135" i="6"/>
  <c r="K136" i="6"/>
  <c r="R136" i="6"/>
  <c r="J75" i="6"/>
  <c r="R75" i="6"/>
  <c r="R32" i="6"/>
  <c r="R33" i="6"/>
  <c r="R34" i="6"/>
  <c r="R37" i="6"/>
  <c r="R38" i="6"/>
  <c r="R41" i="6"/>
  <c r="R42" i="6"/>
  <c r="R43" i="6"/>
  <c r="R44" i="6"/>
  <c r="R52" i="6"/>
  <c r="R60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K90" i="6"/>
  <c r="R90" i="6"/>
  <c r="R91" i="6"/>
  <c r="R94" i="6"/>
  <c r="R95" i="6"/>
  <c r="R98" i="6"/>
  <c r="R99" i="6"/>
  <c r="R101" i="6"/>
  <c r="R102" i="6"/>
  <c r="R105" i="6"/>
  <c r="R106" i="6"/>
  <c r="R109" i="6"/>
  <c r="J111" i="6"/>
  <c r="R111" i="6"/>
  <c r="R113" i="6"/>
  <c r="R115" i="6"/>
  <c r="R116" i="6"/>
  <c r="R117" i="6"/>
  <c r="R118" i="6"/>
  <c r="R119" i="6"/>
  <c r="R120" i="6"/>
  <c r="R121" i="6"/>
  <c r="R122" i="6"/>
  <c r="R124" i="6"/>
  <c r="R125" i="6"/>
  <c r="R127" i="6"/>
  <c r="R128" i="6"/>
  <c r="R129" i="6"/>
  <c r="R131" i="6"/>
  <c r="R137" i="6"/>
  <c r="R138" i="6"/>
  <c r="R139" i="6"/>
  <c r="R140" i="6"/>
  <c r="R141" i="6"/>
  <c r="Q142" i="6"/>
  <c r="T142" i="6" s="1"/>
  <c r="R142" i="6"/>
  <c r="R143" i="6"/>
  <c r="R144" i="6"/>
  <c r="R145" i="6"/>
  <c r="R146" i="6"/>
  <c r="R147" i="6"/>
  <c r="R148" i="6"/>
  <c r="R149" i="6"/>
  <c r="K150" i="6"/>
  <c r="R150" i="6"/>
  <c r="R151" i="6"/>
  <c r="R152" i="6"/>
  <c r="R153" i="6"/>
  <c r="K154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D9" i="3"/>
  <c r="E9" i="3"/>
  <c r="E122" i="3"/>
  <c r="F122" i="3"/>
  <c r="G122" i="3" s="1"/>
  <c r="L122" i="3" s="1"/>
  <c r="E123" i="3"/>
  <c r="F123" i="3"/>
  <c r="G123" i="3" s="1"/>
  <c r="L123" i="3" s="1"/>
  <c r="E124" i="3"/>
  <c r="F124" i="3"/>
  <c r="G124" i="3" s="1"/>
  <c r="E125" i="3"/>
  <c r="F125" i="3" s="1"/>
  <c r="G125" i="3" s="1"/>
  <c r="O125" i="3" s="1"/>
  <c r="E126" i="3"/>
  <c r="F126" i="3"/>
  <c r="G126" i="3" s="1"/>
  <c r="E128" i="3"/>
  <c r="F128" i="3" s="1"/>
  <c r="G128" i="3" s="1"/>
  <c r="O128" i="3" s="1"/>
  <c r="E129" i="3"/>
  <c r="F129" i="3" s="1"/>
  <c r="G129" i="3"/>
  <c r="E130" i="3"/>
  <c r="F130" i="3"/>
  <c r="G130" i="3" s="1"/>
  <c r="E131" i="3"/>
  <c r="F131" i="3" s="1"/>
  <c r="G131" i="3"/>
  <c r="J131" i="3" s="1"/>
  <c r="E132" i="3"/>
  <c r="F132" i="3"/>
  <c r="G132" i="3" s="1"/>
  <c r="J132" i="3" s="1"/>
  <c r="E133" i="3"/>
  <c r="F133" i="3" s="1"/>
  <c r="G133" i="3" s="1"/>
  <c r="E134" i="3"/>
  <c r="F134" i="3"/>
  <c r="G134" i="3" s="1"/>
  <c r="E135" i="3"/>
  <c r="F135" i="3" s="1"/>
  <c r="G135" i="3" s="1"/>
  <c r="O135" i="3" s="1"/>
  <c r="E136" i="3"/>
  <c r="F136" i="3"/>
  <c r="G136" i="3" s="1"/>
  <c r="O136" i="3"/>
  <c r="E137" i="3"/>
  <c r="F137" i="3"/>
  <c r="G137" i="3" s="1"/>
  <c r="E138" i="3"/>
  <c r="F138" i="3" s="1"/>
  <c r="G138" i="3" s="1"/>
  <c r="E139" i="3"/>
  <c r="F139" i="3"/>
  <c r="G139" i="3" s="1"/>
  <c r="E140" i="3"/>
  <c r="F140" i="3" s="1"/>
  <c r="E141" i="3"/>
  <c r="F141" i="3" s="1"/>
  <c r="G141" i="3" s="1"/>
  <c r="E142" i="3"/>
  <c r="F142" i="3"/>
  <c r="G142" i="3" s="1"/>
  <c r="E143" i="3"/>
  <c r="F143" i="3" s="1"/>
  <c r="G143" i="3" s="1"/>
  <c r="J143" i="3" s="1"/>
  <c r="E120" i="3"/>
  <c r="F120" i="3" s="1"/>
  <c r="E121" i="3"/>
  <c r="F121" i="3" s="1"/>
  <c r="E127" i="3"/>
  <c r="F127" i="3" s="1"/>
  <c r="D11" i="3"/>
  <c r="Q52" i="3" s="1"/>
  <c r="S52" i="3" s="1"/>
  <c r="D12" i="3"/>
  <c r="D13" i="3"/>
  <c r="E21" i="3"/>
  <c r="F21" i="3"/>
  <c r="G21" i="3" s="1"/>
  <c r="O21" i="3" s="1"/>
  <c r="E22" i="3"/>
  <c r="F22" i="3"/>
  <c r="E23" i="3"/>
  <c r="F23" i="3"/>
  <c r="G23" i="3" s="1"/>
  <c r="E24" i="3"/>
  <c r="F24" i="3" s="1"/>
  <c r="G24" i="3"/>
  <c r="E25" i="3"/>
  <c r="F25" i="3"/>
  <c r="G25" i="3" s="1"/>
  <c r="E26" i="3"/>
  <c r="F26" i="3" s="1"/>
  <c r="G26" i="3"/>
  <c r="O26" i="3" s="1"/>
  <c r="E27" i="3"/>
  <c r="F27" i="3" s="1"/>
  <c r="G27" i="3" s="1"/>
  <c r="O27" i="3" s="1"/>
  <c r="E28" i="3"/>
  <c r="F28" i="3" s="1"/>
  <c r="G28" i="3" s="1"/>
  <c r="E29" i="3"/>
  <c r="F29" i="3"/>
  <c r="G29" i="3" s="1"/>
  <c r="E30" i="3"/>
  <c r="F30" i="3"/>
  <c r="G30" i="3" s="1"/>
  <c r="O30" i="3"/>
  <c r="E31" i="3"/>
  <c r="F31" i="3"/>
  <c r="G31" i="3" s="1"/>
  <c r="E32" i="3"/>
  <c r="F32" i="3" s="1"/>
  <c r="G32" i="3" s="1"/>
  <c r="O32" i="3" s="1"/>
  <c r="E33" i="3"/>
  <c r="F33" i="3"/>
  <c r="G33" i="3" s="1"/>
  <c r="O33" i="3" s="1"/>
  <c r="E34" i="3"/>
  <c r="F34" i="3"/>
  <c r="G34" i="3" s="1"/>
  <c r="O34" i="3" s="1"/>
  <c r="E35" i="3"/>
  <c r="F35" i="3"/>
  <c r="G35" i="3" s="1"/>
  <c r="O35" i="3" s="1"/>
  <c r="E36" i="3"/>
  <c r="F36" i="3"/>
  <c r="G36" i="3" s="1"/>
  <c r="E37" i="3"/>
  <c r="F37" i="3" s="1"/>
  <c r="G37" i="3" s="1"/>
  <c r="O37" i="3" s="1"/>
  <c r="E38" i="3"/>
  <c r="F38" i="3" s="1"/>
  <c r="G38" i="3" s="1"/>
  <c r="O38" i="3" s="1"/>
  <c r="E39" i="3"/>
  <c r="F39" i="3" s="1"/>
  <c r="G39" i="3" s="1"/>
  <c r="O39" i="3" s="1"/>
  <c r="E40" i="3"/>
  <c r="F40" i="3" s="1"/>
  <c r="G40" i="3" s="1"/>
  <c r="O40" i="3" s="1"/>
  <c r="E41" i="3"/>
  <c r="F41" i="3"/>
  <c r="E42" i="3"/>
  <c r="F42" i="3"/>
  <c r="G42" i="3" s="1"/>
  <c r="O42" i="3" s="1"/>
  <c r="E43" i="3"/>
  <c r="F43" i="3"/>
  <c r="G43" i="3" s="1"/>
  <c r="E44" i="3"/>
  <c r="F44" i="3" s="1"/>
  <c r="G44" i="3" s="1"/>
  <c r="O44" i="3" s="1"/>
  <c r="E45" i="3"/>
  <c r="F45" i="3"/>
  <c r="G45" i="3" s="1"/>
  <c r="E46" i="3"/>
  <c r="F46" i="3" s="1"/>
  <c r="G46" i="3" s="1"/>
  <c r="J46" i="3" s="1"/>
  <c r="E47" i="3"/>
  <c r="F47" i="3" s="1"/>
  <c r="G47" i="3" s="1"/>
  <c r="J47" i="3" s="1"/>
  <c r="E48" i="3"/>
  <c r="F48" i="3" s="1"/>
  <c r="E49" i="3"/>
  <c r="F49" i="3" s="1"/>
  <c r="G49" i="3"/>
  <c r="J49" i="3" s="1"/>
  <c r="E50" i="3"/>
  <c r="F50" i="3"/>
  <c r="G50" i="3" s="1"/>
  <c r="J50" i="3" s="1"/>
  <c r="E51" i="3"/>
  <c r="F51" i="3"/>
  <c r="G51" i="3" s="1"/>
  <c r="E52" i="3"/>
  <c r="F52" i="3" s="1"/>
  <c r="G52" i="3" s="1"/>
  <c r="J52" i="3" s="1"/>
  <c r="E53" i="3"/>
  <c r="F53" i="3" s="1"/>
  <c r="G53" i="3" s="1"/>
  <c r="J53" i="3" s="1"/>
  <c r="E54" i="3"/>
  <c r="F54" i="3"/>
  <c r="G54" i="3" s="1"/>
  <c r="J54" i="3" s="1"/>
  <c r="E55" i="3"/>
  <c r="F55" i="3"/>
  <c r="G55" i="3" s="1"/>
  <c r="E56" i="3"/>
  <c r="F56" i="3" s="1"/>
  <c r="G56" i="3" s="1"/>
  <c r="E57" i="3"/>
  <c r="F57" i="3"/>
  <c r="G57" i="3" s="1"/>
  <c r="E58" i="3"/>
  <c r="F58" i="3" s="1"/>
  <c r="G58" i="3"/>
  <c r="J58" i="3" s="1"/>
  <c r="E59" i="3"/>
  <c r="F59" i="3" s="1"/>
  <c r="G59" i="3" s="1"/>
  <c r="J59" i="3" s="1"/>
  <c r="E60" i="3"/>
  <c r="F60" i="3"/>
  <c r="G60" i="3" s="1"/>
  <c r="J60" i="3" s="1"/>
  <c r="E61" i="3"/>
  <c r="F61" i="3" s="1"/>
  <c r="G61" i="3" s="1"/>
  <c r="J61" i="3" s="1"/>
  <c r="E62" i="3"/>
  <c r="F62" i="3" s="1"/>
  <c r="G62" i="3" s="1"/>
  <c r="J62" i="3" s="1"/>
  <c r="E63" i="3"/>
  <c r="F63" i="3" s="1"/>
  <c r="G63" i="3" s="1"/>
  <c r="E64" i="3"/>
  <c r="F64" i="3"/>
  <c r="G64" i="3" s="1"/>
  <c r="J64" i="3" s="1"/>
  <c r="E65" i="3"/>
  <c r="F65" i="3" s="1"/>
  <c r="G65" i="3" s="1"/>
  <c r="J65" i="3" s="1"/>
  <c r="E66" i="3"/>
  <c r="F66" i="3" s="1"/>
  <c r="G66" i="3"/>
  <c r="J66" i="3" s="1"/>
  <c r="E67" i="3"/>
  <c r="F67" i="3" s="1"/>
  <c r="G67" i="3" s="1"/>
  <c r="J67" i="3" s="1"/>
  <c r="E68" i="3"/>
  <c r="F68" i="3" s="1"/>
  <c r="G68" i="3"/>
  <c r="J68" i="3" s="1"/>
  <c r="E69" i="3"/>
  <c r="F69" i="3" s="1"/>
  <c r="G69" i="3"/>
  <c r="J69" i="3" s="1"/>
  <c r="E70" i="3"/>
  <c r="F70" i="3" s="1"/>
  <c r="E71" i="3"/>
  <c r="F71" i="3" s="1"/>
  <c r="G71" i="3" s="1"/>
  <c r="K71" i="3" s="1"/>
  <c r="E72" i="3"/>
  <c r="F72" i="3" s="1"/>
  <c r="G72" i="3" s="1"/>
  <c r="K72" i="3" s="1"/>
  <c r="E73" i="3"/>
  <c r="F73" i="3"/>
  <c r="G73" i="3" s="1"/>
  <c r="K73" i="3"/>
  <c r="E74" i="3"/>
  <c r="F74" i="3"/>
  <c r="G74" i="3" s="1"/>
  <c r="K74" i="3"/>
  <c r="E75" i="3"/>
  <c r="F75" i="3"/>
  <c r="G75" i="3" s="1"/>
  <c r="K75" i="3" s="1"/>
  <c r="E76" i="3"/>
  <c r="F76" i="3" s="1"/>
  <c r="G76" i="3"/>
  <c r="K76" i="3" s="1"/>
  <c r="E77" i="3"/>
  <c r="F77" i="3" s="1"/>
  <c r="G77" i="3" s="1"/>
  <c r="K77" i="3" s="1"/>
  <c r="E78" i="3"/>
  <c r="F78" i="3" s="1"/>
  <c r="G78" i="3"/>
  <c r="K78" i="3" s="1"/>
  <c r="E79" i="3"/>
  <c r="F79" i="3" s="1"/>
  <c r="E80" i="3"/>
  <c r="F80" i="3" s="1"/>
  <c r="G80" i="3" s="1"/>
  <c r="K80" i="3" s="1"/>
  <c r="E81" i="3"/>
  <c r="F81" i="3"/>
  <c r="G81" i="3" s="1"/>
  <c r="E82" i="3"/>
  <c r="F82" i="3" s="1"/>
  <c r="G82" i="3" s="1"/>
  <c r="K82" i="3"/>
  <c r="E83" i="3"/>
  <c r="F83" i="3" s="1"/>
  <c r="G83" i="3"/>
  <c r="J83" i="3" s="1"/>
  <c r="E84" i="3"/>
  <c r="F84" i="3"/>
  <c r="G84" i="3" s="1"/>
  <c r="J84" i="3" s="1"/>
  <c r="E85" i="3"/>
  <c r="F85" i="3"/>
  <c r="G85" i="3" s="1"/>
  <c r="J85" i="3"/>
  <c r="E86" i="3"/>
  <c r="F86" i="3"/>
  <c r="G86" i="3"/>
  <c r="J86" i="3" s="1"/>
  <c r="E87" i="3"/>
  <c r="F87" i="3"/>
  <c r="G87" i="3" s="1"/>
  <c r="J87" i="3" s="1"/>
  <c r="E88" i="3"/>
  <c r="F88" i="3"/>
  <c r="G88" i="3"/>
  <c r="E89" i="3"/>
  <c r="F89" i="3" s="1"/>
  <c r="G89" i="3" s="1"/>
  <c r="M89" i="3" s="1"/>
  <c r="E90" i="3"/>
  <c r="F90" i="3" s="1"/>
  <c r="G90" i="3"/>
  <c r="J90" i="3" s="1"/>
  <c r="E91" i="3"/>
  <c r="F91" i="3" s="1"/>
  <c r="G91" i="3"/>
  <c r="E92" i="3"/>
  <c r="F92" i="3"/>
  <c r="E93" i="3"/>
  <c r="F93" i="3"/>
  <c r="G93" i="3" s="1"/>
  <c r="J93" i="3" s="1"/>
  <c r="E94" i="3"/>
  <c r="F94" i="3"/>
  <c r="G94" i="3" s="1"/>
  <c r="J94" i="3"/>
  <c r="E95" i="3"/>
  <c r="F95" i="3" s="1"/>
  <c r="G95" i="3" s="1"/>
  <c r="J95" i="3" s="1"/>
  <c r="E96" i="3"/>
  <c r="F96" i="3"/>
  <c r="G96" i="3" s="1"/>
  <c r="J96" i="3" s="1"/>
  <c r="E97" i="3"/>
  <c r="F97" i="3" s="1"/>
  <c r="G97" i="3" s="1"/>
  <c r="J97" i="3" s="1"/>
  <c r="E98" i="3"/>
  <c r="F98" i="3"/>
  <c r="G98" i="3" s="1"/>
  <c r="J98" i="3"/>
  <c r="E99" i="3"/>
  <c r="F99" i="3"/>
  <c r="G99" i="3" s="1"/>
  <c r="J99" i="3" s="1"/>
  <c r="E100" i="3"/>
  <c r="F100" i="3"/>
  <c r="G100" i="3" s="1"/>
  <c r="I100" i="3" s="1"/>
  <c r="E101" i="3"/>
  <c r="F101" i="3" s="1"/>
  <c r="G101" i="3" s="1"/>
  <c r="I101" i="3" s="1"/>
  <c r="E107" i="3"/>
  <c r="F107" i="3" s="1"/>
  <c r="G107" i="3" s="1"/>
  <c r="J107" i="3" s="1"/>
  <c r="E108" i="3"/>
  <c r="F108" i="3" s="1"/>
  <c r="G108" i="3"/>
  <c r="J108" i="3" s="1"/>
  <c r="E110" i="3"/>
  <c r="F110" i="3"/>
  <c r="G110" i="3" s="1"/>
  <c r="E111" i="3"/>
  <c r="F111" i="3" s="1"/>
  <c r="E112" i="3"/>
  <c r="F112" i="3" s="1"/>
  <c r="E113" i="3"/>
  <c r="F113" i="3" s="1"/>
  <c r="G113" i="3"/>
  <c r="K113" i="3" s="1"/>
  <c r="E114" i="3"/>
  <c r="F114" i="3" s="1"/>
  <c r="G114" i="3"/>
  <c r="L114" i="3" s="1"/>
  <c r="E115" i="3"/>
  <c r="F115" i="3"/>
  <c r="G115" i="3" s="1"/>
  <c r="L115" i="3" s="1"/>
  <c r="E116" i="3"/>
  <c r="F116" i="3" s="1"/>
  <c r="G116" i="3"/>
  <c r="L116" i="3" s="1"/>
  <c r="E117" i="3"/>
  <c r="F117" i="3" s="1"/>
  <c r="G117" i="3"/>
  <c r="O117" i="3" s="1"/>
  <c r="E118" i="3"/>
  <c r="F118" i="3" s="1"/>
  <c r="G118" i="3"/>
  <c r="O118" i="3" s="1"/>
  <c r="E119" i="3"/>
  <c r="F119" i="3" s="1"/>
  <c r="G119" i="3"/>
  <c r="Q139" i="3"/>
  <c r="S139" i="3" s="1"/>
  <c r="E102" i="3"/>
  <c r="F102" i="3" s="1"/>
  <c r="E103" i="3"/>
  <c r="F103" i="3"/>
  <c r="E104" i="3"/>
  <c r="F104" i="3" s="1"/>
  <c r="E105" i="3"/>
  <c r="F105" i="3"/>
  <c r="E106" i="3"/>
  <c r="F106" i="3" s="1"/>
  <c r="E109" i="3"/>
  <c r="F109" i="3" s="1"/>
  <c r="F16" i="3"/>
  <c r="F17" i="3" s="1"/>
  <c r="C17" i="3"/>
  <c r="B19" i="3"/>
  <c r="R21" i="3"/>
  <c r="R22" i="3"/>
  <c r="O23" i="3"/>
  <c r="R23" i="3"/>
  <c r="O24" i="3"/>
  <c r="R24" i="3"/>
  <c r="O25" i="3"/>
  <c r="R25" i="3"/>
  <c r="R26" i="3"/>
  <c r="R27" i="3"/>
  <c r="O28" i="3"/>
  <c r="R28" i="3"/>
  <c r="O29" i="3"/>
  <c r="R29" i="3"/>
  <c r="R30" i="3"/>
  <c r="O31" i="3"/>
  <c r="R31" i="3"/>
  <c r="R32" i="3"/>
  <c r="R33" i="3"/>
  <c r="R34" i="3"/>
  <c r="R35" i="3"/>
  <c r="O36" i="3"/>
  <c r="R36" i="3"/>
  <c r="R37" i="3"/>
  <c r="R38" i="3"/>
  <c r="R39" i="3"/>
  <c r="R40" i="3"/>
  <c r="R41" i="3"/>
  <c r="R42" i="3"/>
  <c r="O43" i="3"/>
  <c r="R43" i="3"/>
  <c r="R44" i="3"/>
  <c r="O45" i="3"/>
  <c r="R45" i="3"/>
  <c r="R46" i="3"/>
  <c r="R47" i="3"/>
  <c r="H48" i="3"/>
  <c r="R48" i="3"/>
  <c r="R49" i="3"/>
  <c r="R50" i="3"/>
  <c r="J51" i="3"/>
  <c r="R51" i="3"/>
  <c r="R52" i="3"/>
  <c r="R53" i="3"/>
  <c r="R54" i="3"/>
  <c r="J55" i="3"/>
  <c r="R55" i="3"/>
  <c r="K56" i="3"/>
  <c r="R56" i="3"/>
  <c r="J57" i="3"/>
  <c r="R57" i="3"/>
  <c r="R58" i="3"/>
  <c r="R59" i="3"/>
  <c r="R60" i="3"/>
  <c r="R61" i="3"/>
  <c r="R62" i="3"/>
  <c r="J63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K81" i="3"/>
  <c r="R81" i="3"/>
  <c r="R82" i="3"/>
  <c r="R83" i="3"/>
  <c r="R84" i="3"/>
  <c r="R85" i="3"/>
  <c r="R86" i="3"/>
  <c r="R87" i="3"/>
  <c r="J88" i="3"/>
  <c r="R88" i="3"/>
  <c r="R89" i="3"/>
  <c r="R90" i="3"/>
  <c r="J91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O110" i="3"/>
  <c r="R110" i="3"/>
  <c r="R111" i="3"/>
  <c r="R112" i="3"/>
  <c r="R113" i="3"/>
  <c r="R114" i="3"/>
  <c r="R115" i="3"/>
  <c r="R116" i="3"/>
  <c r="R117" i="3"/>
  <c r="R118" i="3"/>
  <c r="O119" i="3"/>
  <c r="R119" i="3"/>
  <c r="R120" i="3"/>
  <c r="R121" i="3"/>
  <c r="R122" i="3"/>
  <c r="R123" i="3"/>
  <c r="R124" i="3"/>
  <c r="R125" i="3"/>
  <c r="O126" i="3"/>
  <c r="R126" i="3"/>
  <c r="R127" i="3"/>
  <c r="R128" i="3"/>
  <c r="N129" i="3"/>
  <c r="R129" i="3"/>
  <c r="O130" i="3"/>
  <c r="R130" i="3"/>
  <c r="R131" i="3"/>
  <c r="R132" i="3"/>
  <c r="J133" i="3"/>
  <c r="R133" i="3"/>
  <c r="O134" i="3"/>
  <c r="R134" i="3"/>
  <c r="R135" i="3"/>
  <c r="R136" i="3"/>
  <c r="O137" i="3"/>
  <c r="R137" i="3"/>
  <c r="O138" i="3"/>
  <c r="R138" i="3"/>
  <c r="O139" i="3"/>
  <c r="R139" i="3"/>
  <c r="R140" i="3"/>
  <c r="J141" i="3"/>
  <c r="R141" i="3"/>
  <c r="O142" i="3"/>
  <c r="R142" i="3"/>
  <c r="R143" i="3"/>
  <c r="E21" i="5"/>
  <c r="F21" i="5" s="1"/>
  <c r="E22" i="5"/>
  <c r="F22" i="5" s="1"/>
  <c r="E23" i="5"/>
  <c r="F23" i="5" s="1"/>
  <c r="G23" i="5" s="1"/>
  <c r="J23" i="5" s="1"/>
  <c r="E24" i="5"/>
  <c r="F24" i="5"/>
  <c r="F25" i="5"/>
  <c r="G25" i="5"/>
  <c r="J25" i="5" s="1"/>
  <c r="F26" i="5"/>
  <c r="G26" i="5"/>
  <c r="P26" i="5"/>
  <c r="F27" i="5"/>
  <c r="G27" i="5" s="1"/>
  <c r="F28" i="5"/>
  <c r="F29" i="5"/>
  <c r="G29" i="5" s="1"/>
  <c r="I29" i="5" s="1"/>
  <c r="F30" i="5"/>
  <c r="F31" i="5"/>
  <c r="G31" i="5" s="1"/>
  <c r="F32" i="5"/>
  <c r="F33" i="5"/>
  <c r="F34" i="5"/>
  <c r="G34" i="5"/>
  <c r="I34" i="5" s="1"/>
  <c r="F35" i="5"/>
  <c r="G35" i="5"/>
  <c r="F36" i="5"/>
  <c r="G36" i="5"/>
  <c r="F37" i="5"/>
  <c r="F38" i="5"/>
  <c r="F39" i="5"/>
  <c r="G39" i="5"/>
  <c r="I39" i="5"/>
  <c r="F40" i="5"/>
  <c r="G40" i="5"/>
  <c r="F41" i="5"/>
  <c r="F42" i="5"/>
  <c r="G42" i="5" s="1"/>
  <c r="F43" i="5"/>
  <c r="G43" i="5" s="1"/>
  <c r="I43" i="5" s="1"/>
  <c r="F44" i="5"/>
  <c r="G44" i="5"/>
  <c r="F45" i="5"/>
  <c r="F46" i="5"/>
  <c r="G46" i="5"/>
  <c r="F47" i="5"/>
  <c r="F48" i="5"/>
  <c r="G48" i="5"/>
  <c r="F49" i="5"/>
  <c r="F50" i="5"/>
  <c r="G50" i="5" s="1"/>
  <c r="F51" i="5"/>
  <c r="F53" i="5"/>
  <c r="G53" i="5" s="1"/>
  <c r="F54" i="5"/>
  <c r="G54" i="5"/>
  <c r="K54" i="5" s="1"/>
  <c r="F55" i="5"/>
  <c r="F56" i="5"/>
  <c r="G56" i="5" s="1"/>
  <c r="F57" i="5"/>
  <c r="F58" i="5"/>
  <c r="G58" i="5"/>
  <c r="K58" i="5" s="1"/>
  <c r="F59" i="5"/>
  <c r="F60" i="5"/>
  <c r="F61" i="5"/>
  <c r="G61" i="5"/>
  <c r="F62" i="5"/>
  <c r="G62" i="5" s="1"/>
  <c r="K62" i="5" s="1"/>
  <c r="P62" i="5"/>
  <c r="U62" i="5" s="1"/>
  <c r="F63" i="5"/>
  <c r="F64" i="5"/>
  <c r="F65" i="5"/>
  <c r="G65" i="5"/>
  <c r="K65" i="5" s="1"/>
  <c r="F66" i="5"/>
  <c r="F67" i="5"/>
  <c r="F68" i="5"/>
  <c r="F69" i="5"/>
  <c r="P69" i="5" s="1"/>
  <c r="F70" i="5"/>
  <c r="F71" i="5"/>
  <c r="F72" i="5"/>
  <c r="G72" i="5"/>
  <c r="F73" i="5"/>
  <c r="G73" i="5" s="1"/>
  <c r="F74" i="5"/>
  <c r="G74" i="5" s="1"/>
  <c r="E75" i="5"/>
  <c r="F75" i="5" s="1"/>
  <c r="F76" i="5"/>
  <c r="G76" i="5"/>
  <c r="F77" i="5"/>
  <c r="G77" i="5"/>
  <c r="K77" i="5" s="1"/>
  <c r="F78" i="5"/>
  <c r="F79" i="5"/>
  <c r="G79" i="5"/>
  <c r="K79" i="5"/>
  <c r="F80" i="5"/>
  <c r="G80" i="5"/>
  <c r="F81" i="5"/>
  <c r="P81" i="5"/>
  <c r="G81" i="5"/>
  <c r="I81" i="5" s="1"/>
  <c r="F82" i="5"/>
  <c r="F83" i="5"/>
  <c r="G83" i="5"/>
  <c r="K83" i="5"/>
  <c r="F84" i="5"/>
  <c r="G84" i="5" s="1"/>
  <c r="F85" i="5"/>
  <c r="G85" i="5"/>
  <c r="I85" i="5" s="1"/>
  <c r="F86" i="5"/>
  <c r="F87" i="5"/>
  <c r="G87" i="5"/>
  <c r="E88" i="5"/>
  <c r="F88" i="5"/>
  <c r="G88" i="5"/>
  <c r="K88" i="5" s="1"/>
  <c r="F89" i="5"/>
  <c r="P89" i="5"/>
  <c r="G89" i="5"/>
  <c r="J89" i="5" s="1"/>
  <c r="E90" i="5"/>
  <c r="F90" i="5"/>
  <c r="E91" i="5"/>
  <c r="F91" i="5"/>
  <c r="F92" i="5"/>
  <c r="G92" i="5"/>
  <c r="F93" i="5"/>
  <c r="P93" i="5" s="1"/>
  <c r="R93" i="5" s="1"/>
  <c r="T93" i="5" s="1"/>
  <c r="E94" i="5"/>
  <c r="F94" i="5"/>
  <c r="G94" i="5" s="1"/>
  <c r="E95" i="5"/>
  <c r="F95" i="5"/>
  <c r="E97" i="5"/>
  <c r="F97" i="5"/>
  <c r="F98" i="5"/>
  <c r="G98" i="5"/>
  <c r="E99" i="5"/>
  <c r="F99" i="5" s="1"/>
  <c r="G99" i="5" s="1"/>
  <c r="K99" i="5" s="1"/>
  <c r="E100" i="5"/>
  <c r="F100" i="5"/>
  <c r="G100" i="5"/>
  <c r="H100" i="5" s="1"/>
  <c r="F101" i="5"/>
  <c r="E102" i="5"/>
  <c r="F102" i="5" s="1"/>
  <c r="G102" i="5"/>
  <c r="K102" i="5"/>
  <c r="E103" i="5"/>
  <c r="F103" i="5" s="1"/>
  <c r="F104" i="5"/>
  <c r="F105" i="5"/>
  <c r="E106" i="5"/>
  <c r="F106" i="5"/>
  <c r="E108" i="5"/>
  <c r="F108" i="5"/>
  <c r="E109" i="5"/>
  <c r="F109" i="5" s="1"/>
  <c r="F110" i="5"/>
  <c r="G110" i="5" s="1"/>
  <c r="F111" i="5"/>
  <c r="G111" i="5"/>
  <c r="E112" i="5"/>
  <c r="F112" i="5" s="1"/>
  <c r="F113" i="5"/>
  <c r="F114" i="5"/>
  <c r="G114" i="5" s="1"/>
  <c r="F115" i="5"/>
  <c r="G115" i="5"/>
  <c r="E116" i="5"/>
  <c r="F116" i="5" s="1"/>
  <c r="G116" i="5" s="1"/>
  <c r="J116" i="5" s="1"/>
  <c r="F117" i="5"/>
  <c r="F118" i="5"/>
  <c r="G118" i="5"/>
  <c r="P118" i="5"/>
  <c r="F119" i="5"/>
  <c r="P140" i="5"/>
  <c r="P161" i="5"/>
  <c r="P184" i="5"/>
  <c r="F16" i="5"/>
  <c r="F17" i="5" s="1"/>
  <c r="C17" i="5"/>
  <c r="B19" i="5"/>
  <c r="Q21" i="5"/>
  <c r="Q22" i="5"/>
  <c r="Q23" i="5"/>
  <c r="Q24" i="5"/>
  <c r="Q25" i="5"/>
  <c r="K26" i="5"/>
  <c r="Q26" i="5"/>
  <c r="Q27" i="5"/>
  <c r="Q28" i="5"/>
  <c r="Q29" i="5"/>
  <c r="Q30" i="5"/>
  <c r="I31" i="5"/>
  <c r="Q31" i="5"/>
  <c r="Q32" i="5"/>
  <c r="Q33" i="5"/>
  <c r="Q34" i="5"/>
  <c r="Q35" i="5"/>
  <c r="I36" i="5"/>
  <c r="Q36" i="5"/>
  <c r="Q37" i="5"/>
  <c r="Q38" i="5"/>
  <c r="Q39" i="5"/>
  <c r="I40" i="5"/>
  <c r="Q40" i="5"/>
  <c r="Q41" i="5"/>
  <c r="I42" i="5"/>
  <c r="Q42" i="5"/>
  <c r="Q43" i="5"/>
  <c r="K44" i="5"/>
  <c r="Q44" i="5"/>
  <c r="Q45" i="5"/>
  <c r="J46" i="5"/>
  <c r="Q46" i="5"/>
  <c r="Q47" i="5"/>
  <c r="Q48" i="5"/>
  <c r="Q49" i="5"/>
  <c r="K50" i="5"/>
  <c r="Q50" i="5"/>
  <c r="Q51" i="5"/>
  <c r="H52" i="5"/>
  <c r="Q52" i="5"/>
  <c r="K53" i="5"/>
  <c r="Q53" i="5"/>
  <c r="Q54" i="5"/>
  <c r="Q55" i="5"/>
  <c r="Q56" i="5"/>
  <c r="Q57" i="5"/>
  <c r="Q58" i="5"/>
  <c r="Q59" i="5"/>
  <c r="Q60" i="5"/>
  <c r="K61" i="5"/>
  <c r="Q61" i="5"/>
  <c r="Q62" i="5"/>
  <c r="Q63" i="5"/>
  <c r="Q64" i="5"/>
  <c r="Q65" i="5"/>
  <c r="Q66" i="5"/>
  <c r="Q67" i="5"/>
  <c r="Q68" i="5"/>
  <c r="Q69" i="5"/>
  <c r="Q70" i="5"/>
  <c r="Q71" i="5"/>
  <c r="K72" i="5"/>
  <c r="Q72" i="5"/>
  <c r="Q73" i="5"/>
  <c r="J74" i="5"/>
  <c r="Q74" i="5"/>
  <c r="Q75" i="5"/>
  <c r="I76" i="5"/>
  <c r="Q76" i="5"/>
  <c r="Q77" i="5"/>
  <c r="Q78" i="5"/>
  <c r="Q79" i="5"/>
  <c r="K80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7" i="5"/>
  <c r="J98" i="5"/>
  <c r="Q98" i="5"/>
  <c r="Q99" i="5"/>
  <c r="Q100" i="5"/>
  <c r="Q101" i="5"/>
  <c r="Q102" i="5"/>
  <c r="Q103" i="5"/>
  <c r="Q104" i="5"/>
  <c r="Q105" i="5"/>
  <c r="Q106" i="5"/>
  <c r="Q108" i="5"/>
  <c r="Q109" i="5"/>
  <c r="Q110" i="5"/>
  <c r="Q111" i="5"/>
  <c r="Q112" i="5"/>
  <c r="Q113" i="5"/>
  <c r="J114" i="5"/>
  <c r="Q114" i="5"/>
  <c r="Q115" i="5"/>
  <c r="Q116" i="5"/>
  <c r="Q117" i="5"/>
  <c r="Q118" i="5"/>
  <c r="Q119" i="5"/>
  <c r="Q120" i="5"/>
  <c r="Q121" i="5"/>
  <c r="Q122" i="5"/>
  <c r="Q123" i="5"/>
  <c r="Q124" i="5"/>
  <c r="K125" i="5"/>
  <c r="Q125" i="5"/>
  <c r="J126" i="5"/>
  <c r="Q126" i="5"/>
  <c r="I127" i="5"/>
  <c r="Q127" i="5"/>
  <c r="K128" i="5"/>
  <c r="Q128" i="5"/>
  <c r="J129" i="5"/>
  <c r="Q129" i="5"/>
  <c r="I130" i="5"/>
  <c r="Q130" i="5"/>
  <c r="Q131" i="5"/>
  <c r="K132" i="5"/>
  <c r="Q132" i="5"/>
  <c r="K134" i="5"/>
  <c r="Q134" i="5"/>
  <c r="K135" i="5"/>
  <c r="Q135" i="5"/>
  <c r="K136" i="5"/>
  <c r="Q136" i="5"/>
  <c r="K137" i="5"/>
  <c r="Q137" i="5"/>
  <c r="K138" i="5"/>
  <c r="Q138" i="5"/>
  <c r="K139" i="5"/>
  <c r="Q139" i="5"/>
  <c r="K140" i="5"/>
  <c r="Q140" i="5"/>
  <c r="K142" i="5"/>
  <c r="Q142" i="5"/>
  <c r="K144" i="5"/>
  <c r="Q144" i="5"/>
  <c r="K145" i="5"/>
  <c r="Q145" i="5"/>
  <c r="Q146" i="5"/>
  <c r="V146" i="5"/>
  <c r="Q147" i="5"/>
  <c r="Q148" i="5"/>
  <c r="K149" i="5"/>
  <c r="Q149" i="5"/>
  <c r="K150" i="5"/>
  <c r="Q150" i="5"/>
  <c r="P151" i="5"/>
  <c r="R151" i="5" s="1"/>
  <c r="Q151" i="5"/>
  <c r="K152" i="5"/>
  <c r="Q152" i="5"/>
  <c r="K153" i="5"/>
  <c r="Q153" i="5"/>
  <c r="P154" i="5"/>
  <c r="R154" i="5" s="1"/>
  <c r="Q154" i="5"/>
  <c r="K155" i="5"/>
  <c r="Q155" i="5"/>
  <c r="K156" i="5"/>
  <c r="Q156" i="5"/>
  <c r="K158" i="5"/>
  <c r="Q158" i="5"/>
  <c r="K159" i="5"/>
  <c r="Q159" i="5"/>
  <c r="K160" i="5"/>
  <c r="Q160" i="5"/>
  <c r="K161" i="5"/>
  <c r="Q161" i="5"/>
  <c r="K163" i="5"/>
  <c r="Q163" i="5"/>
  <c r="K166" i="5"/>
  <c r="Q166" i="5"/>
  <c r="K167" i="5"/>
  <c r="Q167" i="5"/>
  <c r="K168" i="5"/>
  <c r="Q168" i="5"/>
  <c r="K169" i="5"/>
  <c r="Q169" i="5"/>
  <c r="K171" i="5"/>
  <c r="Q171" i="5"/>
  <c r="K172" i="5"/>
  <c r="Q172" i="5"/>
  <c r="K173" i="5"/>
  <c r="Q173" i="5"/>
  <c r="K177" i="5"/>
  <c r="Q177" i="5"/>
  <c r="K178" i="5"/>
  <c r="Q178" i="5"/>
  <c r="K179" i="5"/>
  <c r="Q179" i="5"/>
  <c r="K180" i="5"/>
  <c r="Q180" i="5"/>
  <c r="K181" i="5"/>
  <c r="Q181" i="5"/>
  <c r="K182" i="5"/>
  <c r="Q182" i="5"/>
  <c r="K183" i="5"/>
  <c r="Q183" i="5"/>
  <c r="K184" i="5"/>
  <c r="Q184" i="5"/>
  <c r="K186" i="5"/>
  <c r="Q186" i="5"/>
  <c r="K187" i="5"/>
  <c r="Q187" i="5"/>
  <c r="K188" i="5"/>
  <c r="Q188" i="5"/>
  <c r="K189" i="5"/>
  <c r="Q189" i="5"/>
  <c r="K191" i="5"/>
  <c r="Q191" i="5"/>
  <c r="K194" i="5"/>
  <c r="Q194" i="5"/>
  <c r="D9" i="1"/>
  <c r="E9" i="1"/>
  <c r="E121" i="1"/>
  <c r="F121" i="1"/>
  <c r="G121" i="1" s="1"/>
  <c r="O121" i="1" s="1"/>
  <c r="E122" i="1"/>
  <c r="F122" i="1"/>
  <c r="G122" i="1"/>
  <c r="O122" i="1" s="1"/>
  <c r="E123" i="1"/>
  <c r="F123" i="1"/>
  <c r="G123" i="1" s="1"/>
  <c r="O123" i="1" s="1"/>
  <c r="E124" i="1"/>
  <c r="F124" i="1"/>
  <c r="E128" i="1"/>
  <c r="F128" i="1" s="1"/>
  <c r="E129" i="1"/>
  <c r="F129" i="1"/>
  <c r="G129" i="1" s="1"/>
  <c r="O129" i="1" s="1"/>
  <c r="E130" i="1"/>
  <c r="F130" i="1" s="1"/>
  <c r="G130" i="1" s="1"/>
  <c r="O130" i="1" s="1"/>
  <c r="E131" i="1"/>
  <c r="F131" i="1"/>
  <c r="G131" i="1" s="1"/>
  <c r="E132" i="1"/>
  <c r="F132" i="1"/>
  <c r="G132" i="1" s="1"/>
  <c r="O132" i="1" s="1"/>
  <c r="E133" i="1"/>
  <c r="F133" i="1"/>
  <c r="G133" i="1" s="1"/>
  <c r="E134" i="1"/>
  <c r="F134" i="1"/>
  <c r="G134" i="1" s="1"/>
  <c r="E135" i="1"/>
  <c r="F135" i="1"/>
  <c r="E136" i="1"/>
  <c r="F136" i="1" s="1"/>
  <c r="E137" i="1"/>
  <c r="F137" i="1" s="1"/>
  <c r="G137" i="1" s="1"/>
  <c r="E138" i="1"/>
  <c r="F138" i="1" s="1"/>
  <c r="G138" i="1" s="1"/>
  <c r="M138" i="1" s="1"/>
  <c r="E139" i="1"/>
  <c r="F139" i="1"/>
  <c r="E140" i="1"/>
  <c r="F140" i="1" s="1"/>
  <c r="G140" i="1" s="1"/>
  <c r="M140" i="1" s="1"/>
  <c r="E141" i="1"/>
  <c r="F141" i="1" s="1"/>
  <c r="G141" i="1" s="1"/>
  <c r="M141" i="1" s="1"/>
  <c r="E142" i="1"/>
  <c r="F142" i="1" s="1"/>
  <c r="G142" i="1"/>
  <c r="M142" i="1"/>
  <c r="E143" i="1"/>
  <c r="F143" i="1" s="1"/>
  <c r="G143" i="1" s="1"/>
  <c r="K143" i="1" s="1"/>
  <c r="E144" i="1"/>
  <c r="F144" i="1"/>
  <c r="G144" i="1" s="1"/>
  <c r="K144" i="1" s="1"/>
  <c r="E145" i="1"/>
  <c r="F145" i="1" s="1"/>
  <c r="E146" i="1"/>
  <c r="F146" i="1"/>
  <c r="E147" i="1"/>
  <c r="F147" i="1" s="1"/>
  <c r="E148" i="1"/>
  <c r="F148" i="1"/>
  <c r="G148" i="1" s="1"/>
  <c r="O148" i="1" s="1"/>
  <c r="E149" i="1"/>
  <c r="F149" i="1"/>
  <c r="G149" i="1"/>
  <c r="F150" i="1"/>
  <c r="G150" i="1"/>
  <c r="F151" i="1"/>
  <c r="G151" i="1" s="1"/>
  <c r="J151" i="1" s="1"/>
  <c r="F152" i="1"/>
  <c r="G152" i="1" s="1"/>
  <c r="F153" i="1"/>
  <c r="G153" i="1"/>
  <c r="J153" i="1"/>
  <c r="F154" i="1"/>
  <c r="G154" i="1" s="1"/>
  <c r="F155" i="1"/>
  <c r="G155" i="1" s="1"/>
  <c r="J155" i="1" s="1"/>
  <c r="F156" i="1"/>
  <c r="G156" i="1" s="1"/>
  <c r="F157" i="1"/>
  <c r="G157" i="1"/>
  <c r="J157" i="1" s="1"/>
  <c r="F158" i="1"/>
  <c r="G158" i="1"/>
  <c r="J158" i="1" s="1"/>
  <c r="F159" i="1"/>
  <c r="G159" i="1" s="1"/>
  <c r="F160" i="1"/>
  <c r="G160" i="1"/>
  <c r="F161" i="1"/>
  <c r="G161" i="1" s="1"/>
  <c r="O161" i="1"/>
  <c r="F162" i="1"/>
  <c r="F163" i="1"/>
  <c r="G163" i="1"/>
  <c r="J163" i="1"/>
  <c r="F164" i="1"/>
  <c r="G164" i="1" s="1"/>
  <c r="F165" i="1"/>
  <c r="G165" i="1"/>
  <c r="J165" i="1"/>
  <c r="F166" i="1"/>
  <c r="G166" i="1"/>
  <c r="F167" i="1"/>
  <c r="G167" i="1" s="1"/>
  <c r="J167" i="1" s="1"/>
  <c r="F168" i="1"/>
  <c r="G168" i="1" s="1"/>
  <c r="F169" i="1"/>
  <c r="G169" i="1" s="1"/>
  <c r="J169" i="1" s="1"/>
  <c r="F170" i="1"/>
  <c r="G170" i="1" s="1"/>
  <c r="J170" i="1" s="1"/>
  <c r="F171" i="1"/>
  <c r="G171" i="1"/>
  <c r="F172" i="1"/>
  <c r="G172" i="1"/>
  <c r="J172" i="1" s="1"/>
  <c r="F173" i="1"/>
  <c r="G173" i="1"/>
  <c r="J173" i="1"/>
  <c r="E174" i="1"/>
  <c r="F174" i="1" s="1"/>
  <c r="G174" i="1"/>
  <c r="K174" i="1" s="1"/>
  <c r="E175" i="1"/>
  <c r="F175" i="1" s="1"/>
  <c r="E176" i="1"/>
  <c r="F176" i="1"/>
  <c r="G176" i="1" s="1"/>
  <c r="K176" i="1" s="1"/>
  <c r="E177" i="1"/>
  <c r="F177" i="1" s="1"/>
  <c r="E120" i="1"/>
  <c r="F120" i="1"/>
  <c r="E125" i="1"/>
  <c r="F125" i="1" s="1"/>
  <c r="E126" i="1"/>
  <c r="F126" i="1" s="1"/>
  <c r="E127" i="1"/>
  <c r="F127" i="1" s="1"/>
  <c r="F81" i="1"/>
  <c r="G81" i="1" s="1"/>
  <c r="J81" i="1" s="1"/>
  <c r="E21" i="1"/>
  <c r="F21" i="1"/>
  <c r="E107" i="1"/>
  <c r="F107" i="1"/>
  <c r="G107" i="1" s="1"/>
  <c r="J107" i="1" s="1"/>
  <c r="F82" i="1"/>
  <c r="G82" i="1" s="1"/>
  <c r="E22" i="1"/>
  <c r="F22" i="1" s="1"/>
  <c r="E108" i="1"/>
  <c r="F108" i="1"/>
  <c r="G108" i="1" s="1"/>
  <c r="J108" i="1" s="1"/>
  <c r="F80" i="1"/>
  <c r="G80" i="1"/>
  <c r="F86" i="1"/>
  <c r="G86" i="1" s="1"/>
  <c r="K86" i="1" s="1"/>
  <c r="F87" i="1"/>
  <c r="G87" i="1"/>
  <c r="F83" i="1"/>
  <c r="G83" i="1" s="1"/>
  <c r="L83" i="1"/>
  <c r="F84" i="1"/>
  <c r="G84" i="1" s="1"/>
  <c r="L84" i="1" s="1"/>
  <c r="F85" i="1"/>
  <c r="G85" i="1"/>
  <c r="L85" i="1"/>
  <c r="E88" i="1"/>
  <c r="F88" i="1" s="1"/>
  <c r="G88" i="1"/>
  <c r="L88" i="1"/>
  <c r="E89" i="1"/>
  <c r="F89" i="1" s="1"/>
  <c r="G89" i="1" s="1"/>
  <c r="L89" i="1" s="1"/>
  <c r="E93" i="1"/>
  <c r="F93" i="1" s="1"/>
  <c r="G93" i="1" s="1"/>
  <c r="N93" i="1"/>
  <c r="E91" i="1"/>
  <c r="F91" i="1" s="1"/>
  <c r="G91" i="1" s="1"/>
  <c r="J91" i="1" s="1"/>
  <c r="E92" i="1"/>
  <c r="F92" i="1" s="1"/>
  <c r="G92" i="1" s="1"/>
  <c r="J92" i="1" s="1"/>
  <c r="E95" i="1"/>
  <c r="F95" i="1"/>
  <c r="E94" i="1"/>
  <c r="F94" i="1"/>
  <c r="E96" i="1"/>
  <c r="F96" i="1" s="1"/>
  <c r="G96" i="1" s="1"/>
  <c r="E97" i="1"/>
  <c r="F97" i="1"/>
  <c r="G97" i="1" s="1"/>
  <c r="E98" i="1"/>
  <c r="F98" i="1"/>
  <c r="E99" i="1"/>
  <c r="F99" i="1" s="1"/>
  <c r="G99" i="1"/>
  <c r="J99" i="1" s="1"/>
  <c r="E100" i="1"/>
  <c r="F100" i="1" s="1"/>
  <c r="G100" i="1" s="1"/>
  <c r="E101" i="1"/>
  <c r="F101" i="1" s="1"/>
  <c r="G101" i="1" s="1"/>
  <c r="J101" i="1"/>
  <c r="E102" i="1"/>
  <c r="F102" i="1" s="1"/>
  <c r="E103" i="1"/>
  <c r="F103" i="1" s="1"/>
  <c r="G103" i="1" s="1"/>
  <c r="E104" i="1"/>
  <c r="F104" i="1" s="1"/>
  <c r="G104" i="1" s="1"/>
  <c r="J104" i="1" s="1"/>
  <c r="E105" i="1"/>
  <c r="F105" i="1"/>
  <c r="G105" i="1" s="1"/>
  <c r="J105" i="1" s="1"/>
  <c r="E118" i="1"/>
  <c r="F118" i="1" s="1"/>
  <c r="E119" i="1"/>
  <c r="F119" i="1" s="1"/>
  <c r="E112" i="1"/>
  <c r="F112" i="1"/>
  <c r="E90" i="1"/>
  <c r="F90" i="1" s="1"/>
  <c r="D11" i="1"/>
  <c r="Q38" i="1" s="1"/>
  <c r="T38" i="1" s="1"/>
  <c r="D12" i="1"/>
  <c r="D13" i="1"/>
  <c r="F23" i="1"/>
  <c r="G23" i="1"/>
  <c r="J23" i="1" s="1"/>
  <c r="E24" i="1"/>
  <c r="F24" i="1" s="1"/>
  <c r="G24" i="1" s="1"/>
  <c r="J24" i="1"/>
  <c r="E25" i="1"/>
  <c r="F25" i="1" s="1"/>
  <c r="F26" i="1"/>
  <c r="G26" i="1" s="1"/>
  <c r="J26" i="1" s="1"/>
  <c r="E27" i="1"/>
  <c r="F27" i="1"/>
  <c r="E28" i="1"/>
  <c r="F28" i="1" s="1"/>
  <c r="G28" i="1"/>
  <c r="J28" i="1"/>
  <c r="E29" i="1"/>
  <c r="F29" i="1" s="1"/>
  <c r="G29" i="1" s="1"/>
  <c r="K29" i="1" s="1"/>
  <c r="E30" i="1"/>
  <c r="F30" i="1" s="1"/>
  <c r="G30" i="1" s="1"/>
  <c r="O30" i="1" s="1"/>
  <c r="E31" i="1"/>
  <c r="F31" i="1"/>
  <c r="E32" i="1"/>
  <c r="F32" i="1"/>
  <c r="G32" i="1"/>
  <c r="O32" i="1" s="1"/>
  <c r="E33" i="1"/>
  <c r="F33" i="1"/>
  <c r="G33" i="1" s="1"/>
  <c r="E34" i="1"/>
  <c r="F34" i="1"/>
  <c r="G34" i="1"/>
  <c r="O34" i="1" s="1"/>
  <c r="F35" i="1"/>
  <c r="G35" i="1" s="1"/>
  <c r="O35" i="1" s="1"/>
  <c r="F36" i="1"/>
  <c r="G36" i="1" s="1"/>
  <c r="O36" i="1" s="1"/>
  <c r="F37" i="1"/>
  <c r="G37" i="1" s="1"/>
  <c r="O37" i="1" s="1"/>
  <c r="F38" i="1"/>
  <c r="G38" i="1" s="1"/>
  <c r="F39" i="1"/>
  <c r="G39" i="1" s="1"/>
  <c r="O39" i="1" s="1"/>
  <c r="F40" i="1"/>
  <c r="G40" i="1"/>
  <c r="J40" i="1" s="1"/>
  <c r="E41" i="1"/>
  <c r="F41" i="1"/>
  <c r="G41" i="1"/>
  <c r="I41" i="1" s="1"/>
  <c r="E42" i="1"/>
  <c r="F42" i="1"/>
  <c r="G42" i="1" s="1"/>
  <c r="I42" i="1" s="1"/>
  <c r="E43" i="1"/>
  <c r="F43" i="1"/>
  <c r="G43" i="1" s="1"/>
  <c r="K43" i="1" s="1"/>
  <c r="F54" i="1"/>
  <c r="G54" i="1"/>
  <c r="O54" i="1"/>
  <c r="F55" i="1"/>
  <c r="F56" i="1"/>
  <c r="G56" i="1" s="1"/>
  <c r="O56" i="1"/>
  <c r="F57" i="1"/>
  <c r="G57" i="1" s="1"/>
  <c r="O57" i="1" s="1"/>
  <c r="F58" i="1"/>
  <c r="G58" i="1" s="1"/>
  <c r="O58" i="1"/>
  <c r="F59" i="1"/>
  <c r="G59" i="1" s="1"/>
  <c r="O59" i="1" s="1"/>
  <c r="F60" i="1"/>
  <c r="G60" i="1" s="1"/>
  <c r="O60" i="1" s="1"/>
  <c r="F61" i="1"/>
  <c r="G61" i="1"/>
  <c r="O61" i="1" s="1"/>
  <c r="E62" i="1"/>
  <c r="F62" i="1" s="1"/>
  <c r="E63" i="1"/>
  <c r="F63" i="1"/>
  <c r="H63" i="1" s="1"/>
  <c r="F65" i="1"/>
  <c r="G65" i="1"/>
  <c r="O65" i="1"/>
  <c r="F66" i="1"/>
  <c r="G66" i="1" s="1"/>
  <c r="O66" i="1" s="1"/>
  <c r="F67" i="1"/>
  <c r="G67" i="1"/>
  <c r="O67" i="1"/>
  <c r="F68" i="1"/>
  <c r="G68" i="1"/>
  <c r="O68" i="1"/>
  <c r="E69" i="1"/>
  <c r="F69" i="1" s="1"/>
  <c r="G69" i="1" s="1"/>
  <c r="O69" i="1" s="1"/>
  <c r="E70" i="1"/>
  <c r="F70" i="1" s="1"/>
  <c r="E71" i="1"/>
  <c r="F71" i="1" s="1"/>
  <c r="G71" i="1" s="1"/>
  <c r="J71" i="1" s="1"/>
  <c r="E72" i="1"/>
  <c r="F72" i="1" s="1"/>
  <c r="E73" i="1"/>
  <c r="F73" i="1" s="1"/>
  <c r="G73" i="1" s="1"/>
  <c r="J73" i="1" s="1"/>
  <c r="E74" i="1"/>
  <c r="F74" i="1"/>
  <c r="E75" i="1"/>
  <c r="F75" i="1" s="1"/>
  <c r="G75" i="1"/>
  <c r="J75" i="1"/>
  <c r="E76" i="1"/>
  <c r="F76" i="1" s="1"/>
  <c r="G76" i="1" s="1"/>
  <c r="J76" i="1" s="1"/>
  <c r="E77" i="1"/>
  <c r="F77" i="1" s="1"/>
  <c r="G77" i="1" s="1"/>
  <c r="J77" i="1" s="1"/>
  <c r="E78" i="1"/>
  <c r="F78" i="1" s="1"/>
  <c r="G78" i="1" s="1"/>
  <c r="E79" i="1"/>
  <c r="F79" i="1"/>
  <c r="E106" i="1"/>
  <c r="F106" i="1" s="1"/>
  <c r="E109" i="1"/>
  <c r="F109" i="1"/>
  <c r="G109" i="1" s="1"/>
  <c r="K109" i="1" s="1"/>
  <c r="E110" i="1"/>
  <c r="F110" i="1"/>
  <c r="G110" i="1" s="1"/>
  <c r="E111" i="1"/>
  <c r="F111" i="1" s="1"/>
  <c r="G111" i="1"/>
  <c r="K111" i="1" s="1"/>
  <c r="F113" i="1"/>
  <c r="G113" i="1" s="1"/>
  <c r="J113" i="1"/>
  <c r="F114" i="1"/>
  <c r="G114" i="1" s="1"/>
  <c r="J114" i="1" s="1"/>
  <c r="E115" i="1"/>
  <c r="F115" i="1"/>
  <c r="Q171" i="1"/>
  <c r="F44" i="1"/>
  <c r="G44" i="1" s="1"/>
  <c r="M44" i="1" s="1"/>
  <c r="F45" i="1"/>
  <c r="G45" i="1"/>
  <c r="M45" i="1" s="1"/>
  <c r="F46" i="1"/>
  <c r="F47" i="1"/>
  <c r="F48" i="1"/>
  <c r="G48" i="1" s="1"/>
  <c r="M48" i="1" s="1"/>
  <c r="F49" i="1"/>
  <c r="F50" i="1"/>
  <c r="G50" i="1" s="1"/>
  <c r="M50" i="1" s="1"/>
  <c r="F51" i="1"/>
  <c r="F52" i="1"/>
  <c r="G52" i="1" s="1"/>
  <c r="M52" i="1" s="1"/>
  <c r="F53" i="1"/>
  <c r="G53" i="1"/>
  <c r="M53" i="1" s="1"/>
  <c r="F64" i="1"/>
  <c r="G64" i="1" s="1"/>
  <c r="M64" i="1"/>
  <c r="E116" i="1"/>
  <c r="F116" i="1" s="1"/>
  <c r="E117" i="1"/>
  <c r="F117" i="1"/>
  <c r="F16" i="1"/>
  <c r="F17" i="1" s="1"/>
  <c r="C17" i="1"/>
  <c r="B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O38" i="1"/>
  <c r="R38" i="1"/>
  <c r="R39" i="1"/>
  <c r="R40" i="1"/>
  <c r="R41" i="1"/>
  <c r="R42" i="1"/>
  <c r="R43" i="1"/>
  <c r="R44" i="1"/>
  <c r="R45" i="1"/>
  <c r="R46" i="1"/>
  <c r="G47" i="1"/>
  <c r="M47" i="1" s="1"/>
  <c r="R47" i="1"/>
  <c r="R48" i="1"/>
  <c r="G49" i="1"/>
  <c r="M49" i="1"/>
  <c r="R49" i="1"/>
  <c r="R50" i="1"/>
  <c r="G51" i="1"/>
  <c r="M51" i="1" s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O80" i="1"/>
  <c r="R80" i="1"/>
  <c r="R81" i="1"/>
  <c r="J82" i="1"/>
  <c r="R82" i="1"/>
  <c r="R83" i="1"/>
  <c r="R84" i="1"/>
  <c r="R85" i="1"/>
  <c r="R86" i="1"/>
  <c r="K87" i="1"/>
  <c r="R87" i="1"/>
  <c r="R88" i="1"/>
  <c r="R89" i="1"/>
  <c r="R90" i="1"/>
  <c r="R91" i="1"/>
  <c r="R92" i="1"/>
  <c r="R93" i="1"/>
  <c r="R94" i="1"/>
  <c r="R95" i="1"/>
  <c r="R96" i="1"/>
  <c r="J97" i="1"/>
  <c r="R97" i="1"/>
  <c r="R98" i="1"/>
  <c r="R99" i="1"/>
  <c r="J100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O131" i="1"/>
  <c r="R131" i="1"/>
  <c r="R132" i="1"/>
  <c r="R133" i="1"/>
  <c r="O134" i="1"/>
  <c r="R134" i="1"/>
  <c r="R135" i="1"/>
  <c r="R136" i="1"/>
  <c r="M137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J150" i="1"/>
  <c r="R150" i="1"/>
  <c r="R151" i="1"/>
  <c r="R152" i="1"/>
  <c r="R153" i="1"/>
  <c r="J154" i="1"/>
  <c r="R154" i="1"/>
  <c r="R155" i="1"/>
  <c r="J156" i="1"/>
  <c r="R156" i="1"/>
  <c r="R157" i="1"/>
  <c r="R158" i="1"/>
  <c r="J159" i="1"/>
  <c r="R159" i="1"/>
  <c r="O160" i="1"/>
  <c r="R160" i="1"/>
  <c r="R161" i="1"/>
  <c r="R162" i="1"/>
  <c r="R163" i="1"/>
  <c r="J164" i="1"/>
  <c r="R164" i="1"/>
  <c r="R165" i="1"/>
  <c r="J166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G72" i="1"/>
  <c r="J72" i="1" s="1"/>
  <c r="K110" i="1"/>
  <c r="J103" i="1"/>
  <c r="G27" i="1"/>
  <c r="J27" i="1" s="1"/>
  <c r="G22" i="1"/>
  <c r="O22" i="1"/>
  <c r="G175" i="1"/>
  <c r="K175" i="1" s="1"/>
  <c r="J78" i="1"/>
  <c r="G94" i="1"/>
  <c r="O94" i="1"/>
  <c r="G115" i="1"/>
  <c r="O115" i="1" s="1"/>
  <c r="G31" i="1"/>
  <c r="O31" i="1" s="1"/>
  <c r="G98" i="1"/>
  <c r="J98" i="1" s="1"/>
  <c r="G124" i="1"/>
  <c r="G70" i="1"/>
  <c r="J70" i="1" s="1"/>
  <c r="G74" i="1"/>
  <c r="J74" i="1"/>
  <c r="G62" i="1"/>
  <c r="K62" i="1" s="1"/>
  <c r="J111" i="5"/>
  <c r="G67" i="5"/>
  <c r="H12" i="8"/>
  <c r="Q116" i="1"/>
  <c r="Q176" i="1"/>
  <c r="T176" i="1" s="1"/>
  <c r="Q144" i="1"/>
  <c r="T144" i="1" s="1"/>
  <c r="Q107" i="1"/>
  <c r="T107" i="1"/>
  <c r="G112" i="5"/>
  <c r="G86" i="5"/>
  <c r="K87" i="6"/>
  <c r="G172" i="6"/>
  <c r="Q172" i="6"/>
  <c r="K166" i="6"/>
  <c r="Q160" i="6"/>
  <c r="G160" i="6"/>
  <c r="G56" i="6"/>
  <c r="Q56" i="6"/>
  <c r="Q83" i="1"/>
  <c r="T83" i="1" s="1"/>
  <c r="Q22" i="1"/>
  <c r="T22" i="1" s="1"/>
  <c r="G108" i="5"/>
  <c r="G103" i="5"/>
  <c r="G101" i="5"/>
  <c r="G95" i="5"/>
  <c r="G93" i="5"/>
  <c r="G63" i="5"/>
  <c r="G79" i="3"/>
  <c r="K79" i="3"/>
  <c r="Q79" i="3"/>
  <c r="S79" i="3" s="1"/>
  <c r="G70" i="3"/>
  <c r="J70" i="3"/>
  <c r="G105" i="5"/>
  <c r="G82" i="5"/>
  <c r="P24" i="5"/>
  <c r="U24" i="5" s="1"/>
  <c r="G24" i="5"/>
  <c r="J73" i="5"/>
  <c r="P75" i="5"/>
  <c r="G75" i="5"/>
  <c r="G59" i="5"/>
  <c r="G45" i="5"/>
  <c r="J27" i="5"/>
  <c r="Q47" i="1"/>
  <c r="Q174" i="1"/>
  <c r="T174" i="1" s="1"/>
  <c r="Q142" i="1"/>
  <c r="T142" i="1" s="1"/>
  <c r="Q123" i="1"/>
  <c r="T123" i="1" s="1"/>
  <c r="Q113" i="1"/>
  <c r="T113" i="1" s="1"/>
  <c r="K118" i="5"/>
  <c r="G78" i="5"/>
  <c r="G112" i="3"/>
  <c r="K112" i="3"/>
  <c r="Q28" i="1"/>
  <c r="T28" i="1" s="1"/>
  <c r="G71" i="5"/>
  <c r="G55" i="5"/>
  <c r="G37" i="5"/>
  <c r="G111" i="3"/>
  <c r="O111" i="3" s="1"/>
  <c r="Q111" i="3"/>
  <c r="S111" i="3" s="1"/>
  <c r="G92" i="3"/>
  <c r="J92" i="3"/>
  <c r="G41" i="3"/>
  <c r="O41" i="3" s="1"/>
  <c r="G140" i="3"/>
  <c r="J140" i="3"/>
  <c r="Q161" i="1"/>
  <c r="T161" i="1" s="1"/>
  <c r="Q153" i="1"/>
  <c r="T153" i="1" s="1"/>
  <c r="Q149" i="1"/>
  <c r="Q108" i="1"/>
  <c r="T108" i="1" s="1"/>
  <c r="Q58" i="1"/>
  <c r="T58" i="1" s="1"/>
  <c r="Q56" i="1"/>
  <c r="T56" i="1" s="1"/>
  <c r="G106" i="5"/>
  <c r="G22" i="5"/>
  <c r="G22" i="3"/>
  <c r="O22" i="3" s="1"/>
  <c r="G28" i="5"/>
  <c r="K94" i="6"/>
  <c r="K165" i="6"/>
  <c r="Q159" i="6"/>
  <c r="G159" i="6"/>
  <c r="Q61" i="6"/>
  <c r="T61" i="6" s="1"/>
  <c r="V61" i="6" s="1"/>
  <c r="G61" i="6"/>
  <c r="G49" i="5"/>
  <c r="G41" i="5"/>
  <c r="G33" i="5"/>
  <c r="K77" i="6"/>
  <c r="Q176" i="6"/>
  <c r="G176" i="6"/>
  <c r="Q126" i="6"/>
  <c r="W126" i="6" s="1"/>
  <c r="G126" i="6"/>
  <c r="T126" i="6" s="1"/>
  <c r="V126" i="6" s="1"/>
  <c r="L71" i="6"/>
  <c r="K71" i="6"/>
  <c r="Q54" i="3"/>
  <c r="S54" i="3" s="1"/>
  <c r="Q101" i="6"/>
  <c r="G101" i="6"/>
  <c r="I76" i="6"/>
  <c r="Q37" i="6"/>
  <c r="G37" i="6"/>
  <c r="Q175" i="6"/>
  <c r="G175" i="6"/>
  <c r="Q164" i="6"/>
  <c r="G164" i="6"/>
  <c r="Q21" i="6"/>
  <c r="W21" i="6" s="1"/>
  <c r="G21" i="6"/>
  <c r="L65" i="6"/>
  <c r="K65" i="6"/>
  <c r="H99" i="6"/>
  <c r="J115" i="6"/>
  <c r="L31" i="6"/>
  <c r="Q34" i="3"/>
  <c r="S34" i="3" s="1"/>
  <c r="Q58" i="3"/>
  <c r="S58" i="3" s="1"/>
  <c r="K84" i="6"/>
  <c r="K174" i="6"/>
  <c r="Q168" i="6"/>
  <c r="T168" i="6" s="1"/>
  <c r="V168" i="6" s="1"/>
  <c r="G168" i="6"/>
  <c r="K162" i="6"/>
  <c r="Q145" i="6"/>
  <c r="G145" i="6"/>
  <c r="K137" i="6"/>
  <c r="G125" i="6"/>
  <c r="Q125" i="6"/>
  <c r="T125" i="6" s="1"/>
  <c r="V125" i="6" s="1"/>
  <c r="L25" i="6"/>
  <c r="O25" i="6"/>
  <c r="Q106" i="6"/>
  <c r="T106" i="6" s="1"/>
  <c r="V106" i="6" s="1"/>
  <c r="G106" i="6"/>
  <c r="O33" i="6"/>
  <c r="K173" i="6"/>
  <c r="Q167" i="6"/>
  <c r="T167" i="6" s="1"/>
  <c r="V167" i="6" s="1"/>
  <c r="G167" i="6"/>
  <c r="Q156" i="6"/>
  <c r="T156" i="6" s="1"/>
  <c r="V156" i="6" s="1"/>
  <c r="G156" i="6"/>
  <c r="K170" i="6"/>
  <c r="K79" i="6"/>
  <c r="O32" i="6"/>
  <c r="Q42" i="3"/>
  <c r="S42" i="3" s="1"/>
  <c r="Q76" i="6"/>
  <c r="W76" i="6" s="1"/>
  <c r="O43" i="6"/>
  <c r="Q171" i="6"/>
  <c r="T171" i="6" s="1"/>
  <c r="V171" i="6" s="1"/>
  <c r="G171" i="6"/>
  <c r="Q163" i="6"/>
  <c r="G163" i="6"/>
  <c r="Q155" i="6"/>
  <c r="T155" i="6" s="1"/>
  <c r="V155" i="6" s="1"/>
  <c r="G155" i="6"/>
  <c r="L30" i="6"/>
  <c r="L134" i="6"/>
  <c r="L107" i="6"/>
  <c r="J107" i="6"/>
  <c r="L49" i="6"/>
  <c r="O49" i="6"/>
  <c r="Q38" i="3"/>
  <c r="S38" i="3" s="1"/>
  <c r="Q105" i="6"/>
  <c r="W105" i="6" s="1"/>
  <c r="G98" i="6"/>
  <c r="Q29" i="6"/>
  <c r="T29" i="6" s="1"/>
  <c r="V29" i="6" s="1"/>
  <c r="G29" i="6"/>
  <c r="Q25" i="6"/>
  <c r="W25" i="6" s="1"/>
  <c r="T25" i="6"/>
  <c r="V25" i="6"/>
  <c r="G97" i="6"/>
  <c r="Q97" i="6"/>
  <c r="T97" i="6" s="1"/>
  <c r="V97" i="6" s="1"/>
  <c r="Q69" i="6"/>
  <c r="T69" i="6" s="1"/>
  <c r="V69" i="6" s="1"/>
  <c r="G69" i="6"/>
  <c r="Q65" i="6"/>
  <c r="W65" i="6" s="1"/>
  <c r="Q82" i="6"/>
  <c r="G82" i="6"/>
  <c r="Q42" i="6"/>
  <c r="T42" i="6" s="1"/>
  <c r="V42" i="6" s="1"/>
  <c r="G42" i="6"/>
  <c r="D15" i="6"/>
  <c r="C19" i="6" s="1"/>
  <c r="D16" i="6"/>
  <c r="D19" i="6"/>
  <c r="Q28" i="6"/>
  <c r="T28" i="6" s="1"/>
  <c r="V28" i="6" s="1"/>
  <c r="Q74" i="6"/>
  <c r="Q108" i="6"/>
  <c r="Q92" i="6"/>
  <c r="T92" i="6" s="1"/>
  <c r="V92" i="6" s="1"/>
  <c r="Q129" i="6"/>
  <c r="T129" i="6" s="1"/>
  <c r="Q177" i="6"/>
  <c r="W177" i="6" s="1"/>
  <c r="G177" i="6"/>
  <c r="Q131" i="6"/>
  <c r="T131" i="6" s="1"/>
  <c r="V131" i="6" s="1"/>
  <c r="Q117" i="6"/>
  <c r="G117" i="6"/>
  <c r="L28" i="6"/>
  <c r="O28" i="6"/>
  <c r="Q96" i="6"/>
  <c r="L73" i="6"/>
  <c r="Q58" i="6"/>
  <c r="Q165" i="6"/>
  <c r="W165" i="6" s="1"/>
  <c r="T165" i="6"/>
  <c r="V165" i="6" s="1"/>
  <c r="Q90" i="6"/>
  <c r="W90" i="6" s="1"/>
  <c r="T90" i="6"/>
  <c r="V90" i="6" s="1"/>
  <c r="G85" i="6"/>
  <c r="Q60" i="6"/>
  <c r="T60" i="6" s="1"/>
  <c r="V60" i="6" s="1"/>
  <c r="Q34" i="6"/>
  <c r="W34" i="6" s="1"/>
  <c r="G34" i="6"/>
  <c r="G169" i="6"/>
  <c r="Q169" i="6"/>
  <c r="G157" i="6"/>
  <c r="Q148" i="6"/>
  <c r="T148" i="6"/>
  <c r="V148" i="6" s="1"/>
  <c r="Q139" i="6"/>
  <c r="G139" i="6"/>
  <c r="L123" i="6"/>
  <c r="Q36" i="6"/>
  <c r="T36" i="6" s="1"/>
  <c r="V36" i="6" s="1"/>
  <c r="G114" i="6"/>
  <c r="Q114" i="6"/>
  <c r="T114" i="6"/>
  <c r="V114" i="6" s="1"/>
  <c r="Q93" i="6"/>
  <c r="T93" i="6" s="1"/>
  <c r="V93" i="6" s="1"/>
  <c r="G93" i="6"/>
  <c r="Q73" i="6"/>
  <c r="T73" i="6" s="1"/>
  <c r="V73" i="6" s="1"/>
  <c r="L54" i="6"/>
  <c r="K54" i="6"/>
  <c r="Q48" i="6"/>
  <c r="W48" i="6" s="1"/>
  <c r="Q80" i="3"/>
  <c r="S80" i="3" s="1"/>
  <c r="G88" i="6"/>
  <c r="Q88" i="6"/>
  <c r="T88" i="6" s="1"/>
  <c r="V88" i="6" s="1"/>
  <c r="Q52" i="6"/>
  <c r="H52" i="6"/>
  <c r="Q173" i="6"/>
  <c r="Q152" i="6"/>
  <c r="W152" i="6" s="1"/>
  <c r="G152" i="6"/>
  <c r="T152" i="6" s="1"/>
  <c r="V152" i="6" s="1"/>
  <c r="Q109" i="6"/>
  <c r="W109" i="6" s="1"/>
  <c r="G109" i="6"/>
  <c r="L45" i="6"/>
  <c r="O45" i="6"/>
  <c r="Q112" i="6"/>
  <c r="W112" i="6" s="1"/>
  <c r="L103" i="6"/>
  <c r="J103" i="6"/>
  <c r="L92" i="6"/>
  <c r="J92" i="6"/>
  <c r="L67" i="6"/>
  <c r="K67" i="6"/>
  <c r="L47" i="6"/>
  <c r="Q102" i="3"/>
  <c r="K102" i="6"/>
  <c r="Q81" i="6"/>
  <c r="G44" i="6"/>
  <c r="Q41" i="6"/>
  <c r="W41" i="6" s="1"/>
  <c r="Q138" i="6"/>
  <c r="W138" i="6" s="1"/>
  <c r="G138" i="6"/>
  <c r="Q45" i="6"/>
  <c r="T45" i="6" s="1"/>
  <c r="V45" i="6" s="1"/>
  <c r="L63" i="6"/>
  <c r="K63" i="6"/>
  <c r="Q57" i="6"/>
  <c r="L51" i="6"/>
  <c r="K51" i="6"/>
  <c r="Q135" i="6"/>
  <c r="W135" i="6" s="1"/>
  <c r="Q107" i="3"/>
  <c r="S107" i="3" s="1"/>
  <c r="Q55" i="3"/>
  <c r="S55" i="3" s="1"/>
  <c r="Q84" i="6"/>
  <c r="Q80" i="6"/>
  <c r="T80" i="6" s="1"/>
  <c r="V80" i="6" s="1"/>
  <c r="G80" i="6"/>
  <c r="Q77" i="6"/>
  <c r="W77" i="6" s="1"/>
  <c r="Q33" i="6"/>
  <c r="Q151" i="6"/>
  <c r="G151" i="6"/>
  <c r="T151" i="6" s="1"/>
  <c r="V151" i="6" s="1"/>
  <c r="Q147" i="6"/>
  <c r="T147" i="6" s="1"/>
  <c r="V147" i="6" s="1"/>
  <c r="Q127" i="6"/>
  <c r="T127" i="6" s="1"/>
  <c r="V127" i="6" s="1"/>
  <c r="G127" i="6"/>
  <c r="Q40" i="6"/>
  <c r="T40" i="6" s="1"/>
  <c r="V40" i="6" s="1"/>
  <c r="G40" i="6"/>
  <c r="L22" i="6"/>
  <c r="L108" i="6"/>
  <c r="J108" i="6"/>
  <c r="L89" i="6"/>
  <c r="J89" i="6"/>
  <c r="Q134" i="6"/>
  <c r="T134" i="6" s="1"/>
  <c r="V134" i="6" s="1"/>
  <c r="Q68" i="6"/>
  <c r="T68" i="6" s="1"/>
  <c r="V68" i="6" s="1"/>
  <c r="Q50" i="6"/>
  <c r="G112" i="6"/>
  <c r="G96" i="6"/>
  <c r="G58" i="6"/>
  <c r="Q89" i="6"/>
  <c r="Q53" i="6"/>
  <c r="T53" i="6" s="1"/>
  <c r="V53" i="6" s="1"/>
  <c r="Q49" i="6"/>
  <c r="Q136" i="6"/>
  <c r="T136" i="6" s="1"/>
  <c r="V136" i="6" s="1"/>
  <c r="D12" i="8"/>
  <c r="Q113" i="6"/>
  <c r="Q116" i="6"/>
  <c r="T116" i="6" s="1"/>
  <c r="V116" i="6" s="1"/>
  <c r="Q24" i="6"/>
  <c r="T24" i="6" s="1"/>
  <c r="V24" i="6" s="1"/>
  <c r="Q130" i="6"/>
  <c r="T130" i="6" s="1"/>
  <c r="V130" i="6" s="1"/>
  <c r="Q100" i="6"/>
  <c r="Q72" i="6"/>
  <c r="T72" i="6" s="1"/>
  <c r="V72" i="6" s="1"/>
  <c r="Q64" i="6"/>
  <c r="T64" i="6" s="1"/>
  <c r="V64" i="6" s="1"/>
  <c r="K195" i="5"/>
  <c r="K107" i="5"/>
  <c r="Q26" i="6"/>
  <c r="T26" i="6" s="1"/>
  <c r="V26" i="6" s="1"/>
  <c r="Q104" i="6"/>
  <c r="Q66" i="6"/>
  <c r="W66" i="6" s="1"/>
  <c r="G96" i="5"/>
  <c r="P96" i="5"/>
  <c r="R96" i="5" s="1"/>
  <c r="T96" i="5" s="1"/>
  <c r="G170" i="5"/>
  <c r="E75" i="7"/>
  <c r="G176" i="5"/>
  <c r="G165" i="5"/>
  <c r="G190" i="5"/>
  <c r="M13" i="8"/>
  <c r="N12" i="8"/>
  <c r="Q27" i="6"/>
  <c r="T27" i="6" s="1"/>
  <c r="V27" i="6" s="1"/>
  <c r="Q35" i="6"/>
  <c r="Q43" i="6"/>
  <c r="W43" i="6" s="1"/>
  <c r="T43" i="6"/>
  <c r="V43" i="6" s="1"/>
  <c r="Q51" i="6"/>
  <c r="Q59" i="6"/>
  <c r="Q67" i="6"/>
  <c r="W67" i="6" s="1"/>
  <c r="Q75" i="6"/>
  <c r="W75" i="6" s="1"/>
  <c r="Q83" i="6"/>
  <c r="Q91" i="6"/>
  <c r="T91" i="6" s="1"/>
  <c r="V91" i="6" s="1"/>
  <c r="Q99" i="6"/>
  <c r="T99" i="6" s="1"/>
  <c r="V99" i="6" s="1"/>
  <c r="Q107" i="6"/>
  <c r="T107" i="6" s="1"/>
  <c r="V107" i="6" s="1"/>
  <c r="Q115" i="6"/>
  <c r="T115" i="6" s="1"/>
  <c r="V115" i="6" s="1"/>
  <c r="Q128" i="6"/>
  <c r="T128" i="6" s="1"/>
  <c r="V128" i="6" s="1"/>
  <c r="Q137" i="6"/>
  <c r="T137" i="6" s="1"/>
  <c r="V137" i="6" s="1"/>
  <c r="Q150" i="6"/>
  <c r="T150" i="6" s="1"/>
  <c r="V150" i="6" s="1"/>
  <c r="Q158" i="6"/>
  <c r="T158" i="6" s="1"/>
  <c r="V158" i="6" s="1"/>
  <c r="Q166" i="6"/>
  <c r="W166" i="6" s="1"/>
  <c r="T166" i="6"/>
  <c r="V166" i="6" s="1"/>
  <c r="Q174" i="6"/>
  <c r="T174" i="6" s="1"/>
  <c r="V174" i="6" s="1"/>
  <c r="Q30" i="6"/>
  <c r="T30" i="6" s="1"/>
  <c r="V30" i="6" s="1"/>
  <c r="Q38" i="6"/>
  <c r="T38" i="6" s="1"/>
  <c r="V38" i="6" s="1"/>
  <c r="Q46" i="6"/>
  <c r="T46" i="6" s="1"/>
  <c r="V46" i="6" s="1"/>
  <c r="Q54" i="6"/>
  <c r="T54" i="6" s="1"/>
  <c r="V54" i="6" s="1"/>
  <c r="Q62" i="6"/>
  <c r="Q70" i="6"/>
  <c r="Q78" i="6"/>
  <c r="Q86" i="6"/>
  <c r="W86" i="6" s="1"/>
  <c r="Q94" i="6"/>
  <c r="T94" i="6" s="1"/>
  <c r="V94" i="6" s="1"/>
  <c r="Q102" i="6"/>
  <c r="T102" i="6" s="1"/>
  <c r="V102" i="6" s="1"/>
  <c r="Q110" i="6"/>
  <c r="T110" i="6" s="1"/>
  <c r="V110" i="6" s="1"/>
  <c r="Q123" i="6"/>
  <c r="Q132" i="6"/>
  <c r="T132" i="6" s="1"/>
  <c r="V132" i="6" s="1"/>
  <c r="Q140" i="6"/>
  <c r="T140" i="6" s="1"/>
  <c r="V140" i="6" s="1"/>
  <c r="Q153" i="6"/>
  <c r="Q161" i="6"/>
  <c r="W161" i="6" s="1"/>
  <c r="Q23" i="6"/>
  <c r="T23" i="6" s="1"/>
  <c r="V23" i="6" s="1"/>
  <c r="Q31" i="6"/>
  <c r="T31" i="6" s="1"/>
  <c r="V31" i="6" s="1"/>
  <c r="Q39" i="6"/>
  <c r="T39" i="6" s="1"/>
  <c r="V39" i="6" s="1"/>
  <c r="Q47" i="6"/>
  <c r="Q55" i="6"/>
  <c r="T55" i="6" s="1"/>
  <c r="V55" i="6" s="1"/>
  <c r="Q63" i="6"/>
  <c r="Q71" i="6"/>
  <c r="T71" i="6" s="1"/>
  <c r="V71" i="6" s="1"/>
  <c r="Q79" i="6"/>
  <c r="W79" i="6" s="1"/>
  <c r="Q87" i="6"/>
  <c r="T87" i="6" s="1"/>
  <c r="V87" i="6" s="1"/>
  <c r="Q95" i="6"/>
  <c r="T95" i="6" s="1"/>
  <c r="V95" i="6" s="1"/>
  <c r="Q103" i="6"/>
  <c r="Q111" i="6"/>
  <c r="W111" i="6" s="1"/>
  <c r="Q124" i="6"/>
  <c r="T124" i="6" s="1"/>
  <c r="V124" i="6" s="1"/>
  <c r="Q133" i="6"/>
  <c r="W133" i="6" s="1"/>
  <c r="Q144" i="6"/>
  <c r="T144" i="6" s="1"/>
  <c r="V144" i="6" s="1"/>
  <c r="Q154" i="6"/>
  <c r="Q162" i="6"/>
  <c r="T162" i="6" s="1"/>
  <c r="V162" i="6" s="1"/>
  <c r="Q170" i="6"/>
  <c r="T170" i="6" s="1"/>
  <c r="V170" i="6" s="1"/>
  <c r="Q22" i="6"/>
  <c r="G157" i="5"/>
  <c r="K157" i="5" s="1"/>
  <c r="Q12" i="8"/>
  <c r="G164" i="5"/>
  <c r="L12" i="8"/>
  <c r="L13" i="8"/>
  <c r="I12" i="8"/>
  <c r="C13" i="8"/>
  <c r="C12" i="8"/>
  <c r="K12" i="8"/>
  <c r="K200" i="5"/>
  <c r="J13" i="8"/>
  <c r="J12" i="8"/>
  <c r="G199" i="5"/>
  <c r="K201" i="5"/>
  <c r="G12" i="8"/>
  <c r="J185" i="8"/>
  <c r="J177" i="8"/>
  <c r="J169" i="8"/>
  <c r="J161" i="8"/>
  <c r="J153" i="8"/>
  <c r="J145" i="8"/>
  <c r="J137" i="8"/>
  <c r="J129" i="8"/>
  <c r="J121" i="8"/>
  <c r="J113" i="8"/>
  <c r="J105" i="8"/>
  <c r="J97" i="8"/>
  <c r="J89" i="8"/>
  <c r="J81" i="8"/>
  <c r="J73" i="8"/>
  <c r="J65" i="8"/>
  <c r="J57" i="8"/>
  <c r="J49" i="8"/>
  <c r="J41" i="8"/>
  <c r="J33" i="8"/>
  <c r="J25" i="8"/>
  <c r="K199" i="5"/>
  <c r="W124" i="6"/>
  <c r="T75" i="6"/>
  <c r="V75" i="6" s="1"/>
  <c r="T104" i="6"/>
  <c r="V104" i="6" s="1"/>
  <c r="W104" i="6"/>
  <c r="T100" i="6"/>
  <c r="V100" i="6" s="1"/>
  <c r="W100" i="6"/>
  <c r="K138" i="6"/>
  <c r="T109" i="6"/>
  <c r="V109" i="6" s="1"/>
  <c r="K88" i="6"/>
  <c r="W88" i="6"/>
  <c r="W82" i="6"/>
  <c r="K82" i="6"/>
  <c r="L97" i="6"/>
  <c r="J97" i="6"/>
  <c r="W97" i="6"/>
  <c r="K155" i="6"/>
  <c r="T101" i="6"/>
  <c r="V101" i="6"/>
  <c r="N159" i="6"/>
  <c r="K106" i="5"/>
  <c r="I78" i="5"/>
  <c r="J75" i="5"/>
  <c r="J24" i="5"/>
  <c r="K160" i="6"/>
  <c r="W160" i="6"/>
  <c r="T67" i="6"/>
  <c r="V67" i="6" s="1"/>
  <c r="K176" i="5"/>
  <c r="W26" i="6"/>
  <c r="W130" i="6"/>
  <c r="T49" i="6"/>
  <c r="V49" i="6" s="1"/>
  <c r="W49" i="6"/>
  <c r="L40" i="6"/>
  <c r="I40" i="6"/>
  <c r="T138" i="6"/>
  <c r="V138" i="6"/>
  <c r="K152" i="6"/>
  <c r="T48" i="6"/>
  <c r="V48" i="6" s="1"/>
  <c r="L114" i="6"/>
  <c r="J114" i="6"/>
  <c r="W114" i="6"/>
  <c r="K157" i="6"/>
  <c r="K117" i="6"/>
  <c r="T82" i="6"/>
  <c r="V82" i="6" s="1"/>
  <c r="K175" i="6"/>
  <c r="W175" i="6"/>
  <c r="K71" i="5"/>
  <c r="K67" i="5"/>
  <c r="T133" i="6"/>
  <c r="V133" i="6" s="1"/>
  <c r="J22" i="5"/>
  <c r="W46" i="6"/>
  <c r="W128" i="6"/>
  <c r="W24" i="6"/>
  <c r="K80" i="6"/>
  <c r="W80" i="6"/>
  <c r="T41" i="6"/>
  <c r="V41" i="6" s="1"/>
  <c r="W36" i="6"/>
  <c r="T169" i="6"/>
  <c r="V169" i="6" s="1"/>
  <c r="T74" i="6"/>
  <c r="V74" i="6" s="1"/>
  <c r="W74" i="6"/>
  <c r="L29" i="6"/>
  <c r="I29" i="6"/>
  <c r="K168" i="6"/>
  <c r="W168" i="6"/>
  <c r="T175" i="6"/>
  <c r="V175" i="6" s="1"/>
  <c r="L126" i="6"/>
  <c r="K126" i="6"/>
  <c r="J105" i="5"/>
  <c r="J93" i="5"/>
  <c r="U93" i="5"/>
  <c r="J112" i="5"/>
  <c r="I85" i="6"/>
  <c r="K164" i="6"/>
  <c r="W116" i="6"/>
  <c r="T57" i="6"/>
  <c r="V57" i="6" s="1"/>
  <c r="W57" i="6"/>
  <c r="K169" i="6"/>
  <c r="W169" i="6"/>
  <c r="W73" i="6"/>
  <c r="K156" i="6"/>
  <c r="W156" i="6"/>
  <c r="W60" i="6"/>
  <c r="I125" i="6"/>
  <c r="W115" i="6"/>
  <c r="W37" i="6"/>
  <c r="O37" i="6"/>
  <c r="I33" i="5"/>
  <c r="K82" i="5"/>
  <c r="K165" i="5"/>
  <c r="J109" i="6"/>
  <c r="W101" i="6"/>
  <c r="K101" i="6"/>
  <c r="K55" i="5"/>
  <c r="L56" i="6"/>
  <c r="W56" i="6"/>
  <c r="K56" i="6"/>
  <c r="T89" i="6"/>
  <c r="V89" i="6" s="1"/>
  <c r="W89" i="6"/>
  <c r="J127" i="6"/>
  <c r="W127" i="6"/>
  <c r="N44" i="6"/>
  <c r="W107" i="6"/>
  <c r="K170" i="5"/>
  <c r="T113" i="6"/>
  <c r="V113" i="6" s="1"/>
  <c r="W113" i="6"/>
  <c r="L58" i="6"/>
  <c r="K58" i="6"/>
  <c r="W58" i="6"/>
  <c r="T81" i="6"/>
  <c r="V81" i="6" s="1"/>
  <c r="W81" i="6"/>
  <c r="O34" i="6"/>
  <c r="W148" i="6"/>
  <c r="K98" i="6"/>
  <c r="W134" i="6"/>
  <c r="K171" i="6"/>
  <c r="K106" i="6"/>
  <c r="W106" i="6"/>
  <c r="W174" i="6"/>
  <c r="T37" i="6"/>
  <c r="V37" i="6" s="1"/>
  <c r="I41" i="5"/>
  <c r="J28" i="5"/>
  <c r="J45" i="5"/>
  <c r="J101" i="5"/>
  <c r="T172" i="6"/>
  <c r="V172" i="6" s="1"/>
  <c r="T83" i="6"/>
  <c r="V83" i="6" s="1"/>
  <c r="W83" i="6"/>
  <c r="T66" i="6"/>
  <c r="V66" i="6" s="1"/>
  <c r="T135" i="6"/>
  <c r="V135" i="6" s="1"/>
  <c r="T86" i="6"/>
  <c r="V86" i="6"/>
  <c r="K190" i="5"/>
  <c r="L96" i="6"/>
  <c r="J96" i="6"/>
  <c r="W45" i="6"/>
  <c r="T52" i="6"/>
  <c r="V52" i="6" s="1"/>
  <c r="W52" i="6"/>
  <c r="K177" i="6"/>
  <c r="L69" i="6"/>
  <c r="K69" i="6"/>
  <c r="T105" i="6"/>
  <c r="V105" i="6" s="1"/>
  <c r="K167" i="6"/>
  <c r="W137" i="6"/>
  <c r="W147" i="6"/>
  <c r="L21" i="6"/>
  <c r="J21" i="6"/>
  <c r="K176" i="6"/>
  <c r="J49" i="5"/>
  <c r="W94" i="6"/>
  <c r="I37" i="5"/>
  <c r="K63" i="5"/>
  <c r="K103" i="5"/>
  <c r="K172" i="6"/>
  <c r="W172" i="6"/>
  <c r="I86" i="5"/>
  <c r="O124" i="1"/>
  <c r="T154" i="6"/>
  <c r="V154" i="6" s="1"/>
  <c r="W154" i="6"/>
  <c r="T161" i="6"/>
  <c r="V161" i="6" s="1"/>
  <c r="T35" i="6"/>
  <c r="V35" i="6" s="1"/>
  <c r="W35" i="6"/>
  <c r="K164" i="5"/>
  <c r="T153" i="6"/>
  <c r="V153" i="6" s="1"/>
  <c r="W153" i="6"/>
  <c r="T78" i="6"/>
  <c r="V78" i="6" s="1"/>
  <c r="W78" i="6"/>
  <c r="W27" i="6"/>
  <c r="K96" i="5"/>
  <c r="L112" i="6"/>
  <c r="J112" i="6"/>
  <c r="N151" i="6"/>
  <c r="W151" i="6"/>
  <c r="L93" i="6"/>
  <c r="J93" i="6"/>
  <c r="K139" i="6"/>
  <c r="W42" i="6"/>
  <c r="O42" i="6"/>
  <c r="K145" i="6"/>
  <c r="T21" i="6"/>
  <c r="V21" i="6" s="1"/>
  <c r="L61" i="6"/>
  <c r="K61" i="6"/>
  <c r="W61" i="6"/>
  <c r="K59" i="5"/>
  <c r="K108" i="5"/>
  <c r="T56" i="6"/>
  <c r="V56" i="6" s="1"/>
  <c r="C12" i="6"/>
  <c r="C12" i="3"/>
  <c r="C11" i="6"/>
  <c r="C18" i="8"/>
  <c r="C11" i="3"/>
  <c r="U75" i="5" l="1"/>
  <c r="R75" i="5"/>
  <c r="T75" i="5" s="1"/>
  <c r="T70" i="6"/>
  <c r="V70" i="6" s="1"/>
  <c r="W70" i="6"/>
  <c r="T50" i="6"/>
  <c r="V50" i="6" s="1"/>
  <c r="W50" i="6"/>
  <c r="Q106" i="3"/>
  <c r="T123" i="6"/>
  <c r="V123" i="6" s="1"/>
  <c r="W123" i="6"/>
  <c r="T176" i="6"/>
  <c r="V176" i="6" s="1"/>
  <c r="W176" i="6"/>
  <c r="T159" i="6"/>
  <c r="V159" i="6" s="1"/>
  <c r="W159" i="6"/>
  <c r="W132" i="6"/>
  <c r="W103" i="6"/>
  <c r="T103" i="6"/>
  <c r="V103" i="6" s="1"/>
  <c r="Q130" i="3"/>
  <c r="S130" i="3" s="1"/>
  <c r="T164" i="6"/>
  <c r="V164" i="6" s="1"/>
  <c r="W164" i="6"/>
  <c r="T59" i="6"/>
  <c r="V59" i="6" s="1"/>
  <c r="W59" i="6"/>
  <c r="Q62" i="3"/>
  <c r="S62" i="3" s="1"/>
  <c r="Q23" i="3"/>
  <c r="S23" i="3" s="1"/>
  <c r="T62" i="6"/>
  <c r="V62" i="6" s="1"/>
  <c r="W62" i="6"/>
  <c r="T47" i="6"/>
  <c r="V47" i="6" s="1"/>
  <c r="W47" i="6"/>
  <c r="W55" i="6"/>
  <c r="Q140" i="3"/>
  <c r="S140" i="3" s="1"/>
  <c r="Q143" i="3"/>
  <c r="S143" i="3" s="1"/>
  <c r="Q126" i="3"/>
  <c r="S126" i="3" s="1"/>
  <c r="Q33" i="3"/>
  <c r="S33" i="3" s="1"/>
  <c r="Q95" i="3"/>
  <c r="S95" i="3" s="1"/>
  <c r="Q31" i="3"/>
  <c r="S31" i="3" s="1"/>
  <c r="Q84" i="3"/>
  <c r="S84" i="3" s="1"/>
  <c r="Q27" i="3"/>
  <c r="S27" i="3" s="1"/>
  <c r="Q88" i="3"/>
  <c r="S88" i="3" s="1"/>
  <c r="Q113" i="3"/>
  <c r="S113" i="3" s="1"/>
  <c r="Q94" i="3"/>
  <c r="S94" i="3" s="1"/>
  <c r="Q37" i="3"/>
  <c r="S37" i="3" s="1"/>
  <c r="Q138" i="3"/>
  <c r="S138" i="3" s="1"/>
  <c r="Q68" i="3"/>
  <c r="S68" i="3" s="1"/>
  <c r="Q85" i="3"/>
  <c r="S85" i="3" s="1"/>
  <c r="Q72" i="3"/>
  <c r="S72" i="3" s="1"/>
  <c r="Q53" i="3"/>
  <c r="S53" i="3" s="1"/>
  <c r="Q136" i="3"/>
  <c r="S136" i="3" s="1"/>
  <c r="Q134" i="3"/>
  <c r="S134" i="3" s="1"/>
  <c r="Q91" i="3"/>
  <c r="S91" i="3" s="1"/>
  <c r="Q26" i="3"/>
  <c r="S26" i="3" s="1"/>
  <c r="Q81" i="3"/>
  <c r="S81" i="3" s="1"/>
  <c r="Q24" i="3"/>
  <c r="S24" i="3" s="1"/>
  <c r="Q77" i="3"/>
  <c r="S77" i="3" s="1"/>
  <c r="Q35" i="3"/>
  <c r="S35" i="3" s="1"/>
  <c r="Q46" i="3"/>
  <c r="S46" i="3" s="1"/>
  <c r="Q87" i="3"/>
  <c r="S87" i="3" s="1"/>
  <c r="Q75" i="3"/>
  <c r="S75" i="3" s="1"/>
  <c r="Q39" i="3"/>
  <c r="S39" i="3" s="1"/>
  <c r="Q78" i="3"/>
  <c r="S78" i="3" s="1"/>
  <c r="Q21" i="3"/>
  <c r="S21" i="3" s="1"/>
  <c r="Q101" i="3"/>
  <c r="S101" i="3" s="1"/>
  <c r="Q47" i="3"/>
  <c r="S47" i="3" s="1"/>
  <c r="Q70" i="3"/>
  <c r="S70" i="3" s="1"/>
  <c r="Q92" i="3"/>
  <c r="S92" i="3" s="1"/>
  <c r="Q76" i="3"/>
  <c r="S76" i="3" s="1"/>
  <c r="Q65" i="3"/>
  <c r="S65" i="3" s="1"/>
  <c r="Q99" i="3"/>
  <c r="S99" i="3" s="1"/>
  <c r="Q142" i="3"/>
  <c r="S142" i="3" s="1"/>
  <c r="Q89" i="3"/>
  <c r="S89" i="3" s="1"/>
  <c r="Q71" i="3"/>
  <c r="S71" i="3" s="1"/>
  <c r="D15" i="3"/>
  <c r="C19" i="3" s="1"/>
  <c r="Q86" i="3"/>
  <c r="S86" i="3" s="1"/>
  <c r="Q93" i="3"/>
  <c r="S93" i="3" s="1"/>
  <c r="Q49" i="3"/>
  <c r="S49" i="3" s="1"/>
  <c r="Q22" i="3"/>
  <c r="S22" i="3" s="1"/>
  <c r="Q43" i="3"/>
  <c r="S43" i="3" s="1"/>
  <c r="Q32" i="3"/>
  <c r="S32" i="3" s="1"/>
  <c r="Q30" i="3"/>
  <c r="S30" i="3" s="1"/>
  <c r="Q116" i="3"/>
  <c r="S116" i="3" s="1"/>
  <c r="Q112" i="3"/>
  <c r="S112" i="3" s="1"/>
  <c r="Q59" i="3"/>
  <c r="S59" i="3" s="1"/>
  <c r="Q69" i="3"/>
  <c r="S69" i="3" s="1"/>
  <c r="Q63" i="3"/>
  <c r="S63" i="3" s="1"/>
  <c r="Q56" i="3"/>
  <c r="S56" i="3" s="1"/>
  <c r="Q125" i="3"/>
  <c r="S125" i="3" s="1"/>
  <c r="Q57" i="3"/>
  <c r="S57" i="3" s="1"/>
  <c r="Q45" i="3"/>
  <c r="S45" i="3" s="1"/>
  <c r="Q41" i="3"/>
  <c r="S41" i="3" s="1"/>
  <c r="Q119" i="3"/>
  <c r="S119" i="3" s="1"/>
  <c r="Q25" i="3"/>
  <c r="S25" i="3" s="1"/>
  <c r="Q108" i="3"/>
  <c r="S108" i="3" s="1"/>
  <c r="Q40" i="3"/>
  <c r="S40" i="3" s="1"/>
  <c r="Q61" i="3"/>
  <c r="S61" i="3" s="1"/>
  <c r="Q64" i="3"/>
  <c r="S64" i="3" s="1"/>
  <c r="Q73" i="3"/>
  <c r="S73" i="3" s="1"/>
  <c r="Q129" i="3"/>
  <c r="S129" i="3" s="1"/>
  <c r="Q117" i="3"/>
  <c r="S117" i="3" s="1"/>
  <c r="T51" i="6"/>
  <c r="V51" i="6" s="1"/>
  <c r="W51" i="6"/>
  <c r="Q48" i="3"/>
  <c r="S48" i="3" s="1"/>
  <c r="T117" i="6"/>
  <c r="V117" i="6" s="1"/>
  <c r="W117" i="6"/>
  <c r="U161" i="5"/>
  <c r="R161" i="5"/>
  <c r="T161" i="5" s="1"/>
  <c r="U89" i="5"/>
  <c r="R89" i="5"/>
  <c r="T89" i="5" s="1"/>
  <c r="Q96" i="3"/>
  <c r="S96" i="3" s="1"/>
  <c r="P147" i="5"/>
  <c r="R147" i="5" s="1"/>
  <c r="P160" i="5"/>
  <c r="P139" i="5"/>
  <c r="P102" i="5"/>
  <c r="R102" i="5" s="1"/>
  <c r="T102" i="5" s="1"/>
  <c r="P98" i="5"/>
  <c r="R98" i="5" s="1"/>
  <c r="T98" i="5" s="1"/>
  <c r="P68" i="5"/>
  <c r="K13" i="8"/>
  <c r="P143" i="5"/>
  <c r="Q60" i="1"/>
  <c r="T60" i="1" s="1"/>
  <c r="Q157" i="1"/>
  <c r="T157" i="1" s="1"/>
  <c r="Q130" i="1"/>
  <c r="T130" i="1" s="1"/>
  <c r="P82" i="5"/>
  <c r="Q66" i="1"/>
  <c r="T66" i="1" s="1"/>
  <c r="Q121" i="1"/>
  <c r="T121" i="1" s="1"/>
  <c r="H13" i="8"/>
  <c r="Q88" i="1"/>
  <c r="T88" i="1" s="1"/>
  <c r="Q86" i="1"/>
  <c r="P180" i="5"/>
  <c r="P136" i="5"/>
  <c r="P106" i="5"/>
  <c r="P101" i="5"/>
  <c r="U101" i="5" s="1"/>
  <c r="P73" i="5"/>
  <c r="R73" i="5" s="1"/>
  <c r="T73" i="5" s="1"/>
  <c r="P36" i="5"/>
  <c r="R36" i="5" s="1"/>
  <c r="T36" i="5" s="1"/>
  <c r="P21" i="5"/>
  <c r="Q122" i="6"/>
  <c r="T122" i="6" s="1"/>
  <c r="P198" i="5"/>
  <c r="P123" i="5"/>
  <c r="R123" i="5" s="1"/>
  <c r="P177" i="5"/>
  <c r="P155" i="5"/>
  <c r="P134" i="5"/>
  <c r="P111" i="5"/>
  <c r="P77" i="5"/>
  <c r="P44" i="5"/>
  <c r="R44" i="5" s="1"/>
  <c r="T44" i="5" s="1"/>
  <c r="P40" i="5"/>
  <c r="R40" i="5" s="1"/>
  <c r="T40" i="5" s="1"/>
  <c r="P29" i="5"/>
  <c r="U29" i="5" s="1"/>
  <c r="P133" i="5"/>
  <c r="P165" i="5"/>
  <c r="T177" i="6"/>
  <c r="V177" i="6" s="1"/>
  <c r="T112" i="6"/>
  <c r="V112" i="6" s="1"/>
  <c r="W71" i="6"/>
  <c r="W150" i="6"/>
  <c r="P13" i="8"/>
  <c r="T79" i="6"/>
  <c r="V79" i="6" s="1"/>
  <c r="P22" i="5"/>
  <c r="R22" i="5" s="1"/>
  <c r="T22" i="5" s="1"/>
  <c r="Q169" i="1"/>
  <c r="T169" i="1" s="1"/>
  <c r="P55" i="5"/>
  <c r="U55" i="5" s="1"/>
  <c r="Q150" i="1"/>
  <c r="T150" i="1" s="1"/>
  <c r="Q87" i="1"/>
  <c r="T87" i="1" s="1"/>
  <c r="Q148" i="1"/>
  <c r="T148" i="1" s="1"/>
  <c r="Q124" i="1"/>
  <c r="T124" i="1" s="1"/>
  <c r="Q94" i="1"/>
  <c r="Q151" i="1"/>
  <c r="T151" i="1" s="1"/>
  <c r="P131" i="5"/>
  <c r="R131" i="5" s="1"/>
  <c r="P173" i="5"/>
  <c r="P153" i="5"/>
  <c r="P130" i="5"/>
  <c r="P80" i="5"/>
  <c r="P48" i="5"/>
  <c r="P43" i="5"/>
  <c r="P35" i="5"/>
  <c r="U35" i="5" s="1"/>
  <c r="P88" i="5"/>
  <c r="W171" i="6"/>
  <c r="Q122" i="1"/>
  <c r="T122" i="1" s="1"/>
  <c r="Q154" i="1"/>
  <c r="T154" i="1" s="1"/>
  <c r="Q24" i="1"/>
  <c r="T24" i="1" s="1"/>
  <c r="Q96" i="1"/>
  <c r="Q156" i="1"/>
  <c r="T156" i="1" s="1"/>
  <c r="P67" i="5"/>
  <c r="Q131" i="1"/>
  <c r="T131" i="1" s="1"/>
  <c r="P172" i="5"/>
  <c r="R172" i="5" s="1"/>
  <c r="T172" i="5" s="1"/>
  <c r="P152" i="5"/>
  <c r="P129" i="5"/>
  <c r="P104" i="5"/>
  <c r="Q119" i="6"/>
  <c r="T119" i="6" s="1"/>
  <c r="P192" i="5"/>
  <c r="W102" i="6"/>
  <c r="I13" i="8"/>
  <c r="Q133" i="1"/>
  <c r="Q53" i="1"/>
  <c r="P78" i="5"/>
  <c r="Q158" i="1"/>
  <c r="T158" i="1" s="1"/>
  <c r="P59" i="5"/>
  <c r="Q34" i="1"/>
  <c r="T34" i="1" s="1"/>
  <c r="Q100" i="1"/>
  <c r="T100" i="1" s="1"/>
  <c r="Q29" i="1"/>
  <c r="T29" i="1" s="1"/>
  <c r="Q160" i="1"/>
  <c r="T160" i="1" s="1"/>
  <c r="Q64" i="1"/>
  <c r="P191" i="5"/>
  <c r="P167" i="5"/>
  <c r="P125" i="5"/>
  <c r="R125" i="5" s="1"/>
  <c r="T125" i="5" s="1"/>
  <c r="P115" i="5"/>
  <c r="R115" i="5" s="1"/>
  <c r="T115" i="5" s="1"/>
  <c r="P76" i="5"/>
  <c r="U76" i="5" s="1"/>
  <c r="P53" i="5"/>
  <c r="U53" i="5" s="1"/>
  <c r="P42" i="5"/>
  <c r="R42" i="5" s="1"/>
  <c r="T42" i="5" s="1"/>
  <c r="P27" i="5"/>
  <c r="Q118" i="6"/>
  <c r="T118" i="6" s="1"/>
  <c r="Q45" i="1"/>
  <c r="W93" i="6"/>
  <c r="W131" i="6"/>
  <c r="W53" i="6"/>
  <c r="W92" i="6"/>
  <c r="P200" i="5"/>
  <c r="P157" i="5"/>
  <c r="N13" i="8"/>
  <c r="P170" i="5"/>
  <c r="D13" i="8"/>
  <c r="Q54" i="1"/>
  <c r="T54" i="1" s="1"/>
  <c r="Q137" i="1"/>
  <c r="T137" i="1" s="1"/>
  <c r="Q32" i="1"/>
  <c r="T32" i="1" s="1"/>
  <c r="Q166" i="1"/>
  <c r="T166" i="1" s="1"/>
  <c r="Q40" i="1"/>
  <c r="T40" i="1" s="1"/>
  <c r="Q31" i="1"/>
  <c r="T31" i="1" s="1"/>
  <c r="P148" i="5"/>
  <c r="R148" i="5" s="1"/>
  <c r="P189" i="5"/>
  <c r="P145" i="5"/>
  <c r="P114" i="5"/>
  <c r="R114" i="5" s="1"/>
  <c r="T114" i="5" s="1"/>
  <c r="P58" i="5"/>
  <c r="U58" i="5" s="1"/>
  <c r="P23" i="5"/>
  <c r="Q67" i="3"/>
  <c r="U204" i="5"/>
  <c r="K204" i="5"/>
  <c r="U152" i="5"/>
  <c r="R152" i="5"/>
  <c r="T152" i="5" s="1"/>
  <c r="R177" i="5"/>
  <c r="T177" i="5" s="1"/>
  <c r="U177" i="5"/>
  <c r="U136" i="5"/>
  <c r="R136" i="5"/>
  <c r="T136" i="5" s="1"/>
  <c r="W167" i="6"/>
  <c r="W23" i="6"/>
  <c r="W38" i="6"/>
  <c r="W39" i="6"/>
  <c r="R24" i="5"/>
  <c r="T24" i="5" s="1"/>
  <c r="W40" i="6"/>
  <c r="W28" i="6"/>
  <c r="Q44" i="1"/>
  <c r="Q163" i="1"/>
  <c r="T163" i="1" s="1"/>
  <c r="Q126" i="1"/>
  <c r="U125" i="5"/>
  <c r="R29" i="5"/>
  <c r="T29" i="5" s="1"/>
  <c r="P175" i="5"/>
  <c r="R175" i="5" s="1"/>
  <c r="T175" i="5" s="1"/>
  <c r="P162" i="5"/>
  <c r="U162" i="5" s="1"/>
  <c r="P107" i="5"/>
  <c r="P193" i="5"/>
  <c r="P33" i="5"/>
  <c r="U33" i="5" s="1"/>
  <c r="P49" i="5"/>
  <c r="P74" i="5"/>
  <c r="R74" i="5" s="1"/>
  <c r="T74" i="5" s="1"/>
  <c r="P126" i="5"/>
  <c r="P137" i="5"/>
  <c r="P149" i="5"/>
  <c r="P156" i="5"/>
  <c r="P168" i="5"/>
  <c r="P181" i="5"/>
  <c r="P186" i="5"/>
  <c r="P194" i="5"/>
  <c r="R194" i="5" s="1"/>
  <c r="T194" i="5" s="1"/>
  <c r="P120" i="5"/>
  <c r="R120" i="5" s="1"/>
  <c r="P146" i="5"/>
  <c r="R146" i="5" s="1"/>
  <c r="P116" i="5"/>
  <c r="P71" i="5"/>
  <c r="P176" i="5"/>
  <c r="P197" i="5"/>
  <c r="R197" i="5" s="1"/>
  <c r="T197" i="5" s="1"/>
  <c r="P28" i="5"/>
  <c r="P83" i="5"/>
  <c r="P94" i="5"/>
  <c r="R94" i="5" s="1"/>
  <c r="T94" i="5" s="1"/>
  <c r="P99" i="5"/>
  <c r="P108" i="5"/>
  <c r="P127" i="5"/>
  <c r="P132" i="5"/>
  <c r="P142" i="5"/>
  <c r="P150" i="5"/>
  <c r="P163" i="5"/>
  <c r="P169" i="5"/>
  <c r="P178" i="5"/>
  <c r="P187" i="5"/>
  <c r="U187" i="5" s="1"/>
  <c r="P124" i="5"/>
  <c r="R124" i="5" s="1"/>
  <c r="P45" i="5"/>
  <c r="P185" i="5"/>
  <c r="R185" i="5" s="1"/>
  <c r="T185" i="5" s="1"/>
  <c r="P195" i="5"/>
  <c r="P39" i="5"/>
  <c r="P50" i="5"/>
  <c r="P158" i="5"/>
  <c r="P171" i="5"/>
  <c r="P182" i="5"/>
  <c r="P188" i="5"/>
  <c r="P121" i="5"/>
  <c r="R121" i="5" s="1"/>
  <c r="P52" i="5"/>
  <c r="P61" i="5"/>
  <c r="P79" i="5"/>
  <c r="P110" i="5"/>
  <c r="R110" i="5" s="1"/>
  <c r="T110" i="5" s="1"/>
  <c r="P128" i="5"/>
  <c r="P135" i="5"/>
  <c r="P138" i="5"/>
  <c r="P144" i="5"/>
  <c r="P159" i="5"/>
  <c r="U159" i="5" s="1"/>
  <c r="P166" i="5"/>
  <c r="P179" i="5"/>
  <c r="P183" i="5"/>
  <c r="P122" i="5"/>
  <c r="R122" i="5" s="1"/>
  <c r="P86" i="5"/>
  <c r="P63" i="5"/>
  <c r="P100" i="5"/>
  <c r="P37" i="5"/>
  <c r="U37" i="5" s="1"/>
  <c r="P190" i="5"/>
  <c r="P201" i="5"/>
  <c r="R201" i="5" s="1"/>
  <c r="T201" i="5" s="1"/>
  <c r="P199" i="5"/>
  <c r="U199" i="5" s="1"/>
  <c r="P203" i="5"/>
  <c r="R203" i="5" s="1"/>
  <c r="T203" i="5" s="1"/>
  <c r="W64" i="6"/>
  <c r="W144" i="6"/>
  <c r="W125" i="6"/>
  <c r="W31" i="6"/>
  <c r="W162" i="6"/>
  <c r="W68" i="6"/>
  <c r="W158" i="6"/>
  <c r="Q165" i="1"/>
  <c r="T165" i="1" s="1"/>
  <c r="Q141" i="1"/>
  <c r="T141" i="1" s="1"/>
  <c r="Q75" i="1"/>
  <c r="T75" i="1" s="1"/>
  <c r="Q101" i="1"/>
  <c r="T101" i="1" s="1"/>
  <c r="Q159" i="1"/>
  <c r="T159" i="1" s="1"/>
  <c r="Q52" i="1"/>
  <c r="Q125" i="1"/>
  <c r="Q164" i="1"/>
  <c r="T164" i="1" s="1"/>
  <c r="Q111" i="1"/>
  <c r="T111" i="1" s="1"/>
  <c r="Q33" i="1"/>
  <c r="T33" i="1" s="1"/>
  <c r="Q26" i="1"/>
  <c r="T26" i="1" s="1"/>
  <c r="Q170" i="1"/>
  <c r="T170" i="1" s="1"/>
  <c r="Q138" i="1"/>
  <c r="T138" i="1" s="1"/>
  <c r="Q41" i="1"/>
  <c r="T41" i="1" s="1"/>
  <c r="Q81" i="1"/>
  <c r="T81" i="1" s="1"/>
  <c r="Q39" i="1"/>
  <c r="T39" i="1" s="1"/>
  <c r="R118" i="5"/>
  <c r="T118" i="5" s="1"/>
  <c r="U118" i="5"/>
  <c r="W87" i="6"/>
  <c r="R176" i="5"/>
  <c r="T176" i="5" s="1"/>
  <c r="R26" i="5"/>
  <c r="T26" i="5" s="1"/>
  <c r="U26" i="5"/>
  <c r="W110" i="6"/>
  <c r="W91" i="6"/>
  <c r="W155" i="6"/>
  <c r="W69" i="6"/>
  <c r="W140" i="6"/>
  <c r="W29" i="6"/>
  <c r="W72" i="6"/>
  <c r="W136" i="6"/>
  <c r="T34" i="6"/>
  <c r="V34" i="6" s="1"/>
  <c r="T76" i="6"/>
  <c r="V76" i="6" s="1"/>
  <c r="R191" i="5"/>
  <c r="T191" i="5" s="1"/>
  <c r="U191" i="5"/>
  <c r="U140" i="5"/>
  <c r="R140" i="5"/>
  <c r="T140" i="5" s="1"/>
  <c r="W54" i="6"/>
  <c r="U96" i="5"/>
  <c r="Q134" i="1"/>
  <c r="T134" i="1" s="1"/>
  <c r="Q99" i="1"/>
  <c r="T99" i="1" s="1"/>
  <c r="Q104" i="1"/>
  <c r="T104" i="1" s="1"/>
  <c r="Q63" i="1"/>
  <c r="T63" i="1" s="1"/>
  <c r="Q172" i="1"/>
  <c r="T172" i="1" s="1"/>
  <c r="Q175" i="1"/>
  <c r="T175" i="1" s="1"/>
  <c r="Q110" i="1"/>
  <c r="T110" i="1" s="1"/>
  <c r="Q117" i="1"/>
  <c r="R167" i="5"/>
  <c r="T167" i="5" s="1"/>
  <c r="U167" i="5"/>
  <c r="R196" i="5"/>
  <c r="T196" i="5" s="1"/>
  <c r="Q129" i="1"/>
  <c r="T129" i="1" s="1"/>
  <c r="Q173" i="1"/>
  <c r="T173" i="1" s="1"/>
  <c r="Q68" i="1"/>
  <c r="T68" i="1" s="1"/>
  <c r="Q73" i="1"/>
  <c r="T73" i="1" s="1"/>
  <c r="Q152" i="1"/>
  <c r="Q112" i="1"/>
  <c r="Q78" i="1"/>
  <c r="T78" i="1" s="1"/>
  <c r="Q49" i="1"/>
  <c r="Q167" i="1"/>
  <c r="T167" i="1" s="1"/>
  <c r="Q80" i="1"/>
  <c r="T80" i="1" s="1"/>
  <c r="Q118" i="1"/>
  <c r="T171" i="1"/>
  <c r="P105" i="5"/>
  <c r="P92" i="5"/>
  <c r="P85" i="5"/>
  <c r="Q103" i="3"/>
  <c r="D16" i="3"/>
  <c r="D19" i="3" s="1"/>
  <c r="Q90" i="3"/>
  <c r="S90" i="3" s="1"/>
  <c r="Q85" i="6"/>
  <c r="P103" i="5"/>
  <c r="P72" i="5"/>
  <c r="P65" i="5"/>
  <c r="R65" i="5" s="1"/>
  <c r="T65" i="5" s="1"/>
  <c r="P46" i="5"/>
  <c r="R46" i="5" s="1"/>
  <c r="T46" i="5" s="1"/>
  <c r="Q120" i="1"/>
  <c r="U50" i="5"/>
  <c r="P41" i="5"/>
  <c r="P34" i="5"/>
  <c r="R34" i="5" s="1"/>
  <c r="T34" i="5" s="1"/>
  <c r="P25" i="5"/>
  <c r="R25" i="5" s="1"/>
  <c r="T25" i="5" s="1"/>
  <c r="Q23" i="1"/>
  <c r="T23" i="1" s="1"/>
  <c r="Q77" i="1"/>
  <c r="T77" i="1" s="1"/>
  <c r="Q30" i="1"/>
  <c r="T30" i="1" s="1"/>
  <c r="Q92" i="1"/>
  <c r="T92" i="1" s="1"/>
  <c r="Q35" i="1"/>
  <c r="Q114" i="1"/>
  <c r="T114" i="1" s="1"/>
  <c r="Q168" i="1"/>
  <c r="Q70" i="1"/>
  <c r="Q115" i="1"/>
  <c r="T115" i="1" s="1"/>
  <c r="Q155" i="1"/>
  <c r="T155" i="1" s="1"/>
  <c r="Q89" i="1"/>
  <c r="T89" i="1" s="1"/>
  <c r="Q72" i="1"/>
  <c r="Q62" i="1"/>
  <c r="T62" i="1" s="1"/>
  <c r="P112" i="5"/>
  <c r="P87" i="5"/>
  <c r="R87" i="5" s="1"/>
  <c r="T87" i="5" s="1"/>
  <c r="P54" i="5"/>
  <c r="U44" i="5"/>
  <c r="U40" i="5"/>
  <c r="Q120" i="3"/>
  <c r="Q122" i="3"/>
  <c r="S122" i="3" s="1"/>
  <c r="Q13" i="8"/>
  <c r="G13" i="8"/>
  <c r="P164" i="5"/>
  <c r="K203" i="5"/>
  <c r="G202" i="5"/>
  <c r="P202" i="5"/>
  <c r="C16" i="3"/>
  <c r="D18" i="3" s="1"/>
  <c r="P141" i="3"/>
  <c r="P132" i="3"/>
  <c r="P124" i="3"/>
  <c r="P113" i="3"/>
  <c r="P114" i="3"/>
  <c r="P126" i="3"/>
  <c r="P118" i="3"/>
  <c r="P128" i="3"/>
  <c r="P122" i="3"/>
  <c r="P129" i="3"/>
  <c r="P121" i="3"/>
  <c r="P116" i="3"/>
  <c r="P125" i="3"/>
  <c r="P133" i="3"/>
  <c r="P135" i="3"/>
  <c r="P136" i="3"/>
  <c r="P131" i="3"/>
  <c r="P108" i="3"/>
  <c r="P138" i="3"/>
  <c r="P139" i="3"/>
  <c r="P134" i="3"/>
  <c r="P111" i="3"/>
  <c r="P127" i="3"/>
  <c r="P142" i="3"/>
  <c r="P137" i="3"/>
  <c r="C15" i="3"/>
  <c r="P117" i="3"/>
  <c r="P112" i="3"/>
  <c r="P107" i="3"/>
  <c r="P143" i="3"/>
  <c r="P120" i="3"/>
  <c r="P123" i="3"/>
  <c r="P115" i="3"/>
  <c r="P130" i="3"/>
  <c r="P110" i="3"/>
  <c r="P119" i="3"/>
  <c r="P140" i="3"/>
  <c r="P109" i="3"/>
  <c r="P132" i="6"/>
  <c r="P159" i="6"/>
  <c r="P174" i="6"/>
  <c r="P124" i="6"/>
  <c r="P144" i="6"/>
  <c r="P153" i="6"/>
  <c r="P93" i="6"/>
  <c r="P89" i="6"/>
  <c r="P175" i="6"/>
  <c r="P126" i="6"/>
  <c r="P155" i="6"/>
  <c r="P127" i="6"/>
  <c r="P100" i="6"/>
  <c r="P107" i="6"/>
  <c r="P110" i="6"/>
  <c r="P97" i="6"/>
  <c r="P151" i="6"/>
  <c r="P136" i="6"/>
  <c r="P173" i="6"/>
  <c r="P154" i="6"/>
  <c r="P114" i="6"/>
  <c r="P165" i="6"/>
  <c r="P149" i="6"/>
  <c r="P103" i="6"/>
  <c r="P163" i="6"/>
  <c r="P135" i="6"/>
  <c r="P104" i="6"/>
  <c r="P172" i="6"/>
  <c r="P92" i="6"/>
  <c r="P123" i="6"/>
  <c r="P176" i="6"/>
  <c r="P160" i="6"/>
  <c r="P96" i="6"/>
  <c r="P134" i="6"/>
  <c r="P162" i="6"/>
  <c r="C15" i="6"/>
  <c r="P145" i="6"/>
  <c r="P177" i="6"/>
  <c r="P130" i="6"/>
  <c r="P128" i="6"/>
  <c r="P133" i="6"/>
  <c r="P125" i="6"/>
  <c r="C16" i="6"/>
  <c r="D18" i="6" s="1"/>
  <c r="W139" i="6"/>
  <c r="T139" i="6"/>
  <c r="V139" i="6" s="1"/>
  <c r="K95" i="5"/>
  <c r="W170" i="6"/>
  <c r="T173" i="6"/>
  <c r="V173" i="6" s="1"/>
  <c r="W173" i="6"/>
  <c r="W163" i="6"/>
  <c r="T163" i="6"/>
  <c r="V163" i="6" s="1"/>
  <c r="O33" i="1"/>
  <c r="T168" i="1"/>
  <c r="J168" i="1"/>
  <c r="G139" i="1"/>
  <c r="M139" i="1" s="1"/>
  <c r="Q139" i="1"/>
  <c r="T139" i="1" s="1"/>
  <c r="U126" i="5"/>
  <c r="R126" i="5"/>
  <c r="T126" i="5" s="1"/>
  <c r="K163" i="6"/>
  <c r="T63" i="6"/>
  <c r="V63" i="6" s="1"/>
  <c r="W63" i="6"/>
  <c r="U22" i="5"/>
  <c r="T96" i="6"/>
  <c r="V96" i="6" s="1"/>
  <c r="W96" i="6"/>
  <c r="T33" i="6"/>
  <c r="V33" i="6" s="1"/>
  <c r="W33" i="6"/>
  <c r="T145" i="6"/>
  <c r="V145" i="6" s="1"/>
  <c r="W145" i="6"/>
  <c r="U176" i="5"/>
  <c r="W95" i="6"/>
  <c r="T111" i="6"/>
  <c r="V111" i="6" s="1"/>
  <c r="T77" i="6"/>
  <c r="V77" i="6" s="1"/>
  <c r="G102" i="1"/>
  <c r="J102" i="1" s="1"/>
  <c r="Q102" i="1"/>
  <c r="D15" i="1"/>
  <c r="C19" i="1" s="1"/>
  <c r="G21" i="1"/>
  <c r="O21" i="1" s="1"/>
  <c r="Q177" i="1"/>
  <c r="T177" i="1" s="1"/>
  <c r="G177" i="1"/>
  <c r="K177" i="1" s="1"/>
  <c r="O133" i="1"/>
  <c r="T133" i="1"/>
  <c r="G64" i="5"/>
  <c r="P64" i="5"/>
  <c r="D15" i="5"/>
  <c r="C19" i="5" s="1"/>
  <c r="R157" i="5"/>
  <c r="T157" i="5" s="1"/>
  <c r="U201" i="5"/>
  <c r="G55" i="1"/>
  <c r="O55" i="1" s="1"/>
  <c r="Q55" i="1"/>
  <c r="T55" i="1" s="1"/>
  <c r="G128" i="1"/>
  <c r="Q128" i="1"/>
  <c r="T128" i="1" s="1"/>
  <c r="T65" i="6"/>
  <c r="V65" i="6" s="1"/>
  <c r="T96" i="1"/>
  <c r="O96" i="1"/>
  <c r="Q162" i="1"/>
  <c r="G162" i="1"/>
  <c r="O162" i="1" s="1"/>
  <c r="J152" i="1"/>
  <c r="T152" i="1"/>
  <c r="R160" i="5"/>
  <c r="T160" i="5" s="1"/>
  <c r="U160" i="5"/>
  <c r="R199" i="5"/>
  <c r="T199" i="5" s="1"/>
  <c r="T108" i="6"/>
  <c r="V108" i="6" s="1"/>
  <c r="W108" i="6"/>
  <c r="G79" i="1"/>
  <c r="J79" i="1" s="1"/>
  <c r="Q79" i="1"/>
  <c r="T79" i="1" s="1"/>
  <c r="G147" i="1"/>
  <c r="O147" i="1" s="1"/>
  <c r="Q147" i="1"/>
  <c r="T147" i="1" s="1"/>
  <c r="G136" i="1"/>
  <c r="O136" i="1" s="1"/>
  <c r="Q136" i="1"/>
  <c r="P97" i="5"/>
  <c r="R97" i="5" s="1"/>
  <c r="T97" i="5" s="1"/>
  <c r="G97" i="5"/>
  <c r="J92" i="5"/>
  <c r="R92" i="5"/>
  <c r="T92" i="5" s="1"/>
  <c r="U92" i="5"/>
  <c r="Q106" i="1"/>
  <c r="T106" i="1" s="1"/>
  <c r="G106" i="1"/>
  <c r="O106" i="1" s="1"/>
  <c r="G146" i="1"/>
  <c r="K146" i="1" s="1"/>
  <c r="Q146" i="1"/>
  <c r="G135" i="1"/>
  <c r="O135" i="1" s="1"/>
  <c r="Q135" i="1"/>
  <c r="T135" i="1" s="1"/>
  <c r="U157" i="5"/>
  <c r="W22" i="6"/>
  <c r="T22" i="6"/>
  <c r="V22" i="6" s="1"/>
  <c r="T84" i="6"/>
  <c r="V84" i="6" s="1"/>
  <c r="W84" i="6"/>
  <c r="T58" i="6"/>
  <c r="V58" i="6" s="1"/>
  <c r="T70" i="1"/>
  <c r="G46" i="1"/>
  <c r="M46" i="1" s="1"/>
  <c r="Q46" i="1"/>
  <c r="Q95" i="1"/>
  <c r="D16" i="1"/>
  <c r="D19" i="1" s="1"/>
  <c r="G95" i="1"/>
  <c r="J95" i="1" s="1"/>
  <c r="W99" i="6"/>
  <c r="T72" i="1"/>
  <c r="Q25" i="1"/>
  <c r="G25" i="1"/>
  <c r="J25" i="1" s="1"/>
  <c r="K149" i="1"/>
  <c r="T149" i="1"/>
  <c r="Q145" i="1"/>
  <c r="T145" i="1" s="1"/>
  <c r="G145" i="1"/>
  <c r="K145" i="1" s="1"/>
  <c r="G117" i="5"/>
  <c r="P117" i="5"/>
  <c r="W30" i="6"/>
  <c r="Q82" i="1"/>
  <c r="T82" i="1" s="1"/>
  <c r="Q97" i="1"/>
  <c r="T97" i="1" s="1"/>
  <c r="Q50" i="1"/>
  <c r="Q27" i="1"/>
  <c r="T27" i="1" s="1"/>
  <c r="Q74" i="1"/>
  <c r="T74" i="1" s="1"/>
  <c r="Q51" i="1"/>
  <c r="Q127" i="1"/>
  <c r="Q36" i="1"/>
  <c r="T36" i="1" s="1"/>
  <c r="Q57" i="1"/>
  <c r="T57" i="1" s="1"/>
  <c r="Q59" i="1"/>
  <c r="T59" i="1" s="1"/>
  <c r="Q61" i="1"/>
  <c r="T61" i="1" s="1"/>
  <c r="Q71" i="1"/>
  <c r="T71" i="1" s="1"/>
  <c r="Q21" i="1"/>
  <c r="T21" i="1" s="1"/>
  <c r="Q65" i="1"/>
  <c r="T65" i="1" s="1"/>
  <c r="Q67" i="1"/>
  <c r="T67" i="1" s="1"/>
  <c r="Q91" i="1"/>
  <c r="T91" i="1" s="1"/>
  <c r="Q103" i="1"/>
  <c r="T103" i="1" s="1"/>
  <c r="Q85" i="1"/>
  <c r="T85" i="1" s="1"/>
  <c r="Q93" i="1"/>
  <c r="T93" i="1" s="1"/>
  <c r="Q105" i="1"/>
  <c r="T105" i="1" s="1"/>
  <c r="Q109" i="1"/>
  <c r="T109" i="1" s="1"/>
  <c r="Q119" i="1"/>
  <c r="Q98" i="1"/>
  <c r="T98" i="1" s="1"/>
  <c r="R77" i="5"/>
  <c r="T77" i="5" s="1"/>
  <c r="U77" i="5"/>
  <c r="P38" i="5"/>
  <c r="R38" i="5" s="1"/>
  <c r="T38" i="5" s="1"/>
  <c r="G38" i="5"/>
  <c r="T35" i="1"/>
  <c r="Q132" i="1"/>
  <c r="T132" i="1" s="1"/>
  <c r="T86" i="1"/>
  <c r="Q37" i="1"/>
  <c r="T37" i="1" s="1"/>
  <c r="Q90" i="1"/>
  <c r="R187" i="5"/>
  <c r="T187" i="5" s="1"/>
  <c r="U129" i="5"/>
  <c r="R129" i="5"/>
  <c r="T129" i="5" s="1"/>
  <c r="G119" i="5"/>
  <c r="P119" i="5"/>
  <c r="R119" i="5" s="1"/>
  <c r="T119" i="5" s="1"/>
  <c r="P109" i="5"/>
  <c r="G109" i="5"/>
  <c r="P84" i="5"/>
  <c r="R84" i="5" s="1"/>
  <c r="T84" i="5" s="1"/>
  <c r="U81" i="5"/>
  <c r="Q69" i="1"/>
  <c r="T69" i="1" s="1"/>
  <c r="Q76" i="1"/>
  <c r="T76" i="1" s="1"/>
  <c r="T94" i="1"/>
  <c r="J171" i="1"/>
  <c r="Q48" i="1"/>
  <c r="K84" i="5"/>
  <c r="U48" i="5"/>
  <c r="J48" i="5"/>
  <c r="R48" i="5"/>
  <c r="T48" i="5" s="1"/>
  <c r="Q143" i="1"/>
  <c r="T143" i="1" s="1"/>
  <c r="Q84" i="1"/>
  <c r="T84" i="1" s="1"/>
  <c r="Q43" i="1"/>
  <c r="T43" i="1" s="1"/>
  <c r="R169" i="5"/>
  <c r="T169" i="5" s="1"/>
  <c r="U169" i="5"/>
  <c r="P90" i="5"/>
  <c r="R90" i="5" s="1"/>
  <c r="T90" i="5" s="1"/>
  <c r="G90" i="5"/>
  <c r="K87" i="5"/>
  <c r="U87" i="5"/>
  <c r="P57" i="5"/>
  <c r="R57" i="5" s="1"/>
  <c r="T57" i="5" s="1"/>
  <c r="G57" i="5"/>
  <c r="Q42" i="1"/>
  <c r="T42" i="1" s="1"/>
  <c r="R184" i="5"/>
  <c r="T184" i="5" s="1"/>
  <c r="U184" i="5"/>
  <c r="K94" i="5"/>
  <c r="U94" i="5"/>
  <c r="T160" i="6"/>
  <c r="V160" i="6" s="1"/>
  <c r="Q140" i="1"/>
  <c r="T140" i="1" s="1"/>
  <c r="J115" i="5"/>
  <c r="U115" i="5"/>
  <c r="J110" i="5"/>
  <c r="U110" i="5"/>
  <c r="P95" i="5"/>
  <c r="R95" i="5" s="1"/>
  <c r="T95" i="5" s="1"/>
  <c r="D16" i="5"/>
  <c r="D19" i="5" s="1"/>
  <c r="R81" i="5"/>
  <c r="T81" i="5" s="1"/>
  <c r="G70" i="5"/>
  <c r="P70" i="5"/>
  <c r="K56" i="5"/>
  <c r="U25" i="5"/>
  <c r="K55" i="6"/>
  <c r="L55" i="6"/>
  <c r="L48" i="6"/>
  <c r="O48" i="6"/>
  <c r="I178" i="8"/>
  <c r="K178" i="8"/>
  <c r="J178" i="8"/>
  <c r="H178" i="8"/>
  <c r="F178" i="8"/>
  <c r="L178" i="8"/>
  <c r="H152" i="8"/>
  <c r="I152" i="8"/>
  <c r="K152" i="8"/>
  <c r="F152" i="8"/>
  <c r="L152" i="8"/>
  <c r="J152" i="8"/>
  <c r="H120" i="8"/>
  <c r="I120" i="8"/>
  <c r="K120" i="8"/>
  <c r="J120" i="8"/>
  <c r="F120" i="8"/>
  <c r="L120" i="8"/>
  <c r="H88" i="8"/>
  <c r="I88" i="8"/>
  <c r="K88" i="8"/>
  <c r="F88" i="8"/>
  <c r="L88" i="8"/>
  <c r="J88" i="8"/>
  <c r="H56" i="8"/>
  <c r="I56" i="8"/>
  <c r="K56" i="8"/>
  <c r="J56" i="8"/>
  <c r="F56" i="8"/>
  <c r="L56" i="8"/>
  <c r="H24" i="8"/>
  <c r="J24" i="8"/>
  <c r="I24" i="8"/>
  <c r="K24" i="8"/>
  <c r="F24" i="8"/>
  <c r="L24" i="8"/>
  <c r="G179" i="8"/>
  <c r="K179" i="8"/>
  <c r="L179" i="8"/>
  <c r="G151" i="8"/>
  <c r="K151" i="8"/>
  <c r="L151" i="8"/>
  <c r="P113" i="5"/>
  <c r="R113" i="5" s="1"/>
  <c r="T113" i="5" s="1"/>
  <c r="G113" i="5"/>
  <c r="G69" i="5"/>
  <c r="G66" i="5"/>
  <c r="P66" i="5"/>
  <c r="R66" i="5" s="1"/>
  <c r="T66" i="5" s="1"/>
  <c r="R62" i="5"/>
  <c r="T62" i="5" s="1"/>
  <c r="P60" i="5"/>
  <c r="G60" i="5"/>
  <c r="G51" i="5"/>
  <c r="P51" i="5"/>
  <c r="U36" i="5"/>
  <c r="G104" i="5"/>
  <c r="P91" i="5"/>
  <c r="R91" i="5" s="1"/>
  <c r="T91" i="5" s="1"/>
  <c r="G91" i="5"/>
  <c r="U65" i="5"/>
  <c r="R50" i="5"/>
  <c r="T50" i="5" s="1"/>
  <c r="G32" i="5"/>
  <c r="P32" i="5"/>
  <c r="R32" i="5" s="1"/>
  <c r="T32" i="5" s="1"/>
  <c r="G21" i="5"/>
  <c r="R69" i="5"/>
  <c r="T69" i="5" s="1"/>
  <c r="G47" i="5"/>
  <c r="P47" i="5"/>
  <c r="I35" i="5"/>
  <c r="R104" i="5"/>
  <c r="T104" i="5" s="1"/>
  <c r="G68" i="5"/>
  <c r="R53" i="5"/>
  <c r="T53" i="5" s="1"/>
  <c r="U42" i="5"/>
  <c r="G30" i="5"/>
  <c r="P30" i="5"/>
  <c r="Q132" i="3"/>
  <c r="S132" i="3" s="1"/>
  <c r="I36" i="6"/>
  <c r="L36" i="6"/>
  <c r="Q36" i="3"/>
  <c r="S36" i="3" s="1"/>
  <c r="Q60" i="3"/>
  <c r="S60" i="3" s="1"/>
  <c r="Q98" i="3"/>
  <c r="S98" i="3" s="1"/>
  <c r="Q100" i="3"/>
  <c r="S100" i="3" s="1"/>
  <c r="Q110" i="3"/>
  <c r="S110" i="3" s="1"/>
  <c r="Q123" i="3"/>
  <c r="S123" i="3" s="1"/>
  <c r="Q131" i="3"/>
  <c r="S131" i="3" s="1"/>
  <c r="Q137" i="3"/>
  <c r="S137" i="3" s="1"/>
  <c r="Q44" i="3"/>
  <c r="S44" i="3" s="1"/>
  <c r="Q83" i="3"/>
  <c r="S83" i="3" s="1"/>
  <c r="Q97" i="3"/>
  <c r="S97" i="3" s="1"/>
  <c r="Q124" i="3"/>
  <c r="S124" i="3" s="1"/>
  <c r="Q115" i="3"/>
  <c r="S115" i="3" s="1"/>
  <c r="Q128" i="3"/>
  <c r="S128" i="3" s="1"/>
  <c r="Q133" i="3"/>
  <c r="S133" i="3" s="1"/>
  <c r="Q141" i="3"/>
  <c r="S141" i="3" s="1"/>
  <c r="Q28" i="3"/>
  <c r="S28" i="3" s="1"/>
  <c r="Q50" i="3"/>
  <c r="S50" i="3" s="1"/>
  <c r="Q74" i="3"/>
  <c r="S74" i="3" s="1"/>
  <c r="S67" i="3"/>
  <c r="L53" i="6"/>
  <c r="K53" i="6"/>
  <c r="P56" i="5"/>
  <c r="R56" i="5" s="1"/>
  <c r="T56" i="5" s="1"/>
  <c r="P31" i="5"/>
  <c r="Q127" i="3"/>
  <c r="Q104" i="3"/>
  <c r="Q118" i="3"/>
  <c r="S118" i="3" s="1"/>
  <c r="Q82" i="3"/>
  <c r="S82" i="3" s="1"/>
  <c r="Q29" i="3"/>
  <c r="S29" i="3" s="1"/>
  <c r="L26" i="6"/>
  <c r="K26" i="6"/>
  <c r="Q32" i="6"/>
  <c r="Q143" i="6"/>
  <c r="T143" i="6" s="1"/>
  <c r="Q44" i="6"/>
  <c r="Q120" i="6"/>
  <c r="T120" i="6" s="1"/>
  <c r="Q149" i="6"/>
  <c r="T149" i="6" s="1"/>
  <c r="Q146" i="6"/>
  <c r="T146" i="6" s="1"/>
  <c r="Q121" i="6"/>
  <c r="T121" i="6" s="1"/>
  <c r="Q141" i="6"/>
  <c r="T141" i="6" s="1"/>
  <c r="Q157" i="6"/>
  <c r="Q98" i="6"/>
  <c r="U193" i="5"/>
  <c r="R193" i="5"/>
  <c r="T193" i="5" s="1"/>
  <c r="Q121" i="3"/>
  <c r="Q109" i="3"/>
  <c r="Q135" i="3"/>
  <c r="S135" i="3" s="1"/>
  <c r="Q51" i="3"/>
  <c r="S51" i="3" s="1"/>
  <c r="L100" i="6"/>
  <c r="J100" i="6"/>
  <c r="L70" i="6"/>
  <c r="K70" i="6"/>
  <c r="K50" i="6"/>
  <c r="L50" i="6"/>
  <c r="Q105" i="3"/>
  <c r="Q114" i="3"/>
  <c r="S114" i="3" s="1"/>
  <c r="Q66" i="3"/>
  <c r="S66" i="3" s="1"/>
  <c r="L39" i="6"/>
  <c r="I39" i="6"/>
  <c r="L24" i="6"/>
  <c r="J24" i="6"/>
  <c r="K185" i="5"/>
  <c r="E12" i="8"/>
  <c r="E13" i="8"/>
  <c r="I35" i="6"/>
  <c r="R192" i="5"/>
  <c r="T192" i="5" s="1"/>
  <c r="U192" i="5"/>
  <c r="P141" i="5"/>
  <c r="R141" i="5" s="1"/>
  <c r="T141" i="5" s="1"/>
  <c r="G141" i="5"/>
  <c r="U197" i="5"/>
  <c r="K175" i="5"/>
  <c r="U175" i="5"/>
  <c r="H184" i="8"/>
  <c r="I184" i="8"/>
  <c r="K184" i="8"/>
  <c r="J184" i="8"/>
  <c r="F184" i="8"/>
  <c r="L184" i="8"/>
  <c r="G174" i="5"/>
  <c r="P174" i="5"/>
  <c r="R174" i="5" s="1"/>
  <c r="T174" i="5" s="1"/>
  <c r="E25" i="7"/>
  <c r="E41" i="7"/>
  <c r="E57" i="7"/>
  <c r="E73" i="7"/>
  <c r="E144" i="7"/>
  <c r="F13" i="8"/>
  <c r="F12" i="8"/>
  <c r="E83" i="7"/>
  <c r="H182" i="8"/>
  <c r="J182" i="8"/>
  <c r="H32" i="8"/>
  <c r="J32" i="8"/>
  <c r="H18" i="8"/>
  <c r="C11" i="1"/>
  <c r="C12" i="5"/>
  <c r="L18" i="8"/>
  <c r="G18" i="8"/>
  <c r="D18" i="8"/>
  <c r="K18" i="8"/>
  <c r="J18" i="8"/>
  <c r="C11" i="5"/>
  <c r="C12" i="1"/>
  <c r="I18" i="8"/>
  <c r="R173" i="5" l="1"/>
  <c r="T173" i="5" s="1"/>
  <c r="U173" i="5"/>
  <c r="U73" i="5"/>
  <c r="R159" i="5"/>
  <c r="T159" i="5" s="1"/>
  <c r="R67" i="5"/>
  <c r="T67" i="5" s="1"/>
  <c r="U67" i="5"/>
  <c r="U82" i="5"/>
  <c r="R82" i="5"/>
  <c r="T82" i="5" s="1"/>
  <c r="U84" i="5"/>
  <c r="U134" i="5"/>
  <c r="R134" i="5"/>
  <c r="T134" i="5" s="1"/>
  <c r="U155" i="5"/>
  <c r="R155" i="5"/>
  <c r="T155" i="5" s="1"/>
  <c r="U194" i="5"/>
  <c r="U145" i="5"/>
  <c r="R145" i="5"/>
  <c r="T145" i="5" s="1"/>
  <c r="U185" i="5"/>
  <c r="R33" i="5"/>
  <c r="T33" i="5" s="1"/>
  <c r="U102" i="5"/>
  <c r="R189" i="5"/>
  <c r="T189" i="5" s="1"/>
  <c r="U189" i="5"/>
  <c r="R43" i="5"/>
  <c r="T43" i="5" s="1"/>
  <c r="U43" i="5"/>
  <c r="R139" i="5"/>
  <c r="T139" i="5" s="1"/>
  <c r="U139" i="5"/>
  <c r="R35" i="5"/>
  <c r="T35" i="5" s="1"/>
  <c r="R37" i="5"/>
  <c r="T37" i="5" s="1"/>
  <c r="U172" i="5"/>
  <c r="R170" i="5"/>
  <c r="T170" i="5" s="1"/>
  <c r="U170" i="5"/>
  <c r="R59" i="5"/>
  <c r="T59" i="5" s="1"/>
  <c r="U59" i="5"/>
  <c r="U198" i="5"/>
  <c r="R198" i="5"/>
  <c r="T198" i="5" s="1"/>
  <c r="R180" i="5"/>
  <c r="T180" i="5" s="1"/>
  <c r="U180" i="5"/>
  <c r="R76" i="5"/>
  <c r="T76" i="5" s="1"/>
  <c r="R106" i="5"/>
  <c r="T106" i="5" s="1"/>
  <c r="U106" i="5"/>
  <c r="U80" i="5"/>
  <c r="R80" i="5"/>
  <c r="T80" i="5" s="1"/>
  <c r="U165" i="5"/>
  <c r="R165" i="5"/>
  <c r="T165" i="5" s="1"/>
  <c r="U98" i="5"/>
  <c r="U46" i="5"/>
  <c r="U27" i="5"/>
  <c r="R27" i="5"/>
  <c r="T27" i="5" s="1"/>
  <c r="U78" i="5"/>
  <c r="R78" i="5"/>
  <c r="T78" i="5" s="1"/>
  <c r="R130" i="5"/>
  <c r="T130" i="5" s="1"/>
  <c r="U130" i="5"/>
  <c r="R143" i="5"/>
  <c r="T143" i="5" s="1"/>
  <c r="U143" i="5"/>
  <c r="U114" i="5"/>
  <c r="R88" i="5"/>
  <c r="T88" i="5" s="1"/>
  <c r="U88" i="5"/>
  <c r="R101" i="5"/>
  <c r="T101" i="5" s="1"/>
  <c r="R133" i="5"/>
  <c r="T133" i="5" s="1"/>
  <c r="U133" i="5"/>
  <c r="R58" i="5"/>
  <c r="T58" i="5" s="1"/>
  <c r="U74" i="5"/>
  <c r="R55" i="5"/>
  <c r="T55" i="5" s="1"/>
  <c r="U23" i="5"/>
  <c r="R23" i="5"/>
  <c r="T23" i="5" s="1"/>
  <c r="R200" i="5"/>
  <c r="T200" i="5" s="1"/>
  <c r="U200" i="5"/>
  <c r="R153" i="5"/>
  <c r="T153" i="5" s="1"/>
  <c r="U153" i="5"/>
  <c r="R111" i="5"/>
  <c r="T111" i="5" s="1"/>
  <c r="U111" i="5"/>
  <c r="O204" i="5"/>
  <c r="R112" i="5"/>
  <c r="T112" i="5" s="1"/>
  <c r="U112" i="5"/>
  <c r="W85" i="6"/>
  <c r="T85" i="6"/>
  <c r="V85" i="6" s="1"/>
  <c r="U171" i="5"/>
  <c r="R171" i="5"/>
  <c r="T171" i="5" s="1"/>
  <c r="R108" i="5"/>
  <c r="T108" i="5" s="1"/>
  <c r="U108" i="5"/>
  <c r="R116" i="5"/>
  <c r="T116" i="5" s="1"/>
  <c r="U116" i="5"/>
  <c r="R149" i="5"/>
  <c r="T149" i="5" s="1"/>
  <c r="U149" i="5"/>
  <c r="U41" i="5"/>
  <c r="R41" i="5"/>
  <c r="T41" i="5" s="1"/>
  <c r="U183" i="5"/>
  <c r="R183" i="5"/>
  <c r="T183" i="5" s="1"/>
  <c r="U158" i="5"/>
  <c r="R158" i="5"/>
  <c r="T158" i="5" s="1"/>
  <c r="R178" i="5"/>
  <c r="T178" i="5" s="1"/>
  <c r="U178" i="5"/>
  <c r="R99" i="5"/>
  <c r="T99" i="5" s="1"/>
  <c r="U99" i="5"/>
  <c r="U137" i="5"/>
  <c r="R137" i="5"/>
  <c r="T137" i="5" s="1"/>
  <c r="R162" i="5"/>
  <c r="T162" i="5" s="1"/>
  <c r="R128" i="5"/>
  <c r="T128" i="5" s="1"/>
  <c r="U128" i="5"/>
  <c r="U179" i="5"/>
  <c r="R179" i="5"/>
  <c r="T179" i="5" s="1"/>
  <c r="U79" i="5"/>
  <c r="R79" i="5"/>
  <c r="T79" i="5" s="1"/>
  <c r="R190" i="5"/>
  <c r="T190" i="5" s="1"/>
  <c r="U190" i="5"/>
  <c r="R166" i="5"/>
  <c r="T166" i="5" s="1"/>
  <c r="U166" i="5"/>
  <c r="U61" i="5"/>
  <c r="R61" i="5"/>
  <c r="T61" i="5" s="1"/>
  <c r="R39" i="5"/>
  <c r="T39" i="5" s="1"/>
  <c r="U39" i="5"/>
  <c r="U163" i="5"/>
  <c r="R163" i="5"/>
  <c r="T163" i="5" s="1"/>
  <c r="R83" i="5"/>
  <c r="T83" i="5" s="1"/>
  <c r="U83" i="5"/>
  <c r="U85" i="5"/>
  <c r="R85" i="5"/>
  <c r="T85" i="5" s="1"/>
  <c r="R52" i="5"/>
  <c r="T52" i="5" s="1"/>
  <c r="U52" i="5"/>
  <c r="U195" i="5"/>
  <c r="R195" i="5"/>
  <c r="T195" i="5" s="1"/>
  <c r="R150" i="5"/>
  <c r="T150" i="5" s="1"/>
  <c r="U150" i="5"/>
  <c r="U28" i="5"/>
  <c r="R28" i="5"/>
  <c r="T28" i="5" s="1"/>
  <c r="R186" i="5"/>
  <c r="T186" i="5" s="1"/>
  <c r="U186" i="5"/>
  <c r="R49" i="5"/>
  <c r="T49" i="5" s="1"/>
  <c r="U49" i="5"/>
  <c r="U56" i="5"/>
  <c r="U34" i="5"/>
  <c r="R100" i="5"/>
  <c r="T100" i="5" s="1"/>
  <c r="U100" i="5"/>
  <c r="R144" i="5"/>
  <c r="T144" i="5" s="1"/>
  <c r="U144" i="5"/>
  <c r="R142" i="5"/>
  <c r="T142" i="5" s="1"/>
  <c r="U142" i="5"/>
  <c r="R181" i="5"/>
  <c r="T181" i="5" s="1"/>
  <c r="U181" i="5"/>
  <c r="U203" i="5"/>
  <c r="R54" i="5"/>
  <c r="T54" i="5" s="1"/>
  <c r="U54" i="5"/>
  <c r="U72" i="5"/>
  <c r="R72" i="5"/>
  <c r="T72" i="5" s="1"/>
  <c r="R105" i="5"/>
  <c r="T105" i="5" s="1"/>
  <c r="U105" i="5"/>
  <c r="R63" i="5"/>
  <c r="T63" i="5" s="1"/>
  <c r="U63" i="5"/>
  <c r="R138" i="5"/>
  <c r="T138" i="5" s="1"/>
  <c r="U138" i="5"/>
  <c r="U188" i="5"/>
  <c r="R188" i="5"/>
  <c r="T188" i="5" s="1"/>
  <c r="R45" i="5"/>
  <c r="T45" i="5" s="1"/>
  <c r="U45" i="5"/>
  <c r="U132" i="5"/>
  <c r="R132" i="5"/>
  <c r="T132" i="5" s="1"/>
  <c r="R168" i="5"/>
  <c r="T168" i="5" s="1"/>
  <c r="U168" i="5"/>
  <c r="R164" i="5"/>
  <c r="T164" i="5" s="1"/>
  <c r="U164" i="5"/>
  <c r="U103" i="5"/>
  <c r="R103" i="5"/>
  <c r="T103" i="5" s="1"/>
  <c r="U86" i="5"/>
  <c r="R86" i="5"/>
  <c r="T86" i="5" s="1"/>
  <c r="U135" i="5"/>
  <c r="R135" i="5"/>
  <c r="T135" i="5" s="1"/>
  <c r="U182" i="5"/>
  <c r="R182" i="5"/>
  <c r="T182" i="5" s="1"/>
  <c r="R127" i="5"/>
  <c r="T127" i="5" s="1"/>
  <c r="U127" i="5"/>
  <c r="U71" i="5"/>
  <c r="R71" i="5"/>
  <c r="T71" i="5" s="1"/>
  <c r="R156" i="5"/>
  <c r="T156" i="5" s="1"/>
  <c r="U156" i="5"/>
  <c r="U107" i="5"/>
  <c r="R107" i="5"/>
  <c r="T107" i="5" s="1"/>
  <c r="O202" i="5"/>
  <c r="O203" i="5"/>
  <c r="R202" i="5"/>
  <c r="T202" i="5" s="1"/>
  <c r="U202" i="5"/>
  <c r="K202" i="5"/>
  <c r="O4" i="8"/>
  <c r="O1" i="8"/>
  <c r="O170" i="5"/>
  <c r="O107" i="5"/>
  <c r="O197" i="5"/>
  <c r="O194" i="5"/>
  <c r="O156" i="5"/>
  <c r="O199" i="5"/>
  <c r="O196" i="5"/>
  <c r="O185" i="5"/>
  <c r="O129" i="5"/>
  <c r="O126" i="5"/>
  <c r="O188" i="5"/>
  <c r="O159" i="5"/>
  <c r="O92" i="5"/>
  <c r="O200" i="5"/>
  <c r="O190" i="5"/>
  <c r="O193" i="5"/>
  <c r="C15" i="5"/>
  <c r="O191" i="5"/>
  <c r="O93" i="5"/>
  <c r="O104" i="5"/>
  <c r="O201" i="5"/>
  <c r="O195" i="5"/>
  <c r="O192" i="5"/>
  <c r="O116" i="5"/>
  <c r="O97" i="5"/>
  <c r="O112" i="5"/>
  <c r="O136" i="5"/>
  <c r="O174" i="5"/>
  <c r="O164" i="5"/>
  <c r="O125" i="5"/>
  <c r="O128" i="5"/>
  <c r="O137" i="5"/>
  <c r="O173" i="5"/>
  <c r="O160" i="5"/>
  <c r="O133" i="5"/>
  <c r="O143" i="5"/>
  <c r="O127" i="5"/>
  <c r="O130" i="5"/>
  <c r="O178" i="5"/>
  <c r="O132" i="5"/>
  <c r="O139" i="5"/>
  <c r="O162" i="5"/>
  <c r="O175" i="5"/>
  <c r="O150" i="5"/>
  <c r="O149" i="5"/>
  <c r="O105" i="5"/>
  <c r="O138" i="5"/>
  <c r="O172" i="5"/>
  <c r="O176" i="5"/>
  <c r="O165" i="5"/>
  <c r="O168" i="5"/>
  <c r="O154" i="5"/>
  <c r="O109" i="5"/>
  <c r="O89" i="5"/>
  <c r="O141" i="5"/>
  <c r="O198" i="5"/>
  <c r="O187" i="5"/>
  <c r="O169" i="5"/>
  <c r="O135" i="5"/>
  <c r="O98" i="5"/>
  <c r="O96" i="5"/>
  <c r="O157" i="5"/>
  <c r="O189" i="5"/>
  <c r="O186" i="5"/>
  <c r="O161" i="5"/>
  <c r="O101" i="5"/>
  <c r="C16" i="5"/>
  <c r="D18" i="5" s="1"/>
  <c r="C16" i="1"/>
  <c r="D18" i="1" s="1"/>
  <c r="P82" i="1"/>
  <c r="P95" i="1"/>
  <c r="P126" i="1"/>
  <c r="P104" i="1"/>
  <c r="P45" i="1"/>
  <c r="P102" i="1"/>
  <c r="P97" i="1"/>
  <c r="P84" i="1"/>
  <c r="P98" i="1"/>
  <c r="P85" i="1"/>
  <c r="P139" i="1"/>
  <c r="P107" i="1"/>
  <c r="P53" i="1"/>
  <c r="P90" i="1"/>
  <c r="P105" i="1"/>
  <c r="P92" i="1"/>
  <c r="P142" i="1"/>
  <c r="P121" i="1"/>
  <c r="P44" i="1"/>
  <c r="P127" i="1"/>
  <c r="P83" i="1"/>
  <c r="P138" i="1"/>
  <c r="P112" i="1"/>
  <c r="P128" i="1"/>
  <c r="P21" i="1"/>
  <c r="P129" i="1"/>
  <c r="P52" i="1"/>
  <c r="P132" i="1"/>
  <c r="P91" i="1"/>
  <c r="P123" i="1"/>
  <c r="P133" i="1"/>
  <c r="P136" i="1"/>
  <c r="P47" i="1"/>
  <c r="P86" i="1"/>
  <c r="P80" i="1"/>
  <c r="P140" i="1"/>
  <c r="P135" i="1"/>
  <c r="P51" i="1"/>
  <c r="P141" i="1"/>
  <c r="P103" i="1"/>
  <c r="P50" i="1"/>
  <c r="P101" i="1"/>
  <c r="P125" i="1"/>
  <c r="P88" i="1"/>
  <c r="P99" i="1"/>
  <c r="P22" i="1"/>
  <c r="P81" i="1"/>
  <c r="P87" i="1"/>
  <c r="P131" i="1"/>
  <c r="P64" i="1"/>
  <c r="P94" i="1"/>
  <c r="P134" i="1"/>
  <c r="P49" i="1"/>
  <c r="P137" i="1"/>
  <c r="P46" i="1"/>
  <c r="P93" i="1"/>
  <c r="P122" i="1"/>
  <c r="P130" i="1"/>
  <c r="P89" i="1"/>
  <c r="C15" i="1"/>
  <c r="P108" i="1"/>
  <c r="P96" i="1"/>
  <c r="P48" i="1"/>
  <c r="P124" i="1"/>
  <c r="P100" i="1"/>
  <c r="U30" i="5"/>
  <c r="I30" i="5"/>
  <c r="U21" i="5"/>
  <c r="R21" i="5"/>
  <c r="T21" i="5" s="1"/>
  <c r="J21" i="5"/>
  <c r="K70" i="5"/>
  <c r="U70" i="5"/>
  <c r="U109" i="5"/>
  <c r="J109" i="5"/>
  <c r="U64" i="5"/>
  <c r="K64" i="5"/>
  <c r="R109" i="5"/>
  <c r="T109" i="5" s="1"/>
  <c r="F18" i="6"/>
  <c r="F19" i="6" s="1"/>
  <c r="C18" i="6"/>
  <c r="T44" i="6"/>
  <c r="V44" i="6" s="1"/>
  <c r="W44" i="6"/>
  <c r="I32" i="5"/>
  <c r="U32" i="5"/>
  <c r="J104" i="5"/>
  <c r="U104" i="5"/>
  <c r="U66" i="5"/>
  <c r="K66" i="5"/>
  <c r="T25" i="1"/>
  <c r="J97" i="5"/>
  <c r="U97" i="5"/>
  <c r="T162" i="1"/>
  <c r="W98" i="6"/>
  <c r="T98" i="6"/>
  <c r="V98" i="6" s="1"/>
  <c r="E14" i="3"/>
  <c r="K69" i="5"/>
  <c r="U69" i="5"/>
  <c r="K90" i="5"/>
  <c r="U90" i="5"/>
  <c r="U119" i="5"/>
  <c r="K119" i="5"/>
  <c r="R117" i="5"/>
  <c r="T117" i="5" s="1"/>
  <c r="T146" i="1"/>
  <c r="W157" i="6"/>
  <c r="T157" i="6"/>
  <c r="V157" i="6" s="1"/>
  <c r="T32" i="6"/>
  <c r="V32" i="6" s="1"/>
  <c r="W32" i="6"/>
  <c r="U31" i="5"/>
  <c r="R31" i="5"/>
  <c r="T31" i="5" s="1"/>
  <c r="R51" i="5"/>
  <c r="T51" i="5" s="1"/>
  <c r="J113" i="5"/>
  <c r="U113" i="5"/>
  <c r="U38" i="5"/>
  <c r="I38" i="5"/>
  <c r="U117" i="5"/>
  <c r="J117" i="5"/>
  <c r="T136" i="1"/>
  <c r="K174" i="5"/>
  <c r="U174" i="5"/>
  <c r="U68" i="5"/>
  <c r="K68" i="5"/>
  <c r="R47" i="5"/>
  <c r="T47" i="5" s="1"/>
  <c r="K51" i="5"/>
  <c r="U51" i="5"/>
  <c r="R68" i="5"/>
  <c r="T68" i="5" s="1"/>
  <c r="C18" i="3"/>
  <c r="F18" i="3"/>
  <c r="F19" i="3" s="1"/>
  <c r="J47" i="5"/>
  <c r="U47" i="5"/>
  <c r="K60" i="5"/>
  <c r="U60" i="5"/>
  <c r="U95" i="5"/>
  <c r="I141" i="5"/>
  <c r="U141" i="5"/>
  <c r="R30" i="5"/>
  <c r="T30" i="5" s="1"/>
  <c r="K91" i="5"/>
  <c r="U91" i="5"/>
  <c r="R60" i="5"/>
  <c r="T60" i="5" s="1"/>
  <c r="R70" i="5"/>
  <c r="T70" i="5" s="1"/>
  <c r="U57" i="5"/>
  <c r="K57" i="5"/>
  <c r="T95" i="1"/>
  <c r="O128" i="1"/>
  <c r="R64" i="5"/>
  <c r="T64" i="5" s="1"/>
  <c r="T102" i="1"/>
  <c r="F18" i="8"/>
  <c r="E18" i="8"/>
  <c r="E14" i="1" l="1"/>
  <c r="E14" i="6"/>
  <c r="T18" i="6" s="1"/>
  <c r="O3" i="8"/>
  <c r="O2" i="8"/>
  <c r="O5" i="8"/>
  <c r="O6" i="8"/>
  <c r="C18" i="1"/>
  <c r="F18" i="1"/>
  <c r="F19" i="1" s="1"/>
  <c r="C18" i="5"/>
  <c r="F18" i="5"/>
  <c r="F19" i="5" s="1"/>
  <c r="E14" i="5"/>
  <c r="O78" i="8" l="1"/>
  <c r="O105" i="8"/>
  <c r="O121" i="8"/>
  <c r="O164" i="8"/>
  <c r="O158" i="8"/>
  <c r="O46" i="8"/>
  <c r="O116" i="8"/>
  <c r="O34" i="8"/>
  <c r="O181" i="8"/>
  <c r="O67" i="8"/>
  <c r="O89" i="8"/>
  <c r="O26" i="8"/>
  <c r="O23" i="8"/>
  <c r="O43" i="8"/>
  <c r="O29" i="8"/>
  <c r="O76" i="8"/>
  <c r="O179" i="8"/>
  <c r="O90" i="8"/>
  <c r="O160" i="8"/>
  <c r="O137" i="8"/>
  <c r="O186" i="8"/>
  <c r="O175" i="8"/>
  <c r="O132" i="8"/>
  <c r="O122" i="8"/>
  <c r="O69" i="8"/>
  <c r="O72" i="8"/>
  <c r="O85" i="8"/>
  <c r="O126" i="8"/>
  <c r="O156" i="8"/>
  <c r="O184" i="8"/>
  <c r="O155" i="8"/>
  <c r="O129" i="8"/>
  <c r="O37" i="8"/>
  <c r="O173" i="8"/>
  <c r="O94" i="8"/>
  <c r="O172" i="8"/>
  <c r="O146" i="8"/>
  <c r="O119" i="8"/>
  <c r="O27" i="8"/>
  <c r="O100" i="8"/>
  <c r="O57" i="8"/>
  <c r="O161" i="8"/>
  <c r="O87" i="8"/>
  <c r="O95" i="8"/>
  <c r="O118" i="8"/>
  <c r="O47" i="8"/>
  <c r="O127" i="8"/>
  <c r="O75" i="8"/>
  <c r="O79" i="8"/>
  <c r="O28" i="8"/>
  <c r="O101" i="8"/>
  <c r="O91" i="8"/>
  <c r="O51" i="8"/>
  <c r="O183" i="8"/>
  <c r="O88" i="8"/>
  <c r="O178" i="8"/>
  <c r="O149" i="8"/>
  <c r="O147" i="8"/>
  <c r="O54" i="8"/>
  <c r="O44" i="8"/>
  <c r="O84" i="8"/>
  <c r="O136" i="8"/>
  <c r="O35" i="8"/>
  <c r="O70" i="8"/>
  <c r="O22" i="8"/>
  <c r="O111" i="8"/>
  <c r="O151" i="8"/>
  <c r="O60" i="8"/>
  <c r="O115" i="8"/>
  <c r="O53" i="8"/>
  <c r="O135" i="8"/>
  <c r="O168" i="8"/>
  <c r="O55" i="8"/>
  <c r="O97" i="8"/>
  <c r="O99" i="8"/>
  <c r="O102" i="8"/>
  <c r="O113" i="8"/>
  <c r="O38" i="8"/>
  <c r="O157" i="8"/>
  <c r="O24" i="8"/>
  <c r="O174" i="8"/>
  <c r="O109" i="8"/>
  <c r="O106" i="8"/>
  <c r="O30" i="8"/>
  <c r="O104" i="8"/>
  <c r="O71" i="8"/>
  <c r="O110" i="8"/>
  <c r="O133" i="8"/>
  <c r="O82" i="8"/>
  <c r="O162" i="8"/>
  <c r="O86" i="8"/>
  <c r="O154" i="8"/>
  <c r="O48" i="8"/>
  <c r="O123" i="8"/>
  <c r="O182" i="8"/>
  <c r="O98" i="8"/>
  <c r="O81" i="8"/>
  <c r="O68" i="8"/>
  <c r="O139" i="8"/>
  <c r="O185" i="8"/>
  <c r="O64" i="8"/>
  <c r="O143" i="8"/>
  <c r="O131" i="8"/>
  <c r="O117" i="8"/>
  <c r="O170" i="8"/>
  <c r="O180" i="8"/>
  <c r="O21" i="8"/>
  <c r="O58" i="8"/>
  <c r="O112" i="8"/>
  <c r="O74" i="8"/>
  <c r="O130" i="8"/>
  <c r="O7" i="8"/>
  <c r="E4" i="8" s="1"/>
  <c r="O148" i="8"/>
  <c r="O120" i="8"/>
  <c r="O134" i="8"/>
  <c r="O166" i="8"/>
  <c r="O31" i="8"/>
  <c r="O165" i="8"/>
  <c r="O144" i="8"/>
  <c r="O40" i="8"/>
  <c r="O163" i="8"/>
  <c r="O56" i="8"/>
  <c r="O187" i="8"/>
  <c r="O159" i="8"/>
  <c r="O49" i="8"/>
  <c r="O32" i="8"/>
  <c r="O61" i="8"/>
  <c r="O59" i="8"/>
  <c r="O176" i="8"/>
  <c r="O73" i="8"/>
  <c r="O80" i="8"/>
  <c r="O128" i="8"/>
  <c r="O66" i="8"/>
  <c r="O141" i="8"/>
  <c r="O96" i="8"/>
  <c r="O33" i="8"/>
  <c r="O39" i="8"/>
  <c r="O42" i="8"/>
  <c r="O50" i="8"/>
  <c r="O125" i="8"/>
  <c r="O62" i="8"/>
  <c r="O108" i="8"/>
  <c r="O41" i="8"/>
  <c r="O77" i="8"/>
  <c r="O124" i="8"/>
  <c r="O25" i="8"/>
  <c r="O63" i="8"/>
  <c r="O140" i="8"/>
  <c r="O103" i="8"/>
  <c r="O138" i="8"/>
  <c r="O52" i="8"/>
  <c r="O92" i="8"/>
  <c r="O36" i="8"/>
  <c r="O114" i="8"/>
  <c r="O153" i="8"/>
  <c r="O65" i="8"/>
  <c r="O167" i="8"/>
  <c r="O45" i="8"/>
  <c r="O142" i="8"/>
  <c r="O107" i="8"/>
  <c r="O169" i="8"/>
  <c r="O145" i="8"/>
  <c r="P187" i="8"/>
  <c r="P157" i="8"/>
  <c r="P170" i="8"/>
  <c r="P138" i="8"/>
  <c r="P106" i="8"/>
  <c r="P186" i="8"/>
  <c r="P160" i="8"/>
  <c r="P128" i="8"/>
  <c r="P96" i="8"/>
  <c r="P103" i="8"/>
  <c r="P48" i="8"/>
  <c r="P131" i="8"/>
  <c r="P62" i="8"/>
  <c r="P107" i="8"/>
  <c r="P61" i="8"/>
  <c r="P89" i="8"/>
  <c r="P91" i="8"/>
  <c r="P24" i="8"/>
  <c r="P59" i="8"/>
  <c r="P67" i="8"/>
  <c r="P81" i="8"/>
  <c r="P183" i="8"/>
  <c r="P153" i="8"/>
  <c r="P166" i="8"/>
  <c r="P134" i="8"/>
  <c r="P102" i="8"/>
  <c r="P184" i="8"/>
  <c r="P156" i="8"/>
  <c r="P124" i="8"/>
  <c r="P92" i="8"/>
  <c r="P87" i="8"/>
  <c r="P44" i="8"/>
  <c r="P127" i="8"/>
  <c r="P58" i="8"/>
  <c r="P83" i="8"/>
  <c r="P45" i="8"/>
  <c r="P77" i="8"/>
  <c r="P71" i="8"/>
  <c r="P121" i="8"/>
  <c r="P51" i="8"/>
  <c r="P39" i="8"/>
  <c r="P27" i="8"/>
  <c r="P185" i="8"/>
  <c r="P149" i="8"/>
  <c r="P162" i="8"/>
  <c r="P130" i="8"/>
  <c r="P98" i="8"/>
  <c r="P180" i="8"/>
  <c r="P152" i="8"/>
  <c r="P120" i="8"/>
  <c r="P88" i="8"/>
  <c r="P72" i="8"/>
  <c r="P40" i="8"/>
  <c r="P111" i="8"/>
  <c r="P54" i="8"/>
  <c r="P65" i="8"/>
  <c r="P28" i="8"/>
  <c r="P73" i="8"/>
  <c r="P55" i="8"/>
  <c r="P113" i="8"/>
  <c r="P30" i="8"/>
  <c r="P123" i="8"/>
  <c r="P75" i="8"/>
  <c r="P181" i="8"/>
  <c r="P145" i="8"/>
  <c r="P158" i="8"/>
  <c r="P126" i="8"/>
  <c r="P94" i="8"/>
  <c r="P178" i="8"/>
  <c r="P148" i="8"/>
  <c r="P116" i="8"/>
  <c r="P84" i="8"/>
  <c r="P68" i="8"/>
  <c r="P36" i="8"/>
  <c r="P95" i="8"/>
  <c r="P50" i="8"/>
  <c r="P174" i="8"/>
  <c r="P182" i="8"/>
  <c r="P57" i="8"/>
  <c r="P105" i="8"/>
  <c r="P49" i="8"/>
  <c r="P97" i="8"/>
  <c r="P101" i="8"/>
  <c r="P25" i="8"/>
  <c r="P173" i="8"/>
  <c r="P141" i="8"/>
  <c r="P154" i="8"/>
  <c r="P122" i="8"/>
  <c r="P90" i="8"/>
  <c r="P175" i="8"/>
  <c r="P144" i="8"/>
  <c r="P112" i="8"/>
  <c r="P80" i="8"/>
  <c r="P64" i="8"/>
  <c r="P155" i="8"/>
  <c r="P79" i="8"/>
  <c r="P46" i="8"/>
  <c r="P167" i="8"/>
  <c r="P177" i="8"/>
  <c r="P41" i="8"/>
  <c r="P93" i="8"/>
  <c r="P23" i="8"/>
  <c r="P63" i="8"/>
  <c r="P47" i="8"/>
  <c r="P35" i="8"/>
  <c r="P169" i="8"/>
  <c r="P137" i="8"/>
  <c r="P150" i="8"/>
  <c r="P118" i="8"/>
  <c r="P86" i="8"/>
  <c r="P172" i="8"/>
  <c r="P140" i="8"/>
  <c r="P108" i="8"/>
  <c r="P76" i="8"/>
  <c r="P60" i="8"/>
  <c r="P115" i="8"/>
  <c r="P74" i="8"/>
  <c r="P42" i="8"/>
  <c r="P143" i="8"/>
  <c r="P159" i="8"/>
  <c r="P22" i="8"/>
  <c r="P69" i="8"/>
  <c r="P43" i="8"/>
  <c r="P34" i="8"/>
  <c r="P31" i="8"/>
  <c r="P33" i="8"/>
  <c r="P165" i="8"/>
  <c r="P133" i="8"/>
  <c r="P146" i="8"/>
  <c r="P114" i="8"/>
  <c r="P82" i="8"/>
  <c r="P168" i="8"/>
  <c r="P136" i="8"/>
  <c r="P104" i="8"/>
  <c r="P147" i="8"/>
  <c r="P56" i="8"/>
  <c r="P179" i="8"/>
  <c r="P70" i="8"/>
  <c r="P38" i="8"/>
  <c r="P109" i="8"/>
  <c r="P135" i="8"/>
  <c r="P176" i="8"/>
  <c r="P53" i="8"/>
  <c r="P21" i="8"/>
  <c r="P32" i="8"/>
  <c r="P29" i="8"/>
  <c r="P151" i="8"/>
  <c r="P161" i="8"/>
  <c r="P129" i="8"/>
  <c r="P142" i="8"/>
  <c r="P110" i="8"/>
  <c r="P78" i="8"/>
  <c r="P164" i="8"/>
  <c r="P132" i="8"/>
  <c r="P100" i="8"/>
  <c r="P119" i="8"/>
  <c r="P52" i="8"/>
  <c r="P163" i="8"/>
  <c r="P66" i="8"/>
  <c r="P171" i="8"/>
  <c r="P99" i="8"/>
  <c r="P117" i="8"/>
  <c r="P125" i="8"/>
  <c r="P37" i="8"/>
  <c r="P85" i="8"/>
  <c r="P26" i="8"/>
  <c r="P139" i="8"/>
  <c r="O83" i="8"/>
  <c r="O152" i="8"/>
  <c r="O177" i="8"/>
  <c r="O93" i="8"/>
  <c r="O150" i="8"/>
  <c r="O171" i="8"/>
  <c r="Q181" i="8"/>
  <c r="Q175" i="8"/>
  <c r="Q117" i="8"/>
  <c r="Q157" i="8"/>
  <c r="Q150" i="8"/>
  <c r="Q93" i="8"/>
  <c r="Q90" i="8"/>
  <c r="Q163" i="8"/>
  <c r="Q112" i="8"/>
  <c r="Q36" i="8"/>
  <c r="Q111" i="8"/>
  <c r="Q48" i="8"/>
  <c r="Q138" i="8"/>
  <c r="Q62" i="8"/>
  <c r="Q67" i="8"/>
  <c r="Q99" i="8"/>
  <c r="Q37" i="8"/>
  <c r="Q26" i="8"/>
  <c r="Q53" i="8"/>
  <c r="Q186" i="8"/>
  <c r="Q41" i="8"/>
  <c r="Q187" i="8"/>
  <c r="Q151" i="8"/>
  <c r="Q94" i="8"/>
  <c r="Q122" i="8"/>
  <c r="Q133" i="8"/>
  <c r="Q147" i="8"/>
  <c r="Q56" i="8"/>
  <c r="Q146" i="8"/>
  <c r="Q75" i="8"/>
  <c r="Q21" i="8"/>
  <c r="Q91" i="8"/>
  <c r="Q30" i="8"/>
  <c r="Q108" i="8"/>
  <c r="Q141" i="8"/>
  <c r="Q44" i="8"/>
  <c r="Q171" i="8"/>
  <c r="Q104" i="8"/>
  <c r="Q45" i="8"/>
  <c r="Q89" i="8"/>
  <c r="Q107" i="8"/>
  <c r="Q65" i="8"/>
  <c r="Q182" i="8"/>
  <c r="Q132" i="8"/>
  <c r="Q172" i="8"/>
  <c r="Q167" i="8"/>
  <c r="Q109" i="8"/>
  <c r="Q121" i="8"/>
  <c r="Q183" i="8"/>
  <c r="Q129" i="8"/>
  <c r="Q52" i="8"/>
  <c r="Q152" i="8"/>
  <c r="Q64" i="8"/>
  <c r="Q155" i="8"/>
  <c r="Q79" i="8"/>
  <c r="Q100" i="8"/>
  <c r="Q25" i="8"/>
  <c r="Q92" i="8"/>
  <c r="Q32" i="8"/>
  <c r="Q161" i="8"/>
  <c r="Q50" i="8"/>
  <c r="Q66" i="8"/>
  <c r="Q173" i="8"/>
  <c r="Q126" i="8"/>
  <c r="Q113" i="8"/>
  <c r="Q86" i="8"/>
  <c r="Q178" i="8"/>
  <c r="Q80" i="8"/>
  <c r="Q114" i="8"/>
  <c r="Q23" i="8"/>
  <c r="Q180" i="8"/>
  <c r="Q31" i="8"/>
  <c r="Q144" i="8"/>
  <c r="Q83" i="8"/>
  <c r="Q88" i="8"/>
  <c r="Q179" i="8"/>
  <c r="Q110" i="8"/>
  <c r="Q106" i="8"/>
  <c r="Q77" i="8"/>
  <c r="Q170" i="8"/>
  <c r="Q68" i="8"/>
  <c r="Q103" i="8"/>
  <c r="Q162" i="8"/>
  <c r="Q158" i="8"/>
  <c r="Q137" i="8"/>
  <c r="Q73" i="8"/>
  <c r="Q22" i="8"/>
  <c r="Q82" i="8"/>
  <c r="Q176" i="8"/>
  <c r="Q101" i="8"/>
  <c r="Q165" i="8"/>
  <c r="Q130" i="8"/>
  <c r="Q160" i="8"/>
  <c r="Q59" i="8"/>
  <c r="Q96" i="8"/>
  <c r="Q145" i="8"/>
  <c r="Q119" i="8"/>
  <c r="Q74" i="8"/>
  <c r="Q54" i="8"/>
  <c r="Q95" i="8"/>
  <c r="Q61" i="8"/>
  <c r="Q174" i="8"/>
  <c r="Q85" i="8"/>
  <c r="Q148" i="8"/>
  <c r="Q124" i="8"/>
  <c r="Q153" i="8"/>
  <c r="Q43" i="8"/>
  <c r="Q84" i="8"/>
  <c r="Q131" i="8"/>
  <c r="Q116" i="8"/>
  <c r="Q46" i="8"/>
  <c r="Q28" i="8"/>
  <c r="Q76" i="8"/>
  <c r="Q27" i="8"/>
  <c r="Q166" i="8"/>
  <c r="Q78" i="8"/>
  <c r="Q135" i="8"/>
  <c r="Q97" i="8"/>
  <c r="Q139" i="8"/>
  <c r="Q33" i="8"/>
  <c r="Q71" i="8"/>
  <c r="Q128" i="8"/>
  <c r="Q81" i="8"/>
  <c r="Q127" i="8"/>
  <c r="Q143" i="8"/>
  <c r="Q57" i="8"/>
  <c r="Q70" i="8"/>
  <c r="Q164" i="8"/>
  <c r="Q159" i="8"/>
  <c r="Q125" i="8"/>
  <c r="Q72" i="8"/>
  <c r="Q136" i="8"/>
  <c r="Q29" i="8"/>
  <c r="Q55" i="8"/>
  <c r="Q105" i="8"/>
  <c r="Q60" i="8"/>
  <c r="Q120" i="8"/>
  <c r="Q58" i="8"/>
  <c r="Q47" i="8"/>
  <c r="Q38" i="8"/>
  <c r="Q185" i="8"/>
  <c r="Q149" i="8"/>
  <c r="Q142" i="8"/>
  <c r="Q118" i="8"/>
  <c r="Q63" i="8"/>
  <c r="Q123" i="8"/>
  <c r="Q156" i="8"/>
  <c r="Q39" i="8"/>
  <c r="Q98" i="8"/>
  <c r="Q51" i="8"/>
  <c r="Q40" i="8"/>
  <c r="Q42" i="8"/>
  <c r="Q154" i="8"/>
  <c r="Q49" i="8"/>
  <c r="Q177" i="8"/>
  <c r="Q134" i="8"/>
  <c r="Q140" i="8"/>
  <c r="Q102" i="8"/>
  <c r="Q184" i="8"/>
  <c r="Q87" i="8"/>
  <c r="Q169" i="8"/>
  <c r="Q34" i="8"/>
  <c r="Q69" i="8"/>
  <c r="Q35" i="8"/>
  <c r="Q168" i="8"/>
  <c r="Q24" i="8"/>
  <c r="Q115" i="8"/>
  <c r="O18" i="8"/>
  <c r="Q18" i="8"/>
  <c r="P18" i="8"/>
  <c r="E6" i="8" l="1"/>
  <c r="E9" i="8" s="1"/>
  <c r="E10" i="8" s="1"/>
  <c r="E5" i="8"/>
  <c r="M138" i="8" s="1"/>
  <c r="M42" i="8" l="1"/>
  <c r="M125" i="8"/>
  <c r="M85" i="8"/>
  <c r="M58" i="8"/>
  <c r="R58" i="8" s="1"/>
  <c r="V5" i="8"/>
  <c r="M56" i="8"/>
  <c r="N56" i="8" s="1"/>
  <c r="M124" i="8"/>
  <c r="N124" i="8" s="1"/>
  <c r="M30" i="8"/>
  <c r="R30" i="8" s="1"/>
  <c r="V18" i="8"/>
  <c r="V11" i="8"/>
  <c r="M65" i="8"/>
  <c r="N65" i="8" s="1"/>
  <c r="M182" i="8"/>
  <c r="N182" i="8" s="1"/>
  <c r="M176" i="8"/>
  <c r="N176" i="8" s="1"/>
  <c r="M157" i="8"/>
  <c r="N157" i="8" s="1"/>
  <c r="M79" i="8"/>
  <c r="R79" i="8" s="1"/>
  <c r="V13" i="8"/>
  <c r="M149" i="8"/>
  <c r="V2" i="8"/>
  <c r="M98" i="8"/>
  <c r="N98" i="8" s="1"/>
  <c r="V30" i="8"/>
  <c r="M116" i="8"/>
  <c r="R116" i="8" s="1"/>
  <c r="M180" i="8"/>
  <c r="R180" i="8" s="1"/>
  <c r="M119" i="8"/>
  <c r="R119" i="8" s="1"/>
  <c r="M147" i="8"/>
  <c r="N147" i="8" s="1"/>
  <c r="V9" i="8"/>
  <c r="M72" i="8"/>
  <c r="M172" i="8"/>
  <c r="V10" i="8"/>
  <c r="M130" i="8"/>
  <c r="R130" i="8" s="1"/>
  <c r="M140" i="8"/>
  <c r="N140" i="8" s="1"/>
  <c r="M105" i="8"/>
  <c r="R105" i="8" s="1"/>
  <c r="M128" i="8"/>
  <c r="M23" i="8"/>
  <c r="R23" i="8" s="1"/>
  <c r="M82" i="8"/>
  <c r="N82" i="8" s="1"/>
  <c r="V12" i="8"/>
  <c r="M129" i="8"/>
  <c r="R129" i="8" s="1"/>
  <c r="M104" i="8"/>
  <c r="N104" i="8" s="1"/>
  <c r="M36" i="8"/>
  <c r="N36" i="8" s="1"/>
  <c r="M62" i="8"/>
  <c r="R62" i="8" s="1"/>
  <c r="M53" i="8"/>
  <c r="R53" i="8" s="1"/>
  <c r="M156" i="8"/>
  <c r="M83" i="8"/>
  <c r="M99" i="8"/>
  <c r="R99" i="8" s="1"/>
  <c r="V25" i="8"/>
  <c r="M81" i="8"/>
  <c r="N81" i="8" s="1"/>
  <c r="M43" i="8"/>
  <c r="R43" i="8" s="1"/>
  <c r="M68" i="8"/>
  <c r="R68" i="8" s="1"/>
  <c r="M137" i="8"/>
  <c r="R137" i="8" s="1"/>
  <c r="M171" i="8"/>
  <c r="M121" i="8"/>
  <c r="V23" i="8"/>
  <c r="V31" i="8"/>
  <c r="M179" i="8"/>
  <c r="N179" i="8" s="1"/>
  <c r="M32" i="8"/>
  <c r="N32" i="8" s="1"/>
  <c r="M109" i="8"/>
  <c r="N109" i="8" s="1"/>
  <c r="M84" i="8"/>
  <c r="R84" i="8" s="1"/>
  <c r="M108" i="8"/>
  <c r="V20" i="8"/>
  <c r="M31" i="8"/>
  <c r="M154" i="8"/>
  <c r="R154" i="8" s="1"/>
  <c r="M158" i="8"/>
  <c r="R158" i="8" s="1"/>
  <c r="M74" i="8"/>
  <c r="R74" i="8" s="1"/>
  <c r="M101" i="8"/>
  <c r="N101" i="8" s="1"/>
  <c r="M73" i="8"/>
  <c r="N73" i="8" s="1"/>
  <c r="M60" i="8"/>
  <c r="M122" i="8"/>
  <c r="M106" i="8"/>
  <c r="M161" i="8"/>
  <c r="N161" i="8" s="1"/>
  <c r="M123" i="8"/>
  <c r="R123" i="8" s="1"/>
  <c r="M132" i="8"/>
  <c r="R132" i="8" s="1"/>
  <c r="M117" i="8"/>
  <c r="R117" i="8" s="1"/>
  <c r="M170" i="8"/>
  <c r="R170" i="8" s="1"/>
  <c r="M35" i="8"/>
  <c r="N35" i="8" s="1"/>
  <c r="V29" i="8"/>
  <c r="M142" i="8"/>
  <c r="N142" i="8" s="1"/>
  <c r="M103" i="8"/>
  <c r="N103" i="8" s="1"/>
  <c r="M150" i="8"/>
  <c r="R150" i="8" s="1"/>
  <c r="M168" i="8"/>
  <c r="N168" i="8" s="1"/>
  <c r="R82" i="8"/>
  <c r="M45" i="8"/>
  <c r="R45" i="8" s="1"/>
  <c r="V15" i="8"/>
  <c r="M139" i="8"/>
  <c r="R139" i="8" s="1"/>
  <c r="M148" i="8"/>
  <c r="N148" i="8" s="1"/>
  <c r="M25" i="8"/>
  <c r="N25" i="8" s="1"/>
  <c r="M76" i="8"/>
  <c r="N76" i="8" s="1"/>
  <c r="M163" i="8"/>
  <c r="M50" i="8"/>
  <c r="M24" i="8"/>
  <c r="N24" i="8" s="1"/>
  <c r="M135" i="8"/>
  <c r="N135" i="8" s="1"/>
  <c r="M166" i="8"/>
  <c r="N166" i="8" s="1"/>
  <c r="M52" i="8"/>
  <c r="N52" i="8" s="1"/>
  <c r="M185" i="8"/>
  <c r="N185" i="8" s="1"/>
  <c r="M114" i="8"/>
  <c r="R114" i="8" s="1"/>
  <c r="M155" i="8"/>
  <c r="N155" i="8" s="1"/>
  <c r="M115" i="8"/>
  <c r="N115" i="8" s="1"/>
  <c r="M178" i="8"/>
  <c r="R178" i="8" s="1"/>
  <c r="M97" i="8"/>
  <c r="N97" i="8" s="1"/>
  <c r="M164" i="8"/>
  <c r="N164" i="8" s="1"/>
  <c r="M66" i="8"/>
  <c r="R66" i="8" s="1"/>
  <c r="V32" i="8"/>
  <c r="M89" i="8"/>
  <c r="N89" i="8" s="1"/>
  <c r="M75" i="8"/>
  <c r="R75" i="8" s="1"/>
  <c r="V3" i="8"/>
  <c r="M90" i="8"/>
  <c r="M29" i="8"/>
  <c r="R29" i="8" s="1"/>
  <c r="M22" i="8"/>
  <c r="R22" i="8" s="1"/>
  <c r="M127" i="8"/>
  <c r="M40" i="8"/>
  <c r="N40" i="8" s="1"/>
  <c r="M27" i="8"/>
  <c r="N27" i="8" s="1"/>
  <c r="M78" i="8"/>
  <c r="R78" i="8" s="1"/>
  <c r="M38" i="8"/>
  <c r="N38" i="8" s="1"/>
  <c r="M160" i="8"/>
  <c r="N160" i="8" s="1"/>
  <c r="M143" i="8"/>
  <c r="N143" i="8" s="1"/>
  <c r="M70" i="8"/>
  <c r="R70" i="8" s="1"/>
  <c r="M54" i="8"/>
  <c r="N54" i="8" s="1"/>
  <c r="V16" i="8"/>
  <c r="N23" i="8"/>
  <c r="M48" i="8"/>
  <c r="R48" i="8" s="1"/>
  <c r="M88" i="8"/>
  <c r="N88" i="8" s="1"/>
  <c r="M175" i="8"/>
  <c r="R175" i="8" s="1"/>
  <c r="M51" i="8"/>
  <c r="N51" i="8" s="1"/>
  <c r="V28" i="8"/>
  <c r="M173" i="8"/>
  <c r="R173" i="8" s="1"/>
  <c r="V6" i="8"/>
  <c r="M59" i="8"/>
  <c r="R59" i="8" s="1"/>
  <c r="M95" i="8"/>
  <c r="M159" i="8"/>
  <c r="R159" i="8" s="1"/>
  <c r="M136" i="8"/>
  <c r="R136" i="8" s="1"/>
  <c r="V22" i="8"/>
  <c r="M107" i="8"/>
  <c r="R107" i="8" s="1"/>
  <c r="M92" i="8"/>
  <c r="N92" i="8" s="1"/>
  <c r="M34" i="8"/>
  <c r="R34" i="8" s="1"/>
  <c r="M94" i="8"/>
  <c r="N94" i="8" s="1"/>
  <c r="M133" i="8"/>
  <c r="N133" i="8" s="1"/>
  <c r="V19" i="8"/>
  <c r="M100" i="8"/>
  <c r="R100" i="8" s="1"/>
  <c r="M91" i="8"/>
  <c r="N91" i="8" s="1"/>
  <c r="M111" i="8"/>
  <c r="R111" i="8" s="1"/>
  <c r="V4" i="8"/>
  <c r="V21" i="8"/>
  <c r="M145" i="8"/>
  <c r="M102" i="8"/>
  <c r="R102" i="8" s="1"/>
  <c r="M141" i="8"/>
  <c r="N141" i="8" s="1"/>
  <c r="M26" i="8"/>
  <c r="N26" i="8" s="1"/>
  <c r="M57" i="8"/>
  <c r="N57" i="8" s="1"/>
  <c r="M46" i="8"/>
  <c r="R46" i="8" s="1"/>
  <c r="M181" i="8"/>
  <c r="N181" i="8" s="1"/>
  <c r="M120" i="8"/>
  <c r="N120" i="8" s="1"/>
  <c r="V8" i="8"/>
  <c r="M169" i="8"/>
  <c r="N169" i="8" s="1"/>
  <c r="M118" i="8"/>
  <c r="N118" i="8" s="1"/>
  <c r="M134" i="8"/>
  <c r="R134" i="8" s="1"/>
  <c r="V27" i="8"/>
  <c r="M39" i="8"/>
  <c r="N39" i="8" s="1"/>
  <c r="M187" i="8"/>
  <c r="M151" i="8"/>
  <c r="N151" i="8" s="1"/>
  <c r="M177" i="8"/>
  <c r="R177" i="8" s="1"/>
  <c r="M153" i="8"/>
  <c r="R153" i="8" s="1"/>
  <c r="V7" i="8"/>
  <c r="M33" i="8"/>
  <c r="N33" i="8" s="1"/>
  <c r="M86" i="8"/>
  <c r="M162" i="8"/>
  <c r="R162" i="8" s="1"/>
  <c r="M113" i="8"/>
  <c r="N113" i="8" s="1"/>
  <c r="V24" i="8"/>
  <c r="M41" i="8"/>
  <c r="R41" i="8" s="1"/>
  <c r="M21" i="8"/>
  <c r="N21" i="8" s="1"/>
  <c r="M174" i="8"/>
  <c r="R174" i="8" s="1"/>
  <c r="M69" i="8"/>
  <c r="M165" i="8"/>
  <c r="M77" i="8"/>
  <c r="M49" i="8"/>
  <c r="M87" i="8"/>
  <c r="M184" i="8"/>
  <c r="R184" i="8" s="1"/>
  <c r="M64" i="8"/>
  <c r="N64" i="8" s="1"/>
  <c r="M47" i="8"/>
  <c r="N47" i="8" s="1"/>
  <c r="M167" i="8"/>
  <c r="R167" i="8" s="1"/>
  <c r="M61" i="8"/>
  <c r="N61" i="8" s="1"/>
  <c r="M152" i="8"/>
  <c r="N152" i="8" s="1"/>
  <c r="M63" i="8"/>
  <c r="R63" i="8" s="1"/>
  <c r="M110" i="8"/>
  <c r="R110" i="8" s="1"/>
  <c r="M126" i="8"/>
  <c r="R126" i="8" s="1"/>
  <c r="M44" i="8"/>
  <c r="R44" i="8" s="1"/>
  <c r="M183" i="8"/>
  <c r="N183" i="8" s="1"/>
  <c r="M93" i="8"/>
  <c r="R93" i="8" s="1"/>
  <c r="M96" i="8"/>
  <c r="N96" i="8" s="1"/>
  <c r="M131" i="8"/>
  <c r="R131" i="8" s="1"/>
  <c r="M28" i="8"/>
  <c r="R28" i="8" s="1"/>
  <c r="M112" i="8"/>
  <c r="R112" i="8" s="1"/>
  <c r="M55" i="8"/>
  <c r="N55" i="8" s="1"/>
  <c r="M144" i="8"/>
  <c r="N144" i="8" s="1"/>
  <c r="M37" i="8"/>
  <c r="R37" i="8" s="1"/>
  <c r="V14" i="8"/>
  <c r="M71" i="8"/>
  <c r="M146" i="8"/>
  <c r="M80" i="8"/>
  <c r="M67" i="8"/>
  <c r="M186" i="8"/>
  <c r="R25" i="8"/>
  <c r="V26" i="8"/>
  <c r="V17" i="8"/>
  <c r="N42" i="8"/>
  <c r="R42" i="8"/>
  <c r="R65" i="8"/>
  <c r="N58" i="8"/>
  <c r="R149" i="8"/>
  <c r="N149" i="8"/>
  <c r="N138" i="8"/>
  <c r="R138" i="8"/>
  <c r="N172" i="8"/>
  <c r="R172" i="8"/>
  <c r="N85" i="8"/>
  <c r="R85" i="8"/>
  <c r="N60" i="8"/>
  <c r="R60" i="8"/>
  <c r="R88" i="8"/>
  <c r="R108" i="8"/>
  <c r="N108" i="8"/>
  <c r="R83" i="8"/>
  <c r="N83" i="8"/>
  <c r="N72" i="8"/>
  <c r="R72" i="8"/>
  <c r="N125" i="8"/>
  <c r="R125" i="8"/>
  <c r="R98" i="8"/>
  <c r="R164" i="8"/>
  <c r="N156" i="8"/>
  <c r="R156" i="8"/>
  <c r="R51" i="8"/>
  <c r="N139" i="8"/>
  <c r="R135" i="8"/>
  <c r="R124" i="8"/>
  <c r="R121" i="8"/>
  <c r="N121" i="8"/>
  <c r="N106" i="8"/>
  <c r="R106" i="8"/>
  <c r="R171" i="8"/>
  <c r="N171" i="8"/>
  <c r="R187" i="8"/>
  <c r="N187" i="8"/>
  <c r="N122" i="8"/>
  <c r="R122" i="8"/>
  <c r="R86" i="8"/>
  <c r="N86" i="8"/>
  <c r="N132" i="8" l="1"/>
  <c r="R39" i="8"/>
  <c r="R181" i="8"/>
  <c r="R61" i="8"/>
  <c r="N48" i="8"/>
  <c r="N30" i="8"/>
  <c r="R109" i="8"/>
  <c r="N70" i="8"/>
  <c r="R166" i="8"/>
  <c r="N74" i="8"/>
  <c r="N111" i="8"/>
  <c r="N78" i="8"/>
  <c r="N162" i="8"/>
  <c r="N105" i="8"/>
  <c r="R157" i="8"/>
  <c r="N184" i="8"/>
  <c r="N62" i="8"/>
  <c r="R141" i="8"/>
  <c r="R115" i="8"/>
  <c r="N117" i="8"/>
  <c r="R38" i="8"/>
  <c r="R35" i="8"/>
  <c r="R97" i="8"/>
  <c r="N126" i="8"/>
  <c r="R56" i="8"/>
  <c r="N29" i="8"/>
  <c r="N119" i="8"/>
  <c r="R118" i="8"/>
  <c r="N68" i="8"/>
  <c r="N41" i="8"/>
  <c r="R133" i="8"/>
  <c r="R120" i="8"/>
  <c r="N34" i="8"/>
  <c r="R160" i="8"/>
  <c r="R103" i="8"/>
  <c r="N59" i="8"/>
  <c r="R94" i="8"/>
  <c r="N116" i="8"/>
  <c r="N53" i="8"/>
  <c r="R113" i="8"/>
  <c r="N158" i="8"/>
  <c r="N134" i="8"/>
  <c r="R182" i="8"/>
  <c r="R81" i="8"/>
  <c r="N129" i="8"/>
  <c r="R27" i="8"/>
  <c r="R176" i="8"/>
  <c r="R76" i="8"/>
  <c r="N159" i="8"/>
  <c r="N175" i="8"/>
  <c r="N79" i="8"/>
  <c r="N63" i="8"/>
  <c r="N28" i="8"/>
  <c r="R26" i="8"/>
  <c r="N178" i="8"/>
  <c r="R73" i="8"/>
  <c r="N177" i="8"/>
  <c r="N45" i="8"/>
  <c r="R101" i="8"/>
  <c r="N137" i="8"/>
  <c r="R169" i="8"/>
  <c r="N100" i="8"/>
  <c r="N136" i="8"/>
  <c r="N84" i="8"/>
  <c r="R96" i="8"/>
  <c r="N99" i="8"/>
  <c r="R155" i="8"/>
  <c r="R183" i="8"/>
  <c r="R47" i="8"/>
  <c r="R140" i="8"/>
  <c r="R104" i="8"/>
  <c r="R92" i="8"/>
  <c r="R24" i="8"/>
  <c r="N173" i="8"/>
  <c r="R147" i="8"/>
  <c r="R36" i="8"/>
  <c r="N114" i="8"/>
  <c r="R54" i="8"/>
  <c r="N43" i="8"/>
  <c r="N37" i="8"/>
  <c r="R179" i="8"/>
  <c r="R32" i="8"/>
  <c r="N154" i="8"/>
  <c r="R31" i="8"/>
  <c r="N31" i="8"/>
  <c r="R89" i="8"/>
  <c r="N130" i="8"/>
  <c r="N180" i="8"/>
  <c r="R40" i="8"/>
  <c r="R55" i="8"/>
  <c r="N93" i="8"/>
  <c r="N167" i="8"/>
  <c r="R168" i="8"/>
  <c r="N102" i="8"/>
  <c r="N174" i="8"/>
  <c r="R161" i="8"/>
  <c r="N46" i="8"/>
  <c r="R33" i="8"/>
  <c r="R151" i="8"/>
  <c r="N107" i="8"/>
  <c r="R185" i="8"/>
  <c r="R57" i="8"/>
  <c r="N153" i="8"/>
  <c r="N150" i="8"/>
  <c r="N75" i="8"/>
  <c r="N128" i="8"/>
  <c r="R128" i="8"/>
  <c r="R144" i="8"/>
  <c r="N110" i="8"/>
  <c r="R148" i="8"/>
  <c r="R52" i="8"/>
  <c r="R91" i="8"/>
  <c r="N112" i="8"/>
  <c r="R95" i="8"/>
  <c r="N95" i="8"/>
  <c r="N90" i="8"/>
  <c r="R90" i="8"/>
  <c r="N66" i="8"/>
  <c r="R143" i="8"/>
  <c r="R142" i="8"/>
  <c r="N170" i="8"/>
  <c r="N123" i="8"/>
  <c r="N145" i="8"/>
  <c r="R145" i="8"/>
  <c r="R50" i="8"/>
  <c r="N50" i="8"/>
  <c r="N22" i="8"/>
  <c r="N163" i="8"/>
  <c r="R163" i="8"/>
  <c r="R127" i="8"/>
  <c r="N127" i="8"/>
  <c r="R80" i="8"/>
  <c r="N80" i="8"/>
  <c r="R49" i="8"/>
  <c r="N49" i="8"/>
  <c r="N77" i="8"/>
  <c r="R77" i="8"/>
  <c r="R146" i="8"/>
  <c r="N146" i="8"/>
  <c r="N44" i="8"/>
  <c r="R152" i="8"/>
  <c r="R64" i="8"/>
  <c r="N131" i="8"/>
  <c r="N71" i="8"/>
  <c r="R71" i="8"/>
  <c r="N165" i="8"/>
  <c r="R165" i="8"/>
  <c r="N69" i="8"/>
  <c r="R69" i="8"/>
  <c r="N186" i="8"/>
  <c r="R186" i="8"/>
  <c r="R21" i="8"/>
  <c r="N67" i="8"/>
  <c r="R67" i="8"/>
  <c r="R87" i="8"/>
  <c r="N87" i="8"/>
  <c r="N18" i="8"/>
  <c r="E7" i="8" l="1"/>
  <c r="F6" i="8" s="1"/>
  <c r="H6" i="8" s="1"/>
  <c r="F9" i="8" s="1"/>
  <c r="F10" i="8" s="1"/>
  <c r="F8" i="8"/>
  <c r="F4" i="8" l="1"/>
  <c r="H4" i="8" s="1"/>
  <c r="F5" i="8"/>
  <c r="H5" i="8" s="1"/>
  <c r="G9" i="8"/>
</calcChain>
</file>

<file path=xl/sharedStrings.xml><?xml version="1.0" encoding="utf-8"?>
<sst xmlns="http://schemas.openxmlformats.org/spreadsheetml/2006/main" count="2809" uniqueCount="785">
  <si>
    <t>VSB-063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</si>
  <si>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</si>
  <si>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</si>
  <si>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</si>
  <si>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</si>
  <si>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t>Quad Fit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</si>
  <si>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</si>
  <si>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</si>
  <si>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</si>
  <si>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</si>
  <si>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</si>
  <si>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</si>
  <si>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</si>
  <si>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</si>
  <si>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</si>
  <si>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</si>
  <si>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</si>
  <si>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</si>
  <si>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</si>
  <si>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</si>
  <si>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</si>
  <si>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</si>
  <si>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</si>
  <si>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</si>
  <si>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</si>
  <si>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</si>
  <si>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</si>
  <si>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</si>
  <si>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</si>
  <si>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</si>
  <si>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</si>
  <si>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</si>
  <si>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</si>
  <si>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</si>
  <si>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</si>
  <si>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</si>
  <si>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</si>
  <si>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</si>
  <si>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</si>
  <si>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</si>
  <si>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</si>
  <si>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</si>
  <si>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</si>
  <si>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Misc</t>
  </si>
  <si>
    <t>Dahm M</t>
  </si>
  <si>
    <t>BBSAG Bull.102</t>
  </si>
  <si>
    <t>B</t>
  </si>
  <si>
    <t>BBSAG Bull.107</t>
  </si>
  <si>
    <t>II</t>
  </si>
  <si>
    <t>BBSAG</t>
  </si>
  <si>
    <t>IBVS 5470</t>
  </si>
  <si>
    <t>IBVS</t>
  </si>
  <si>
    <t>IBVS 3423</t>
  </si>
  <si>
    <t>I</t>
  </si>
  <si>
    <t>IBVS 3538</t>
  </si>
  <si>
    <t>IBVS 3377</t>
  </si>
  <si>
    <t>Visual binary! With BW Dra!!!</t>
  </si>
  <si>
    <t>EW/KW</t>
  </si>
  <si>
    <t>IBVS 5502</t>
  </si>
  <si>
    <t>Hipparcos</t>
  </si>
  <si>
    <t>Dvorak/Krajci</t>
  </si>
  <si>
    <t>F.B.Wood BAAS 2.357</t>
  </si>
  <si>
    <t>Ruzinski &amp; Kaluzny ASS 88.438</t>
  </si>
  <si>
    <t>A.Yamasaki ASS 60.174</t>
  </si>
  <si>
    <t>E.Geyer et al. AAPS 48.85</t>
  </si>
  <si>
    <t>P.Ralincourt GEOS 3</t>
  </si>
  <si>
    <t>M.Penna GEOS 3</t>
  </si>
  <si>
    <t>A.Figer GEOS 3</t>
  </si>
  <si>
    <t>J.Isles VSSC 58.17</t>
  </si>
  <si>
    <t>Rovithis&amp;Rovithis IBVS 1994</t>
  </si>
  <si>
    <t>K.Carbol BRNO 26</t>
  </si>
  <si>
    <t>S.Y.Gorda IBVS 2906</t>
  </si>
  <si>
    <t>M.Hamdy et al. IBVS 2682</t>
  </si>
  <si>
    <t>V.Svoboda BRNO 28</t>
  </si>
  <si>
    <t>M.Berka BRNO 28</t>
  </si>
  <si>
    <t>D.Hanzl BRNO 28</t>
  </si>
  <si>
    <t>P.Hajek BRNO 28</t>
  </si>
  <si>
    <t>P.Lutcha BRNO 28</t>
  </si>
  <si>
    <t>V.Wagner BRNO 28</t>
  </si>
  <si>
    <t>F.Hroch BRNO 30</t>
  </si>
  <si>
    <t>A.Dedoch BRNO 30</t>
  </si>
  <si>
    <t>P.Znojilova BRNO 30</t>
  </si>
  <si>
    <t>A.Dapergolas et al IBVS 3714</t>
  </si>
  <si>
    <t>M.Haltuf BRNO 32</t>
  </si>
  <si>
    <t>Brno</t>
  </si>
  <si>
    <t>IBVS 5296</t>
  </si>
  <si>
    <t>IBVS 5592</t>
  </si>
  <si>
    <t>IBVS 5694</t>
  </si>
  <si>
    <t># of data points:</t>
  </si>
  <si>
    <t>IBVS 5731</t>
  </si>
  <si>
    <t>Nelson</t>
  </si>
  <si>
    <t>IBVS 5875</t>
  </si>
  <si>
    <t>IBVS 5820</t>
  </si>
  <si>
    <t>Start of linear fit (row #)</t>
  </si>
  <si>
    <t>IBVS 5874</t>
  </si>
  <si>
    <t>OEJV 0060</t>
  </si>
  <si>
    <t>vis</t>
  </si>
  <si>
    <t>OEJV 0074</t>
  </si>
  <si>
    <t>CCD+I</t>
  </si>
  <si>
    <t>CCD+R</t>
  </si>
  <si>
    <t>OEJV 0094</t>
  </si>
  <si>
    <t>OEJV 0107</t>
  </si>
  <si>
    <t>BAD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</si>
  <si>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</si>
  <si>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</si>
  <si>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</si>
  <si>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</si>
  <si>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</si>
  <si>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</si>
  <si>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</si>
  <si>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</si>
  <si>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</si>
  <si>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</si>
  <si>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</si>
  <si>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</si>
  <si>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</si>
  <si>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</si>
  <si>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</si>
  <si>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</si>
  <si>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</si>
  <si>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</si>
  <si>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</si>
  <si>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</si>
  <si>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</si>
  <si>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</si>
  <si>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</si>
  <si>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</si>
  <si>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</si>
  <si>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</si>
  <si>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</si>
  <si>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</si>
  <si>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</si>
  <si>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</si>
  <si>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</si>
  <si>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</si>
  <si>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</si>
  <si>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</si>
  <si>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</si>
  <si>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</si>
  <si>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</si>
  <si>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</si>
  <si>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</si>
  <si>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</si>
  <si>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</si>
  <si>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</si>
  <si>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</si>
  <si>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</si>
  <si>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</si>
  <si>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</si>
  <si>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</si>
  <si>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</si>
  <si>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</si>
  <si>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</si>
  <si>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</si>
  <si>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</si>
  <si>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</si>
  <si>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</si>
  <si>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</si>
  <si>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</si>
  <si>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</si>
  <si>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</si>
  <si>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</si>
  <si>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</si>
  <si>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</si>
  <si>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</si>
  <si>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</si>
  <si>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</si>
  <si>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</si>
  <si>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</si>
  <si>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</si>
  <si>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</si>
  <si>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</si>
  <si>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</si>
  <si>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</si>
  <si>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5938</t>
  </si>
  <si>
    <t>IBVS 5929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</si>
  <si>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</si>
  <si>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</si>
  <si>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</si>
  <si>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</si>
  <si>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</si>
  <si>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</si>
  <si>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</si>
  <si>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Linear Ephemeris =</t>
  </si>
  <si>
    <t>Quad. Ephemeris =</t>
  </si>
  <si>
    <t>IBVS 5974</t>
  </si>
  <si>
    <t>OEJV 0137</t>
  </si>
  <si>
    <t>IBVS 6007</t>
  </si>
  <si>
    <t>OEJV 0120</t>
  </si>
  <si>
    <t>BV Dra / GSC 4180-1944 / HIP 74368</t>
  </si>
  <si>
    <t>pe</t>
  </si>
  <si>
    <t>Hardie and Hall 1990</t>
  </si>
  <si>
    <t>Yang et al 2009</t>
  </si>
  <si>
    <t>Yang 2009AJ....137..236</t>
  </si>
  <si>
    <t>Batten and Lu 1986</t>
  </si>
  <si>
    <t>Batten &amp; Lu 1986PASP...98...92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</si>
  <si>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</si>
  <si>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</si>
  <si>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wt</t>
  </si>
  <si>
    <t>JAVSO..40....1</t>
  </si>
  <si>
    <t>2012JAVSO..40..975</t>
  </si>
  <si>
    <t>OEJV 0160</t>
  </si>
  <si>
    <t>IBVS 6048</t>
  </si>
  <si>
    <t>IBVS 6070</t>
  </si>
  <si>
    <t>IBVS 6084</t>
  </si>
  <si>
    <t>OEJV</t>
  </si>
  <si>
    <t>−0.0118</t>
  </si>
  <si>
    <t>−0.0123</t>
  </si>
  <si>
    <t>−0.0001</t>
  </si>
  <si>
    <t>−0.0125</t>
  </si>
  <si>
    <t>−0.0003</t>
  </si>
  <si>
    <t>−0.0116</t>
  </si>
  <si>
    <t>−0.0013</t>
  </si>
  <si>
    <t>−0.0029</t>
  </si>
  <si>
    <t>−0.0030</t>
  </si>
  <si>
    <t>−0.0041</t>
  </si>
  <si>
    <t>−0.0004</t>
  </si>
  <si>
    <t>−0.0011</t>
  </si>
  <si>
    <t>−0.0005</t>
  </si>
  <si>
    <t>−0.0007</t>
  </si>
  <si>
    <t>−0.0008</t>
  </si>
  <si>
    <t>−0.0006</t>
  </si>
  <si>
    <t>−0.0021</t>
  </si>
  <si>
    <t>−0.0014</t>
  </si>
  <si>
    <t>−0.0027</t>
  </si>
  <si>
    <t>−0.0010</t>
  </si>
  <si>
    <t>−0.0009</t>
  </si>
  <si>
    <t>−0.0017</t>
  </si>
  <si>
    <t>−0.0022</t>
  </si>
  <si>
    <t>−0.0035</t>
  </si>
  <si>
    <t>−0.0020</t>
  </si>
  <si>
    <t>−0.0015</t>
  </si>
  <si>
    <t>sp</t>
  </si>
  <si>
    <t>−0.0084</t>
  </si>
  <si>
    <t>−0.0031</t>
  </si>
  <si>
    <t>−0.0043</t>
  </si>
  <si>
    <t>−0.0028</t>
  </si>
  <si>
    <t>−0.0063</t>
  </si>
  <si>
    <t>−0.0016</t>
  </si>
  <si>
    <t>−0.0045</t>
  </si>
  <si>
    <t>−0.0039</t>
  </si>
  <si>
    <t>−0.0054</t>
  </si>
  <si>
    <t>−0.0002</t>
  </si>
  <si>
    <t>−0.0046</t>
  </si>
  <si>
    <t>−0.0053</t>
  </si>
  <si>
    <t>CCD</t>
  </si>
  <si>
    <t>−0.0012</t>
  </si>
  <si>
    <t>−0.0033</t>
  </si>
  <si>
    <t>−0.0019</t>
  </si>
  <si>
    <t>Yang et al. (2009) AJ 137 236</t>
  </si>
  <si>
    <t>−7128.0</t>
  </si>
  <si>
    <t>−1106.0</t>
  </si>
  <si>
    <t>−1103.0</t>
  </si>
  <si>
    <t>−1100.0</t>
  </si>
  <si>
    <t>−11353.0</t>
  </si>
  <si>
    <t>−11350.0</t>
  </si>
  <si>
    <t>−11355.5</t>
  </si>
  <si>
    <t>−11187.5</t>
  </si>
  <si>
    <t xml:space="preserve"> Hardie &amp; Hall 1990</t>
  </si>
  <si>
    <t xml:space="preserve"> Wood 1970</t>
  </si>
  <si>
    <t xml:space="preserve"> Rucinski &amp; Kaluzny 1982</t>
  </si>
  <si>
    <t xml:space="preserve"> Yamasaki 1979</t>
  </si>
  <si>
    <t xml:space="preserve"> Geyer et al. 1982</t>
  </si>
  <si>
    <t xml:space="preserve"> Rovithis &amp; Rovithis-Livaniou 1981</t>
  </si>
  <si>
    <t>Gorda 1986</t>
  </si>
  <si>
    <t>Hamdyetal. 1985</t>
  </si>
  <si>
    <t xml:space="preserve"> Batten &amp; Lu 1986</t>
  </si>
  <si>
    <t xml:space="preserve"> Hanzl 1990</t>
  </si>
  <si>
    <t xml:space="preserve"> Dapergolas et al. 1989</t>
  </si>
  <si>
    <t xml:space="preserve"> Dapergolas et al. 1990</t>
  </si>
  <si>
    <t xml:space="preserve"> Dapergolas et al. 1992</t>
  </si>
  <si>
    <t xml:space="preserve"> Deeg et al. 2003</t>
  </si>
  <si>
    <t xml:space="preserve"> Agerer &amp; H¨ ubscher 2002</t>
  </si>
  <si>
    <t xml:space="preserve"> Kim et al. 2006</t>
  </si>
  <si>
    <t xml:space="preserve"> Dvorak 2004</t>
  </si>
  <si>
    <t xml:space="preserve"> Krajci 2005</t>
  </si>
  <si>
    <t xml:space="preserve"> H¨ ubscher et al. 2006.</t>
  </si>
  <si>
    <t>Yamasaki 1979</t>
  </si>
  <si>
    <t>Geyer et al. 1982</t>
  </si>
  <si>
    <t>Wood 1970</t>
  </si>
  <si>
    <t>Rucinski &amp; Kaluzny 1982</t>
  </si>
  <si>
    <t>Rovithis &amp; Rovithis-Livaniou 1981</t>
  </si>
  <si>
    <t>Hardie &amp; Hall 1990</t>
  </si>
  <si>
    <t>Hanzl 1990</t>
  </si>
  <si>
    <t>Dapergolas et al. 1989</t>
  </si>
  <si>
    <t>Dapergolas et al. 1990</t>
  </si>
  <si>
    <t>Dapergolas et al. 1992</t>
  </si>
  <si>
    <t>Agerer &amp; H¨ ubscher 2002</t>
  </si>
  <si>
    <t>Krajci 2005</t>
  </si>
  <si>
    <t>Kim et al. 2006</t>
  </si>
  <si>
    <t>Dvorak 2004</t>
  </si>
  <si>
    <t>Deeg et al. 2003</t>
  </si>
  <si>
    <t>Batten &amp; Lu 1986</t>
  </si>
  <si>
    <t>pg</t>
  </si>
  <si>
    <t>PE</t>
  </si>
  <si>
    <t>s5</t>
  </si>
  <si>
    <t>s6</t>
  </si>
  <si>
    <t>??</t>
  </si>
  <si>
    <t>Residuals</t>
  </si>
  <si>
    <t>Xiang</t>
  </si>
  <si>
    <t>Yang et al 2009AJ….137..236</t>
  </si>
  <si>
    <t>Hubscher et al 2006</t>
  </si>
  <si>
    <t>in Yang 2009</t>
  </si>
  <si>
    <t>rms dev'n &gt;&gt;&gt;&gt;&gt;</t>
  </si>
  <si>
    <t>days</t>
  </si>
  <si>
    <t>IBVS 6114</t>
  </si>
  <si>
    <t>Minima from the Lichtenknecker Database of the BAV</t>
  </si>
  <si>
    <t>http://www.bav-astro.de/LkDB/index.php?lang=en&amp;sprache_dial=en</t>
  </si>
  <si>
    <t> -0.003 </t>
  </si>
  <si>
    <t>F </t>
  </si>
  <si>
    <t>2440362.7885 </t>
  </si>
  <si>
    <t> 21.05.1969 06:55 </t>
  </si>
  <si>
    <t> -0.0004 </t>
  </si>
  <si>
    <t>E </t>
  </si>
  <si>
    <t>?</t>
  </si>
  <si>
    <t> F.B.Wood </t>
  </si>
  <si>
    <t> BAAS 2.357 </t>
  </si>
  <si>
    <t>2442470.8931 </t>
  </si>
  <si>
    <t> 27.02.1975 09:26 </t>
  </si>
  <si>
    <t> 0.0001 </t>
  </si>
  <si>
    <t> Ruzinski &amp; Kaluzny </t>
  </si>
  <si>
    <t> ASS 88.438 </t>
  </si>
  <si>
    <t>2442471.9432 </t>
  </si>
  <si>
    <t> 28.02.1975 10:38 </t>
  </si>
  <si>
    <t> 0.0000 </t>
  </si>
  <si>
    <t>2442472.9923 </t>
  </si>
  <si>
    <t> 01.03.1975 11:48 </t>
  </si>
  <si>
    <t> -0.0011 </t>
  </si>
  <si>
    <t>2442858.2437 </t>
  </si>
  <si>
    <t> 20.03.1976 17:50 </t>
  </si>
  <si>
    <t> 0.0015 </t>
  </si>
  <si>
    <t> A.Yamasaki </t>
  </si>
  <si>
    <t> ASS 60.174 </t>
  </si>
  <si>
    <t>2442878.3720 </t>
  </si>
  <si>
    <t> 09.04.1976 20:55 </t>
  </si>
  <si>
    <t> 0.0009 </t>
  </si>
  <si>
    <t> E.Geyer et al. </t>
  </si>
  <si>
    <t> AAPS 48.85 </t>
  </si>
  <si>
    <t>2442878.5470 </t>
  </si>
  <si>
    <t> 10.04.1976 01:07 </t>
  </si>
  <si>
    <t>2442912.511 </t>
  </si>
  <si>
    <t> 14.05.1976 00:15 </t>
  </si>
  <si>
    <t> 0.008 </t>
  </si>
  <si>
    <t>V </t>
  </si>
  <si>
    <t> P.Ralincourt </t>
  </si>
  <si>
    <t> GEOS 3 </t>
  </si>
  <si>
    <t>2442921.418 </t>
  </si>
  <si>
    <t> 22.05.1976 22:01 </t>
  </si>
  <si>
    <t> -0.011 </t>
  </si>
  <si>
    <t>2443014.360 </t>
  </si>
  <si>
    <t> 23.08.1976 20:38 </t>
  </si>
  <si>
    <t> -0.012 </t>
  </si>
  <si>
    <t> M.Penna </t>
  </si>
  <si>
    <t>2443215.3104 </t>
  </si>
  <si>
    <t> 12.03.1977 19:26 </t>
  </si>
  <si>
    <t> -0.0003 </t>
  </si>
  <si>
    <t>2443244.1904 </t>
  </si>
  <si>
    <t> 10.04.1977 16:34 </t>
  </si>
  <si>
    <t> -0.0008 </t>
  </si>
  <si>
    <t>2443248.389 </t>
  </si>
  <si>
    <t> 14.04.1977 21:20 </t>
  </si>
  <si>
    <t> A.Figer </t>
  </si>
  <si>
    <t>2443258.368 </t>
  </si>
  <si>
    <t> 24.04.1977 20:49 </t>
  </si>
  <si>
    <t> -0.001 </t>
  </si>
  <si>
    <t>2443277.0972 </t>
  </si>
  <si>
    <t> 13.05.1977 14:19 </t>
  </si>
  <si>
    <t>2443280.0742 </t>
  </si>
  <si>
    <t> 16.05.1977 13:46 </t>
  </si>
  <si>
    <t> 0.0011 </t>
  </si>
  <si>
    <t>2443292.509 </t>
  </si>
  <si>
    <t> 29.05.1977 00:12 </t>
  </si>
  <si>
    <t> 0.009 </t>
  </si>
  <si>
    <t>2443294.439 </t>
  </si>
  <si>
    <t> 30.05.1977 22:32 </t>
  </si>
  <si>
    <t> 0.013 </t>
  </si>
  <si>
    <t>2443296.541 </t>
  </si>
  <si>
    <t> 02.06.1977 00:59 </t>
  </si>
  <si>
    <t> 0.015 </t>
  </si>
  <si>
    <t>2443657.444 </t>
  </si>
  <si>
    <t> 28.05.1978 22:39 </t>
  </si>
  <si>
    <t> J.Isles </t>
  </si>
  <si>
    <t> VSSC 58.17 </t>
  </si>
  <si>
    <t>2444053.5439 </t>
  </si>
  <si>
    <t> 29.06.1979 01:03 </t>
  </si>
  <si>
    <t> -0.0024 </t>
  </si>
  <si>
    <t>2444129.3353 </t>
  </si>
  <si>
    <t> 12.09.1979 20:02 </t>
  </si>
  <si>
    <t> -0.0006 </t>
  </si>
  <si>
    <t>2444140.3611 </t>
  </si>
  <si>
    <t> 23.09.1979 20:39 </t>
  </si>
  <si>
    <t> -0.0019 </t>
  </si>
  <si>
    <t>2444344.4487 </t>
  </si>
  <si>
    <t> 14.04.1980 22:46 </t>
  </si>
  <si>
    <t> -0.0034 </t>
  </si>
  <si>
    <t>2444345.5006 </t>
  </si>
  <si>
    <t> 16.04.1980 00:00 </t>
  </si>
  <si>
    <t> -0.0017 </t>
  </si>
  <si>
    <t>2444473.4512 </t>
  </si>
  <si>
    <t> 21.08.1980 22:49 </t>
  </si>
  <si>
    <t> Rovithis&amp;Rovithis </t>
  </si>
  <si>
    <t>IBVS 1994 </t>
  </si>
  <si>
    <t>2444474.3267 </t>
  </si>
  <si>
    <t> 22.08.1980 19:50 </t>
  </si>
  <si>
    <t>2444475.3781 </t>
  </si>
  <si>
    <t> 23.08.1980 21:04 </t>
  </si>
  <si>
    <t>2444476.4283 </t>
  </si>
  <si>
    <t> 24.08.1980 22:16 </t>
  </si>
  <si>
    <t>2444478.3529 </t>
  </si>
  <si>
    <t> 26.08.1980 20:28 </t>
  </si>
  <si>
    <t>2444480.2772 </t>
  </si>
  <si>
    <t> 28.08.1980 18:39 </t>
  </si>
  <si>
    <t> -0.0009 </t>
  </si>
  <si>
    <t>2444480.4531 </t>
  </si>
  <si>
    <t> 28.08.1980 22:52 </t>
  </si>
  <si>
    <t> -0.0001 </t>
  </si>
  <si>
    <t>2444500.4051 </t>
  </si>
  <si>
    <t> 17.09.1980 21:43 </t>
  </si>
  <si>
    <t>2444506.3578 </t>
  </si>
  <si>
    <t> 23.09.1980 20:35 </t>
  </si>
  <si>
    <t>2444707.453 </t>
  </si>
  <si>
    <t> 12.04.1981 22:52 </t>
  </si>
  <si>
    <t> -0.019 </t>
  </si>
  <si>
    <t> K.Carbol </t>
  </si>
  <si>
    <t> BRNO 26 </t>
  </si>
  <si>
    <t>2444752.4579 </t>
  </si>
  <si>
    <t> 27.05.1981 22:59 </t>
  </si>
  <si>
    <t> 0.0026 </t>
  </si>
  <si>
    <t>2445739.2897 </t>
  </si>
  <si>
    <t> 08.02.1984 18:57 </t>
  </si>
  <si>
    <t> -0.0048 </t>
  </si>
  <si>
    <t> S.Y.Gorda </t>
  </si>
  <si>
    <t>IBVS 2906 </t>
  </si>
  <si>
    <t>2445740.3394 </t>
  </si>
  <si>
    <t> 09.02.1984 20:08 </t>
  </si>
  <si>
    <t> -0.0053 </t>
  </si>
  <si>
    <t>2445740.5131 </t>
  </si>
  <si>
    <t> 10.02.1984 00:18 </t>
  </si>
  <si>
    <t> -0.0066 </t>
  </si>
  <si>
    <t>2445753.2920 </t>
  </si>
  <si>
    <t> 22.02.1984 19:00 </t>
  </si>
  <si>
    <t> -0.0051 </t>
  </si>
  <si>
    <t>2445761.5191 </t>
  </si>
  <si>
    <t> 02.03.1984 00:27 </t>
  </si>
  <si>
    <t> -0.0046 </t>
  </si>
  <si>
    <t>2445762.2192 </t>
  </si>
  <si>
    <t> 02.03.1984 17:15 </t>
  </si>
  <si>
    <t> -0.0047 </t>
  </si>
  <si>
    <t>2445762.3937 </t>
  </si>
  <si>
    <t> 02.03.1984 21:26 </t>
  </si>
  <si>
    <t> -0.0052 </t>
  </si>
  <si>
    <t>2445763.2731 </t>
  </si>
  <si>
    <t> 03.03.1984 18:33 </t>
  </si>
  <si>
    <t> -0.0010 </t>
  </si>
  <si>
    <t>2445802.3026 </t>
  </si>
  <si>
    <t> 11.04.1984 19:15 </t>
  </si>
  <si>
    <t> -0.0039 </t>
  </si>
  <si>
    <t>2445813.3291 </t>
  </si>
  <si>
    <t> 22.04.1984 19:53 </t>
  </si>
  <si>
    <t>2445814.3792 </t>
  </si>
  <si>
    <t> 23.04.1984 21:06 </t>
  </si>
  <si>
    <t>2445857.2622 </t>
  </si>
  <si>
    <t> 05.06.1984 18:17 </t>
  </si>
  <si>
    <t> -0.0049 </t>
  </si>
  <si>
    <t> M.Hamdy et al. </t>
  </si>
  <si>
    <t>IBVS 2682 </t>
  </si>
  <si>
    <t>2445860.2392 </t>
  </si>
  <si>
    <t> 08.06.1984 17:44 </t>
  </si>
  <si>
    <t>2446649.440 </t>
  </si>
  <si>
    <t> 06.08.1986 22:33 </t>
  </si>
  <si>
    <t> -0.029 </t>
  </si>
  <si>
    <t> V.Svoboda </t>
  </si>
  <si>
    <t> BRNO 28 </t>
  </si>
  <si>
    <t>2446649.445 </t>
  </si>
  <si>
    <t> 06.08.1986 22:40 </t>
  </si>
  <si>
    <t> -0.024 </t>
  </si>
  <si>
    <t> M.Berka </t>
  </si>
  <si>
    <t>2446649.449 </t>
  </si>
  <si>
    <t> 06.08.1986 22:46 </t>
  </si>
  <si>
    <t> -0.020 </t>
  </si>
  <si>
    <t> D.Hanzl </t>
  </si>
  <si>
    <t>2446649.451 </t>
  </si>
  <si>
    <t> 06.08.1986 22:49 </t>
  </si>
  <si>
    <t> -0.018 </t>
  </si>
  <si>
    <t> P.Hajek </t>
  </si>
  <si>
    <t>2446649.454 </t>
  </si>
  <si>
    <t> 06.08.1986 22:53 </t>
  </si>
  <si>
    <t> -0.015 </t>
  </si>
  <si>
    <t> P.Lutcha </t>
  </si>
  <si>
    <t>2446650.492 </t>
  </si>
  <si>
    <t> 07.08.1986 23:48 </t>
  </si>
  <si>
    <t> -0.027 </t>
  </si>
  <si>
    <t> V.Wagner </t>
  </si>
  <si>
    <t>2446650.501 </t>
  </si>
  <si>
    <t> 08.08.1986 00:01 </t>
  </si>
  <si>
    <t>2446650.502 </t>
  </si>
  <si>
    <t> 08.08.1986 00:02 </t>
  </si>
  <si>
    <t> -0.017 </t>
  </si>
  <si>
    <t>2446650.503 </t>
  </si>
  <si>
    <t> 08.08.1986 00:04 </t>
  </si>
  <si>
    <t> -0.016 </t>
  </si>
  <si>
    <t>2447240.365 </t>
  </si>
  <si>
    <t> 19.03.1988 20:45 </t>
  </si>
  <si>
    <t> F.Hroch </t>
  </si>
  <si>
    <t> BRNO 30 </t>
  </si>
  <si>
    <t>2447349.425 </t>
  </si>
  <si>
    <t> 06.07.1988 22:12 </t>
  </si>
  <si>
    <t> A.Dedoch </t>
  </si>
  <si>
    <t>2447349.436 </t>
  </si>
  <si>
    <t> 06.07.1988 22:27 </t>
  </si>
  <si>
    <t> P.Znojilova </t>
  </si>
  <si>
    <t>2447398.4247 </t>
  </si>
  <si>
    <t> 24.08.1988 22:11 </t>
  </si>
  <si>
    <t> -0.0128 </t>
  </si>
  <si>
    <t>IBVS 3423 </t>
  </si>
  <si>
    <t>2447668.5066 </t>
  </si>
  <si>
    <t> 22.05.1989 00:09 </t>
  </si>
  <si>
    <t> -0.0077 </t>
  </si>
  <si>
    <t> A.Dapergolas et al </t>
  </si>
  <si>
    <t>IBVS 3377 </t>
  </si>
  <si>
    <t>2447672.3561 </t>
  </si>
  <si>
    <t> 25.05.1989 20:32 </t>
  </si>
  <si>
    <t> -0.0089 </t>
  </si>
  <si>
    <t>2447672.5326 </t>
  </si>
  <si>
    <t> 26.05.1989 00:46 </t>
  </si>
  <si>
    <t> -0.0074 </t>
  </si>
  <si>
    <t>2447676.3799 </t>
  </si>
  <si>
    <t> 29.05.1989 21:07 </t>
  </si>
  <si>
    <t> -0.0109 </t>
  </si>
  <si>
    <t>2448028.3744 </t>
  </si>
  <si>
    <t> 16.05.1990 20:59 </t>
  </si>
  <si>
    <t> -0.0088 </t>
  </si>
  <si>
    <t>IBVS 3538 </t>
  </si>
  <si>
    <t>2448028.5490 </t>
  </si>
  <si>
    <t> 17.05.1990 01:10 </t>
  </si>
  <si>
    <t> -0.0093 </t>
  </si>
  <si>
    <t>2448030.4754 </t>
  </si>
  <si>
    <t> 18.05.1990 23:24 </t>
  </si>
  <si>
    <t> -0.0082 </t>
  </si>
  <si>
    <t>2448035.3758 </t>
  </si>
  <si>
    <t> 23.05.1990 21:01 </t>
  </si>
  <si>
    <t>2448396.4684 </t>
  </si>
  <si>
    <t> 19.05.1991 23:14 </t>
  </si>
  <si>
    <t> -0.0104 </t>
  </si>
  <si>
    <t>IBVS 3714 </t>
  </si>
  <si>
    <t>2448397.3439 </t>
  </si>
  <si>
    <t> 20.05.1991 20:15 </t>
  </si>
  <si>
    <t> -0.0101 </t>
  </si>
  <si>
    <t>2448397.3447 </t>
  </si>
  <si>
    <t> 20.05.1991 20:16 </t>
  </si>
  <si>
    <t>2448397.5187 </t>
  </si>
  <si>
    <t> 21.05.1991 00:26 </t>
  </si>
  <si>
    <t> -0.0103 </t>
  </si>
  <si>
    <t>2448398.3948 </t>
  </si>
  <si>
    <t> 21.05.1991 21:28 </t>
  </si>
  <si>
    <t> -0.0094 </t>
  </si>
  <si>
    <t>2448398.3953 </t>
  </si>
  <si>
    <t> 21.05.1991 21:29 </t>
  </si>
  <si>
    <t>2448801.501 </t>
  </si>
  <si>
    <t> 28.06.1992 00:01 </t>
  </si>
  <si>
    <t> -0.005 </t>
  </si>
  <si>
    <t> M.Dahm </t>
  </si>
  <si>
    <t> BBS 102 </t>
  </si>
  <si>
    <t>2449480.442 </t>
  </si>
  <si>
    <t> 07.05.1994 22:36 </t>
  </si>
  <si>
    <t> BBS 107 </t>
  </si>
  <si>
    <t>2450590.685 </t>
  </si>
  <si>
    <t> 22.05.1997 04:26 </t>
  </si>
  <si>
    <t> -0.014 </t>
  </si>
  <si>
    <t>C </t>
  </si>
  <si>
    <t> S.Cook </t>
  </si>
  <si>
    <t> JAAVSO 40;975 </t>
  </si>
  <si>
    <t>2451056.629 </t>
  </si>
  <si>
    <t> 31.08.1998 03:05 </t>
  </si>
  <si>
    <t> -0.010 </t>
  </si>
  <si>
    <t>2451600.6448 </t>
  </si>
  <si>
    <t> 26.02.2000 03:28 </t>
  </si>
  <si>
    <t> 0.0018 </t>
  </si>
  <si>
    <t> M.Haltuf </t>
  </si>
  <si>
    <t> BRNO 32 </t>
  </si>
  <si>
    <t>2451636.3423 </t>
  </si>
  <si>
    <t> 01.04.2000 20:12 </t>
  </si>
  <si>
    <t> -0.0075 </t>
  </si>
  <si>
    <t>o</t>
  </si>
  <si>
    <t> D.Husar </t>
  </si>
  <si>
    <t>BAVM 152 </t>
  </si>
  <si>
    <t>2452119.441 </t>
  </si>
  <si>
    <t> 28.07.2001 22:35 </t>
  </si>
  <si>
    <t> D.Motl </t>
  </si>
  <si>
    <t>OEJV 0074 </t>
  </si>
  <si>
    <t>2452717.0030 </t>
  </si>
  <si>
    <t> 18.03.2003 12:04 </t>
  </si>
  <si>
    <t> C.-H.Kim et al. </t>
  </si>
  <si>
    <t>IBVS 5694 </t>
  </si>
  <si>
    <t>2452717.1784 </t>
  </si>
  <si>
    <t> 18.03.2003 16:16 </t>
  </si>
  <si>
    <t> -0.0036 </t>
  </si>
  <si>
    <t>2452729.7820 </t>
  </si>
  <si>
    <t> 31.03.2003 06:46 </t>
  </si>
  <si>
    <t> S.Dvorak </t>
  </si>
  <si>
    <t>IBVS 5502 </t>
  </si>
  <si>
    <t>2453092.4514 </t>
  </si>
  <si>
    <t> 27.03.2004 22:50 </t>
  </si>
  <si>
    <t> -0.0025 </t>
  </si>
  <si>
    <t> T.Krajci </t>
  </si>
  <si>
    <t>IBVS 5592 </t>
  </si>
  <si>
    <t>2453099.4507 </t>
  </si>
  <si>
    <t> 03.04.2004 22:49 </t>
  </si>
  <si>
    <t> -0.0045 </t>
  </si>
  <si>
    <t>2453172.0897 </t>
  </si>
  <si>
    <t> 15.06.2004 14:09 </t>
  </si>
  <si>
    <t> Nakajima </t>
  </si>
  <si>
    <t>VSB 43 </t>
  </si>
  <si>
    <t>2453228.442 </t>
  </si>
  <si>
    <t> 10.08.2004 22:36 </t>
  </si>
  <si>
    <t> -0.013 </t>
  </si>
  <si>
    <t>2453228.453 </t>
  </si>
  <si>
    <t> 10.08.2004 22:52 </t>
  </si>
  <si>
    <t> -0.002 </t>
  </si>
  <si>
    <t> M.Zdvorák </t>
  </si>
  <si>
    <t>2453425.1898 </t>
  </si>
  <si>
    <t> 23.02.2005 16:33 </t>
  </si>
  <si>
    <t> -0.0029 </t>
  </si>
  <si>
    <t>VSB 44 </t>
  </si>
  <si>
    <t>2453634.3578 </t>
  </si>
  <si>
    <t> 20.09.2005 20:35 </t>
  </si>
  <si>
    <t> U.Schmidt </t>
  </si>
  <si>
    <t>BAVM 178 </t>
  </si>
  <si>
    <t>2453634.5220 </t>
  </si>
  <si>
    <t> 21.09.2005 00:31 </t>
  </si>
  <si>
    <t> -0.0108 </t>
  </si>
  <si>
    <t>2453750.40020 </t>
  </si>
  <si>
    <t> 14.01.2006 21:36 </t>
  </si>
  <si>
    <t> -0.00482 </t>
  </si>
  <si>
    <t> L.Brát </t>
  </si>
  <si>
    <t>2454220.7367 </t>
  </si>
  <si>
    <t> 30.04.2007 05:40 </t>
  </si>
  <si>
    <t> 0.0165 </t>
  </si>
  <si>
    <t> R.Nelson </t>
  </si>
  <si>
    <t>IBVS 5820 </t>
  </si>
  <si>
    <t>2454390.317 </t>
  </si>
  <si>
    <t> 16.10.2007 19:36 </t>
  </si>
  <si>
    <t> P.Stein </t>
  </si>
  <si>
    <t>BAVM 204 </t>
  </si>
  <si>
    <t>2454558.3561 </t>
  </si>
  <si>
    <t> 01.04.2008 20:32 </t>
  </si>
  <si>
    <t> -0.0038 </t>
  </si>
  <si>
    <t> J.Kohoutek </t>
  </si>
  <si>
    <t>OEJV 0094 </t>
  </si>
  <si>
    <t>2454597.3891 </t>
  </si>
  <si>
    <t> 10.05.2008 21:20 </t>
  </si>
  <si>
    <t> -0.0033 </t>
  </si>
  <si>
    <t>-I</t>
  </si>
  <si>
    <t> F.Agerer </t>
  </si>
  <si>
    <t>BAVM 201 </t>
  </si>
  <si>
    <t>2454597.5663 </t>
  </si>
  <si>
    <t> 11.05.2008 01:35 </t>
  </si>
  <si>
    <t>28918</t>
  </si>
  <si>
    <t>2454898.7971 </t>
  </si>
  <si>
    <t> 08.03.2009 07:07 </t>
  </si>
  <si>
    <t>29778.5</t>
  </si>
  <si>
    <t> -0.0030 </t>
  </si>
  <si>
    <t>IBVS 5938 </t>
  </si>
  <si>
    <t>2454925.4013 </t>
  </si>
  <si>
    <t> 03.04.2009 21:37 </t>
  </si>
  <si>
    <t>29854.5</t>
  </si>
  <si>
    <t> H.Kucáková </t>
  </si>
  <si>
    <t>OEJV 0107 </t>
  </si>
  <si>
    <t>2454925.4016 </t>
  </si>
  <si>
    <t> 03.04.2009 21:38 </t>
  </si>
  <si>
    <t>2454943.7793 </t>
  </si>
  <si>
    <t> 22.04.2009 06:42 </t>
  </si>
  <si>
    <t>29907</t>
  </si>
  <si>
    <t>IBVS 5929 </t>
  </si>
  <si>
    <t>2455238.8856 </t>
  </si>
  <si>
    <t> 11.02.2010 09:15 </t>
  </si>
  <si>
    <t>30750</t>
  </si>
  <si>
    <t>IBVS 5974 </t>
  </si>
  <si>
    <t>2455304.5239 </t>
  </si>
  <si>
    <t> 18.04.2010 00:34 </t>
  </si>
  <si>
    <t>30937.5</t>
  </si>
  <si>
    <t> -0.0040 </t>
  </si>
  <si>
    <t> J.Polák </t>
  </si>
  <si>
    <t>OEJV 0137 </t>
  </si>
  <si>
    <t>2455323.43098 </t>
  </si>
  <si>
    <t> 06.05.2010 22:20 </t>
  </si>
  <si>
    <t>30991.5</t>
  </si>
  <si>
    <t> -0.00055 </t>
  </si>
  <si>
    <t> R.Uhlar </t>
  </si>
  <si>
    <t>IBVS 6007 </t>
  </si>
  <si>
    <t>2455329.55416 </t>
  </si>
  <si>
    <t> 13.05.2010 01:17 </t>
  </si>
  <si>
    <t>31009</t>
  </si>
  <si>
    <t> -0.00354 </t>
  </si>
  <si>
    <t>2455481.3093 </t>
  </si>
  <si>
    <t> 11.10.2010 19:25 </t>
  </si>
  <si>
    <t>31442.5</t>
  </si>
  <si>
    <t> K.Kasai </t>
  </si>
  <si>
    <t>VSB 51 </t>
  </si>
  <si>
    <t>2455491.2848 </t>
  </si>
  <si>
    <t> 21.10.2010 18:50 </t>
  </si>
  <si>
    <t>31471</t>
  </si>
  <si>
    <t>2455619.4096 </t>
  </si>
  <si>
    <t> 26.02.2011 21:49 </t>
  </si>
  <si>
    <t>31837</t>
  </si>
  <si>
    <t> -0.0037 </t>
  </si>
  <si>
    <t>2455664.39737 </t>
  </si>
  <si>
    <t> 12.04.2011 21:32 </t>
  </si>
  <si>
    <t>31965.5</t>
  </si>
  <si>
    <t> 0.00048 </t>
  </si>
  <si>
    <t>2455960.55207 </t>
  </si>
  <si>
    <t> 03.02.2012 01:14 </t>
  </si>
  <si>
    <t>32811.5</t>
  </si>
  <si>
    <t> -0.00158 </t>
  </si>
  <si>
    <t> K.Ho?kova </t>
  </si>
  <si>
    <t>OEJV 0160 </t>
  </si>
  <si>
    <t>2455960.55217 </t>
  </si>
  <si>
    <t> 03.02.2012 01:15 </t>
  </si>
  <si>
    <t> -0.00148 </t>
  </si>
  <si>
    <t>2455960.55227 </t>
  </si>
  <si>
    <t> -0.00138 </t>
  </si>
  <si>
    <t>2455960.55247 </t>
  </si>
  <si>
    <t> -0.00118 </t>
  </si>
  <si>
    <t>2455960.72617 </t>
  </si>
  <si>
    <t> 03.02.2012 05:25 </t>
  </si>
  <si>
    <t>32812</t>
  </si>
  <si>
    <t> -0.00252 </t>
  </si>
  <si>
    <t>2455960.72677 </t>
  </si>
  <si>
    <t> 03.02.2012 05:26 </t>
  </si>
  <si>
    <t> -0.00192 </t>
  </si>
  <si>
    <t>2455992.58077 </t>
  </si>
  <si>
    <t> 06.03.2012 01:56 </t>
  </si>
  <si>
    <t>32903</t>
  </si>
  <si>
    <t> -0.00402 </t>
  </si>
  <si>
    <t>IBVS 6114 </t>
  </si>
  <si>
    <t>2456001.3312 </t>
  </si>
  <si>
    <t> 14.03.2012 19:56 </t>
  </si>
  <si>
    <t>32928</t>
  </si>
  <si>
    <t>BAVM 228 </t>
  </si>
  <si>
    <t>2456001.5108 </t>
  </si>
  <si>
    <t> 15.03.2012 00:15 </t>
  </si>
  <si>
    <t>32928.5</t>
  </si>
  <si>
    <t> -0.0007 </t>
  </si>
  <si>
    <t>2456007.4620 </t>
  </si>
  <si>
    <t> 20.03.2012 23:05 </t>
  </si>
  <si>
    <t>32945.5</t>
  </si>
  <si>
    <t>2456007.6363 </t>
  </si>
  <si>
    <t> 21.03.2012 03:16 </t>
  </si>
  <si>
    <t> -0.0014 </t>
  </si>
  <si>
    <t>2456156.434 </t>
  </si>
  <si>
    <t> 16.08.2012 22:24 </t>
  </si>
  <si>
    <t> 0.018 </t>
  </si>
  <si>
    <t> K.Rätz </t>
  </si>
  <si>
    <t>BAVM 233 </t>
  </si>
  <si>
    <t>2456187.4049 </t>
  </si>
  <si>
    <t> 16.09.2012 21:43 </t>
  </si>
  <si>
    <t> 0.0078 </t>
  </si>
  <si>
    <t>BAVM 231 </t>
  </si>
  <si>
    <t>2456390.43932 </t>
  </si>
  <si>
    <t> 07.04.2013 22:32 </t>
  </si>
  <si>
    <t> 0.00327 </t>
  </si>
  <si>
    <t>2456390.61095 </t>
  </si>
  <si>
    <t> 08.04.2013 02:39 </t>
  </si>
  <si>
    <t> -0.00013 </t>
  </si>
  <si>
    <t>2456408.4591 </t>
  </si>
  <si>
    <t> 25.04.2013 23:01 </t>
  </si>
  <si>
    <t> -0.0054 </t>
  </si>
  <si>
    <t>BAVM 232 </t>
  </si>
  <si>
    <t>2456650.71207 </t>
  </si>
  <si>
    <t> 24.12.2013 05:05 </t>
  </si>
  <si>
    <t> 0.00113 </t>
  </si>
  <si>
    <t>2456656.65299 </t>
  </si>
  <si>
    <t> 30.12.2013 03:40 </t>
  </si>
  <si>
    <t> -0.00909 </t>
  </si>
  <si>
    <t>2456754.33927 </t>
  </si>
  <si>
    <t> 06.04.2014 20:08 </t>
  </si>
  <si>
    <t> 0.00847 </t>
  </si>
  <si>
    <t>2456754.50548 </t>
  </si>
  <si>
    <t> 07.04.2014 00:07 </t>
  </si>
  <si>
    <t> -0.00035 </t>
  </si>
  <si>
    <t>IBVS 6195</t>
  </si>
  <si>
    <t>RHN 2020</t>
  </si>
  <si>
    <t>JBAV, 55</t>
  </si>
  <si>
    <t>JBAV, 63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</si>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</sst>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"/>
    <numFmt numFmtId="166" formatCode="0.E+00"/>
    <numFmt numFmtId="167" formatCode="0.0%"/>
    <numFmt numFmtId="168" formatCode="0.00000"/>
  </numFmts>
  <fonts count="4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i/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5"/>
      </patternFill>
    </fill>
    <fill>
      <patternFill patternType="solid">
        <fgColor indexed="26"/>
        <bgColor indexed="8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8">
    <xf numFmtId="0" fontId="0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13" fillId="0" borderId="0"/>
    <xf numFmtId="0" fontId="13" fillId="23" borderId="5" applyNumberFormat="0" applyFont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5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0" xfId="0" applyNumberFormat="1" applyAlignment="1"/>
    <xf numFmtId="2" fontId="0" fillId="0" borderId="0" xfId="0" applyNumberFormat="1" applyAlignment="1"/>
    <xf numFmtId="165" fontId="0" fillId="0" borderId="0" xfId="0" applyNumberFormat="1" applyAlignment="1"/>
    <xf numFmtId="0" fontId="7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/>
    </xf>
    <xf numFmtId="2" fontId="13" fillId="0" borderId="0" xfId="0" applyNumberFormat="1" applyFont="1" applyAlignment="1"/>
    <xf numFmtId="165" fontId="13" fillId="0" borderId="0" xfId="0" applyNumberFormat="1" applyFont="1" applyAlignment="1"/>
    <xf numFmtId="1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165" fontId="10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13" fillId="0" borderId="0" xfId="0" applyFont="1">
      <alignment vertical="top"/>
    </xf>
    <xf numFmtId="0" fontId="14" fillId="0" borderId="0" xfId="0" applyFont="1" applyAlignment="1">
      <alignment horizontal="left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>
      <alignment vertical="top"/>
    </xf>
    <xf numFmtId="0" fontId="0" fillId="0" borderId="0" xfId="0">
      <alignment vertical="top"/>
    </xf>
    <xf numFmtId="0" fontId="6" fillId="0" borderId="0" xfId="0" applyFont="1">
      <alignment vertical="top"/>
    </xf>
    <xf numFmtId="0" fontId="17" fillId="0" borderId="0" xfId="0" applyFont="1">
      <alignment vertical="top"/>
    </xf>
    <xf numFmtId="0" fontId="6" fillId="0" borderId="18" xfId="0" applyFont="1" applyBorder="1">
      <alignment vertical="top"/>
    </xf>
    <xf numFmtId="0" fontId="7" fillId="0" borderId="19" xfId="0" applyFont="1" applyBorder="1">
      <alignment vertical="top"/>
    </xf>
    <xf numFmtId="0" fontId="9" fillId="0" borderId="11" xfId="0" applyFont="1" applyBorder="1">
      <alignment vertical="top"/>
    </xf>
    <xf numFmtId="166" fontId="9" fillId="0" borderId="11" xfId="0" applyNumberFormat="1" applyFont="1" applyBorder="1" applyAlignment="1">
      <alignment horizontal="center"/>
    </xf>
    <xf numFmtId="167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20" xfId="0" applyFont="1" applyBorder="1">
      <alignment vertical="top"/>
    </xf>
    <xf numFmtId="0" fontId="7" fillId="0" borderId="21" xfId="0" applyFont="1" applyBorder="1">
      <alignment vertical="top"/>
    </xf>
    <xf numFmtId="0" fontId="9" fillId="0" borderId="12" xfId="0" applyFont="1" applyBorder="1">
      <alignment vertical="top"/>
    </xf>
    <xf numFmtId="166" fontId="9" fillId="0" borderId="12" xfId="0" applyNumberFormat="1" applyFont="1" applyBorder="1" applyAlignment="1">
      <alignment horizontal="center"/>
    </xf>
    <xf numFmtId="0" fontId="6" fillId="0" borderId="22" xfId="0" applyFont="1" applyBorder="1">
      <alignment vertical="top"/>
    </xf>
    <xf numFmtId="0" fontId="7" fillId="0" borderId="23" xfId="0" applyFont="1" applyBorder="1">
      <alignment vertical="top"/>
    </xf>
    <xf numFmtId="0" fontId="9" fillId="0" borderId="13" xfId="0" applyFont="1" applyBorder="1">
      <alignment vertical="top"/>
    </xf>
    <xf numFmtId="166" fontId="9" fillId="0" borderId="13" xfId="0" applyNumberFormat="1" applyFont="1" applyBorder="1" applyAlignment="1">
      <alignment horizontal="center"/>
    </xf>
    <xf numFmtId="0" fontId="17" fillId="0" borderId="10" xfId="0" applyFont="1" applyBorder="1">
      <alignment vertical="top"/>
    </xf>
    <xf numFmtId="0" fontId="0" fillId="0" borderId="10" xfId="0" applyBorder="1">
      <alignment vertical="top"/>
    </xf>
    <xf numFmtId="0" fontId="7" fillId="0" borderId="0" xfId="0" applyFont="1">
      <alignment vertical="top"/>
    </xf>
    <xf numFmtId="166" fontId="9" fillId="0" borderId="0" xfId="0" applyNumberFormat="1" applyFont="1" applyAlignment="1">
      <alignment horizontal="center"/>
    </xf>
    <xf numFmtId="0" fontId="18" fillId="0" borderId="0" xfId="0" applyFont="1">
      <alignment vertical="top"/>
    </xf>
    <xf numFmtId="167" fontId="18" fillId="0" borderId="0" xfId="0" applyNumberFormat="1" applyFont="1">
      <alignment vertical="top"/>
    </xf>
    <xf numFmtId="10" fontId="18" fillId="0" borderId="0" xfId="0" applyNumberFormat="1" applyFont="1">
      <alignment vertical="top"/>
    </xf>
    <xf numFmtId="0" fontId="9" fillId="0" borderId="0" xfId="0" applyFont="1">
      <alignment vertical="top"/>
    </xf>
    <xf numFmtId="0" fontId="19" fillId="0" borderId="0" xfId="0" applyFont="1" applyAlignment="1">
      <alignment horizontal="center"/>
    </xf>
    <xf numFmtId="0" fontId="20" fillId="0" borderId="0" xfId="0" applyFont="1">
      <alignment vertical="top"/>
    </xf>
    <xf numFmtId="0" fontId="2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24" borderId="5" xfId="0" applyFont="1" applyFill="1" applyBorder="1">
      <alignment vertical="top"/>
    </xf>
    <xf numFmtId="0" fontId="9" fillId="0" borderId="24" xfId="0" applyFont="1" applyBorder="1">
      <alignment vertical="top"/>
    </xf>
    <xf numFmtId="0" fontId="5" fillId="0" borderId="2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wrapText="1"/>
    </xf>
    <xf numFmtId="0" fontId="18" fillId="0" borderId="0" xfId="0" applyFont="1" applyAlignment="1"/>
    <xf numFmtId="0" fontId="11" fillId="0" borderId="0" xfId="0" applyFont="1">
      <alignment vertical="top"/>
    </xf>
    <xf numFmtId="0" fontId="19" fillId="0" borderId="0" xfId="0" applyFont="1">
      <alignment vertical="top"/>
    </xf>
    <xf numFmtId="0" fontId="12" fillId="0" borderId="0" xfId="0" applyFont="1">
      <alignment vertical="top"/>
    </xf>
    <xf numFmtId="0" fontId="10" fillId="0" borderId="0" xfId="0" applyFont="1">
      <alignment vertical="top"/>
    </xf>
    <xf numFmtId="22" fontId="9" fillId="0" borderId="0" xfId="0" applyNumberFormat="1" applyFont="1">
      <alignment vertical="top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4" fillId="0" borderId="0" xfId="0" applyFont="1" applyAlignment="1"/>
    <xf numFmtId="165" fontId="24" fillId="0" borderId="0" xfId="0" applyNumberFormat="1" applyFont="1" applyAlignment="1"/>
    <xf numFmtId="2" fontId="5" fillId="0" borderId="0" xfId="0" applyNumberFormat="1" applyFont="1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0" fillId="25" borderId="0" xfId="0" applyFill="1" applyAlignment="1"/>
    <xf numFmtId="0" fontId="4" fillId="26" borderId="10" xfId="0" applyFont="1" applyFill="1" applyBorder="1" applyAlignment="1">
      <alignment horizontal="center"/>
    </xf>
    <xf numFmtId="165" fontId="13" fillId="25" borderId="0" xfId="0" applyNumberFormat="1" applyFont="1" applyFill="1" applyAlignment="1"/>
    <xf numFmtId="165" fontId="0" fillId="25" borderId="0" xfId="0" applyNumberFormat="1" applyFill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0" applyFont="1" applyBorder="1" applyAlignment="1"/>
    <xf numFmtId="0" fontId="11" fillId="0" borderId="14" xfId="0" applyFont="1" applyBorder="1" applyAlignment="1"/>
    <xf numFmtId="0" fontId="11" fillId="0" borderId="26" xfId="0" applyFont="1" applyBorder="1" applyAlignment="1"/>
    <xf numFmtId="0" fontId="11" fillId="0" borderId="15" xfId="0" applyFont="1" applyBorder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28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0" fillId="0" borderId="0" xfId="0" quotePrefix="1">
      <alignment vertical="top"/>
    </xf>
    <xf numFmtId="0" fontId="0" fillId="27" borderId="27" xfId="0" applyFill="1" applyBorder="1" applyAlignment="1">
      <alignment horizontal="left" wrapText="1" indent="1"/>
    </xf>
    <xf numFmtId="0" fontId="0" fillId="27" borderId="27" xfId="0" applyFill="1" applyBorder="1" applyAlignment="1">
      <alignment horizontal="center" wrapText="1"/>
    </xf>
    <xf numFmtId="0" fontId="0" fillId="27" borderId="27" xfId="0" applyFill="1" applyBorder="1" applyAlignment="1">
      <alignment horizontal="right" wrapText="1"/>
    </xf>
    <xf numFmtId="0" fontId="28" fillId="27" borderId="27" xfId="38" applyFill="1" applyBorder="1" applyAlignment="1" applyProtection="1">
      <alignment horizontal="right" wrapText="1"/>
    </xf>
    <xf numFmtId="0" fontId="0" fillId="27" borderId="28" xfId="0" applyFill="1" applyBorder="1" applyAlignment="1">
      <alignment horizontal="left" wrapText="1" indent="1"/>
    </xf>
    <xf numFmtId="0" fontId="0" fillId="27" borderId="28" xfId="0" applyFill="1" applyBorder="1" applyAlignment="1">
      <alignment horizontal="center" wrapText="1"/>
    </xf>
    <xf numFmtId="0" fontId="0" fillId="27" borderId="28" xfId="0" applyFill="1" applyBorder="1" applyAlignment="1">
      <alignment horizontal="right" wrapText="1"/>
    </xf>
    <xf numFmtId="0" fontId="28" fillId="27" borderId="28" xfId="38" applyFill="1" applyBorder="1" applyAlignment="1" applyProtection="1">
      <alignment horizontal="right" wrapText="1"/>
    </xf>
    <xf numFmtId="0" fontId="5" fillId="27" borderId="0" xfId="0" applyFont="1" applyFill="1" applyAlignment="1">
      <alignment horizontal="left" vertical="top" wrapText="1" indent="1"/>
    </xf>
    <xf numFmtId="0" fontId="5" fillId="27" borderId="0" xfId="0" applyFont="1" applyFill="1" applyAlignment="1">
      <alignment horizontal="center" vertical="top" wrapText="1"/>
    </xf>
    <xf numFmtId="0" fontId="5" fillId="27" borderId="0" xfId="0" applyFont="1" applyFill="1" applyAlignment="1">
      <alignment horizontal="right" vertical="top" wrapText="1"/>
    </xf>
    <xf numFmtId="0" fontId="28" fillId="27" borderId="0" xfId="38" applyFill="1" applyBorder="1" applyAlignment="1" applyProtection="1">
      <alignment horizontal="right" vertical="top" wrapText="1"/>
    </xf>
    <xf numFmtId="0" fontId="10" fillId="0" borderId="0" xfId="0" applyFont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10" fontId="6" fillId="0" borderId="0" xfId="0" applyNumberFormat="1" applyFont="1">
      <alignment vertical="top"/>
    </xf>
    <xf numFmtId="0" fontId="29" fillId="0" borderId="0" xfId="0" applyFont="1">
      <alignment vertical="top"/>
    </xf>
    <xf numFmtId="0" fontId="19" fillId="24" borderId="24" xfId="0" applyFont="1" applyFill="1" applyBorder="1">
      <alignment vertical="top"/>
    </xf>
    <xf numFmtId="0" fontId="0" fillId="0" borderId="5" xfId="0" applyBorder="1">
      <alignment vertical="top"/>
    </xf>
    <xf numFmtId="0" fontId="0" fillId="0" borderId="5" xfId="0" applyBorder="1" applyAlignment="1"/>
    <xf numFmtId="0" fontId="19" fillId="24" borderId="0" xfId="0" applyFont="1" applyFill="1">
      <alignment vertical="top"/>
    </xf>
    <xf numFmtId="0" fontId="30" fillId="0" borderId="25" xfId="0" applyFont="1" applyBorder="1" applyAlignment="1">
      <alignment horizontal="left"/>
    </xf>
    <xf numFmtId="0" fontId="14" fillId="0" borderId="0" xfId="42" applyFont="1" applyAlignment="1">
      <alignment horizontal="left"/>
    </xf>
    <xf numFmtId="0" fontId="14" fillId="0" borderId="0" xfId="42" applyFont="1" applyAlignment="1">
      <alignment horizontal="center"/>
    </xf>
    <xf numFmtId="165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left" vertical="center" wrapText="1"/>
    </xf>
    <xf numFmtId="168" fontId="46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/ HIP 74368 - O-C Diagr.</a:t>
            </a:r>
          </a:p>
        </c:rich>
      </c:tx>
      <c:layout>
        <c:manualLayout>
          <c:xMode val="edge"/>
          <c:yMode val="edge"/>
          <c:x val="0.36363636363636365"/>
          <c:y val="1.4534883720930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98619102416572E-2"/>
          <c:y val="8.7209302325581398E-2"/>
          <c:w val="0.90103567318757194"/>
          <c:h val="0.74127906976744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Active!$H$21:$H$962</c:f>
              <c:numCache>
                <c:formatCode>0.0000</c:formatCode>
                <c:ptCount val="942"/>
                <c:pt idx="31">
                  <c:v>2.5033254001755267E-2</c:v>
                </c:pt>
                <c:pt idx="79">
                  <c:v>6.0869529988849536E-3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50-4998-9879-EA0A36E0E3D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plus>
            <c:min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Active!$I$21:$I$962</c:f>
              <c:numCache>
                <c:formatCode>0.0000</c:formatCode>
                <c:ptCount val="942"/>
                <c:pt idx="8">
                  <c:v>3.0345948500325903E-2</c:v>
                </c:pt>
                <c:pt idx="9">
                  <c:v>2.9739801000687294E-2</c:v>
                </c:pt>
                <c:pt idx="10">
                  <c:v>2.9705834502237849E-2</c:v>
                </c:pt>
                <c:pt idx="11">
                  <c:v>3.7116333500307519E-2</c:v>
                </c:pt>
                <c:pt idx="12">
                  <c:v>1.7384041995683219E-2</c:v>
                </c:pt>
                <c:pt idx="13">
                  <c:v>1.634783050394617E-2</c:v>
                </c:pt>
                <c:pt idx="14">
                  <c:v>2.7754288501455449E-2</c:v>
                </c:pt>
                <c:pt idx="15">
                  <c:v>2.71498160000192E-2</c:v>
                </c:pt>
                <c:pt idx="16">
                  <c:v>2.4934620007115882E-2</c:v>
                </c:pt>
                <c:pt idx="17">
                  <c:v>2.6998529501724988E-2</c:v>
                </c:pt>
                <c:pt idx="18">
                  <c:v>2.7564113996049855E-2</c:v>
                </c:pt>
                <c:pt idx="19">
                  <c:v>2.8986683508264832E-2</c:v>
                </c:pt>
                <c:pt idx="20">
                  <c:v>3.6375062001752667E-2</c:v>
                </c:pt>
                <c:pt idx="21">
                  <c:v>4.1001430501637515E-2</c:v>
                </c:pt>
                <c:pt idx="22">
                  <c:v>4.2593832498823758E-2</c:v>
                </c:pt>
                <c:pt idx="55">
                  <c:v>-9.0684414972201921E-3</c:v>
                </c:pt>
                <c:pt idx="57">
                  <c:v>-6.8441499024629593E-5</c:v>
                </c:pt>
                <c:pt idx="60">
                  <c:v>-7.2722405020613223E-3</c:v>
                </c:pt>
                <c:pt idx="64">
                  <c:v>1.2606544987647794E-3</c:v>
                </c:pt>
                <c:pt idx="65">
                  <c:v>1.5099525000550784E-2</c:v>
                </c:pt>
                <c:pt idx="106">
                  <c:v>-3.8921220038901083E-3</c:v>
                </c:pt>
                <c:pt idx="109">
                  <c:v>-3.1094499718165025E-4</c:v>
                </c:pt>
                <c:pt idx="112">
                  <c:v>5.4444670022348873E-3</c:v>
                </c:pt>
                <c:pt idx="120">
                  <c:v>-8.7672769950586371E-3</c:v>
                </c:pt>
                <c:pt idx="122">
                  <c:v>2.232723003544379E-3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50-4998-9879-EA0A36E0E3D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Active!$J$21:$J$962</c:f>
              <c:numCache>
                <c:formatCode>0.0000</c:formatCode>
                <c:ptCount val="942"/>
                <c:pt idx="0">
                  <c:v>4.3793096498120576E-2</c:v>
                </c:pt>
                <c:pt idx="1">
                  <c:v>4.3323263998900075E-2</c:v>
                </c:pt>
                <c:pt idx="2">
                  <c:v>4.3119465000927448E-2</c:v>
                </c:pt>
                <c:pt idx="3">
                  <c:v>4.3580352503340691E-2</c:v>
                </c:pt>
                <c:pt idx="4">
                  <c:v>3.4406339000270236E-2</c:v>
                </c:pt>
                <c:pt idx="6">
                  <c:v>2.9810013998940121E-2</c:v>
                </c:pt>
                <c:pt idx="7">
                  <c:v>2.8706215001875535E-2</c:v>
                </c:pt>
                <c:pt idx="24">
                  <c:v>2.3588719996041618E-2</c:v>
                </c:pt>
                <c:pt idx="25">
                  <c:v>2.5281225498474669E-2</c:v>
                </c:pt>
                <c:pt idx="26">
                  <c:v>2.3941336003190372E-2</c:v>
                </c:pt>
                <c:pt idx="27">
                  <c:v>2.1936397002718877E-2</c:v>
                </c:pt>
                <c:pt idx="28">
                  <c:v>2.3632598000403959E-2</c:v>
                </c:pt>
                <c:pt idx="52">
                  <c:v>1.6863937496964354E-2</c:v>
                </c:pt>
                <c:pt idx="53">
                  <c:v>1.8286507001903374E-2</c:v>
                </c:pt>
                <c:pt idx="54">
                  <c:v>1.5985695004928857E-2</c:v>
                </c:pt>
                <c:pt idx="68">
                  <c:v>5.2889050057274289E-3</c:v>
                </c:pt>
                <c:pt idx="71">
                  <c:v>9.7785955003928393E-3</c:v>
                </c:pt>
                <c:pt idx="72">
                  <c:v>8.5313324962044135E-3</c:v>
                </c:pt>
                <c:pt idx="76">
                  <c:v>1.0097366008267272E-2</c:v>
                </c:pt>
                <c:pt idx="77">
                  <c:v>6.5501030039740726E-3</c:v>
                </c:pt>
                <c:pt idx="80">
                  <c:v>7.7434715058188885E-3</c:v>
                </c:pt>
                <c:pt idx="83">
                  <c:v>7.3095050029223785E-3</c:v>
                </c:pt>
                <c:pt idx="84">
                  <c:v>8.3358735064393841E-3</c:v>
                </c:pt>
                <c:pt idx="88">
                  <c:v>7.88481150084408E-3</c:v>
                </c:pt>
                <c:pt idx="89">
                  <c:v>5.3119219955988228E-3</c:v>
                </c:pt>
                <c:pt idx="90">
                  <c:v>5.6420895052724518E-3</c:v>
                </c:pt>
                <c:pt idx="91">
                  <c:v>6.0420895024435595E-3</c:v>
                </c:pt>
                <c:pt idx="92">
                  <c:v>6.4420895068906248E-3</c:v>
                </c:pt>
                <c:pt idx="93">
                  <c:v>5.4081230045994744E-3</c:v>
                </c:pt>
                <c:pt idx="94">
                  <c:v>6.338290506391786E-3</c:v>
                </c:pt>
                <c:pt idx="95">
                  <c:v>6.5382905013393611E-3</c:v>
                </c:pt>
                <c:pt idx="96">
                  <c:v>6.8382905010366812E-3</c:v>
                </c:pt>
                <c:pt idx="105">
                  <c:v>-3.8921220038901083E-3</c:v>
                </c:pt>
                <c:pt idx="108">
                  <c:v>-3.1094499718165025E-4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50-4998-9879-EA0A36E0E3D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Active!$K$21:$K$962</c:f>
              <c:numCache>
                <c:formatCode>0.0000</c:formatCode>
                <c:ptCount val="942"/>
                <c:pt idx="5">
                  <c:v>2.9913813006714918E-2</c:v>
                </c:pt>
                <c:pt idx="23">
                  <c:v>2.5554909501806833E-2</c:v>
                </c:pt>
                <c:pt idx="29">
                  <c:v>2.4403086506936233E-2</c:v>
                </c:pt>
                <c:pt idx="30">
                  <c:v>2.4733254002057947E-2</c:v>
                </c:pt>
                <c:pt idx="32">
                  <c:v>2.5929455005098134E-2</c:v>
                </c:pt>
                <c:pt idx="33">
                  <c:v>2.5925656002073083E-2</c:v>
                </c:pt>
                <c:pt idx="34">
                  <c:v>2.515202450013021E-2</c:v>
                </c:pt>
                <c:pt idx="35">
                  <c:v>2.4078392998490017E-2</c:v>
                </c:pt>
                <c:pt idx="36">
                  <c:v>2.4944426499132533E-2</c:v>
                </c:pt>
                <c:pt idx="37">
                  <c:v>2.30722455016803E-2</c:v>
                </c:pt>
                <c:pt idx="38">
                  <c:v>2.4617384500743356E-2</c:v>
                </c:pt>
                <c:pt idx="39">
                  <c:v>5.7898760060197674E-3</c:v>
                </c:pt>
                <c:pt idx="40">
                  <c:v>2.6960485505696852E-2</c:v>
                </c:pt>
                <c:pt idx="41">
                  <c:v>1.7257358500501141E-2</c:v>
                </c:pt>
                <c:pt idx="42">
                  <c:v>1.6753559495555237E-2</c:v>
                </c:pt>
                <c:pt idx="43">
                  <c:v>1.5419593000842724E-2</c:v>
                </c:pt>
                <c:pt idx="44">
                  <c:v>1.6840038500959054E-2</c:v>
                </c:pt>
                <c:pt idx="45">
                  <c:v>1.7343612998956814E-2</c:v>
                </c:pt>
                <c:pt idx="46">
                  <c:v>1.7307747002632823E-2</c:v>
                </c:pt>
                <c:pt idx="47">
                  <c:v>1.6773780502262525E-2</c:v>
                </c:pt>
                <c:pt idx="48">
                  <c:v>2.1003948000725359E-2</c:v>
                </c:pt>
                <c:pt idx="49">
                  <c:v>1.7929418507264927E-2</c:v>
                </c:pt>
                <c:pt idx="50">
                  <c:v>1.7289529001573101E-2</c:v>
                </c:pt>
                <c:pt idx="51">
                  <c:v>1.718573000835022E-2</c:v>
                </c:pt>
                <c:pt idx="56">
                  <c:v>-4.0684414998395368E-3</c:v>
                </c:pt>
                <c:pt idx="58">
                  <c:v>1.931558501382824E-3</c:v>
                </c:pt>
                <c:pt idx="59">
                  <c:v>4.9315584983560257E-3</c:v>
                </c:pt>
                <c:pt idx="61">
                  <c:v>1.7277594961342402E-3</c:v>
                </c:pt>
                <c:pt idx="62">
                  <c:v>2.7277594999759458E-3</c:v>
                </c:pt>
                <c:pt idx="63">
                  <c:v>3.7277594965416938E-3</c:v>
                </c:pt>
                <c:pt idx="66">
                  <c:v>2.60995249991538E-2</c:v>
                </c:pt>
                <c:pt idx="67">
                  <c:v>4.5889050015830435E-3</c:v>
                </c:pt>
                <c:pt idx="69">
                  <c:v>5.9889050025958568E-3</c:v>
                </c:pt>
                <c:pt idx="70">
                  <c:v>9.4785955079714768E-3</c:v>
                </c:pt>
                <c:pt idx="73">
                  <c:v>9.7313322985428385E-3</c:v>
                </c:pt>
                <c:pt idx="74">
                  <c:v>8.9973658759845421E-3</c:v>
                </c:pt>
                <c:pt idx="75">
                  <c:v>9.9973660035175271E-3</c:v>
                </c:pt>
                <c:pt idx="78">
                  <c:v>6.5501030621817335E-3</c:v>
                </c:pt>
                <c:pt idx="81">
                  <c:v>7.8434714232571423E-3</c:v>
                </c:pt>
                <c:pt idx="82">
                  <c:v>7.2095048235496506E-3</c:v>
                </c:pt>
                <c:pt idx="85">
                  <c:v>8.5358735086629167E-3</c:v>
                </c:pt>
                <c:pt idx="86">
                  <c:v>7.7848115033702925E-3</c:v>
                </c:pt>
                <c:pt idx="87">
                  <c:v>7.7848115397500806E-3</c:v>
                </c:pt>
                <c:pt idx="97">
                  <c:v>9.3134409980848432E-3</c:v>
                </c:pt>
                <c:pt idx="98">
                  <c:v>-6.4426124954479747E-3</c:v>
                </c:pt>
                <c:pt idx="104">
                  <c:v>1.1160635040141642E-3</c:v>
                </c:pt>
                <c:pt idx="107">
                  <c:v>3.1390450749313459E-4</c:v>
                </c:pt>
                <c:pt idx="111">
                  <c:v>4.9200699868379161E-4</c:v>
                </c:pt>
                <c:pt idx="113">
                  <c:v>5.64446700445842E-3</c:v>
                </c:pt>
                <c:pt idx="114">
                  <c:v>1.4828359999228269E-3</c:v>
                </c:pt>
                <c:pt idx="115">
                  <c:v>1.8488694986444898E-3</c:v>
                </c:pt>
                <c:pt idx="116">
                  <c:v>3.003281497512944E-3</c:v>
                </c:pt>
                <c:pt idx="117">
                  <c:v>2.0246935018803924E-3</c:v>
                </c:pt>
                <c:pt idx="118">
                  <c:v>-3.3966498449444771E-5</c:v>
                </c:pt>
                <c:pt idx="119">
                  <c:v>-1.3006399967707694E-4</c:v>
                </c:pt>
                <c:pt idx="121">
                  <c:v>-7.7772769946022891E-3</c:v>
                </c:pt>
                <c:pt idx="123">
                  <c:v>2.6427230041008443E-3</c:v>
                </c:pt>
                <c:pt idx="124">
                  <c:v>8.5437700181500986E-4</c:v>
                </c:pt>
                <c:pt idx="128">
                  <c:v>3.2644094972056337E-3</c:v>
                </c:pt>
                <c:pt idx="129">
                  <c:v>-7.5695569976232946E-3</c:v>
                </c:pt>
                <c:pt idx="131">
                  <c:v>-1.9281570494058542E-2</c:v>
                </c:pt>
                <c:pt idx="132">
                  <c:v>-1.8553800036897883E-3</c:v>
                </c:pt>
                <c:pt idx="134">
                  <c:v>-9.2369039921322837E-3</c:v>
                </c:pt>
                <c:pt idx="135">
                  <c:v>-2.6331224944442511E-3</c:v>
                </c:pt>
                <c:pt idx="136">
                  <c:v>-2.7447440006653778E-3</c:v>
                </c:pt>
                <c:pt idx="137">
                  <c:v>-2.7247440011706203E-3</c:v>
                </c:pt>
                <c:pt idx="138">
                  <c:v>-2.3192734952317551E-3</c:v>
                </c:pt>
                <c:pt idx="139">
                  <c:v>-1.5323999832617119E-4</c:v>
                </c:pt>
                <c:pt idx="140">
                  <c:v>-2.8095864981878549E-3</c:v>
                </c:pt>
                <c:pt idx="141">
                  <c:v>-3.7724944995716214E-3</c:v>
                </c:pt>
                <c:pt idx="142">
                  <c:v>-3.7324945005821064E-3</c:v>
                </c:pt>
                <c:pt idx="143">
                  <c:v>-3.4724944998743013E-3</c:v>
                </c:pt>
                <c:pt idx="144">
                  <c:v>-3.4724944998743013E-3</c:v>
                </c:pt>
                <c:pt idx="145">
                  <c:v>-3.4324945008847862E-3</c:v>
                </c:pt>
                <c:pt idx="146">
                  <c:v>-3.4324945008847862E-3</c:v>
                </c:pt>
                <c:pt idx="147">
                  <c:v>-4.3389769998611882E-3</c:v>
                </c:pt>
                <c:pt idx="148">
                  <c:v>-5.3064959938637912E-3</c:v>
                </c:pt>
                <c:pt idx="149">
                  <c:v>-4.7439334957743995E-3</c:v>
                </c:pt>
                <c:pt idx="150">
                  <c:v>-4.7139334928942844E-3</c:v>
                </c:pt>
                <c:pt idx="151">
                  <c:v>-1.332315499894321E-3</c:v>
                </c:pt>
                <c:pt idx="152">
                  <c:v>-4.3411430015112273E-3</c:v>
                </c:pt>
                <c:pt idx="153">
                  <c:v>-3.6500985006568953E-3</c:v>
                </c:pt>
                <c:pt idx="154">
                  <c:v>-5.0861889976658858E-3</c:v>
                </c:pt>
                <c:pt idx="155">
                  <c:v>-5.149666998477187E-3</c:v>
                </c:pt>
                <c:pt idx="156">
                  <c:v>-5.0996669961023144E-3</c:v>
                </c:pt>
                <c:pt idx="157">
                  <c:v>-1.1090574989793822E-3</c:v>
                </c:pt>
                <c:pt idx="158">
                  <c:v>-3.880375501466915E-3</c:v>
                </c:pt>
                <c:pt idx="159">
                  <c:v>-3.7803754967171699E-3</c:v>
                </c:pt>
                <c:pt idx="160">
                  <c:v>-3.6803754992433824E-3</c:v>
                </c:pt>
                <c:pt idx="161">
                  <c:v>-3.4803754970198497E-3</c:v>
                </c:pt>
                <c:pt idx="162">
                  <c:v>-4.8143419990083203E-3</c:v>
                </c:pt>
                <c:pt idx="163">
                  <c:v>-4.2143419996136799E-3</c:v>
                </c:pt>
                <c:pt idx="164">
                  <c:v>-6.3962450003600679E-3</c:v>
                </c:pt>
                <c:pt idx="165">
                  <c:v>-7.6645699955406599E-3</c:v>
                </c:pt>
                <c:pt idx="166">
                  <c:v>-3.0985365010565147E-3</c:v>
                </c:pt>
                <c:pt idx="167">
                  <c:v>-3.0533975004800595E-3</c:v>
                </c:pt>
                <c:pt idx="168">
                  <c:v>-3.7873640030738898E-3</c:v>
                </c:pt>
                <c:pt idx="169">
                  <c:v>1.5041111000755336E-2</c:v>
                </c:pt>
                <c:pt idx="170">
                  <c:v>4.9290405004285276E-3</c:v>
                </c:pt>
                <c:pt idx="171">
                  <c:v>-5.2099501772318035E-5</c:v>
                </c:pt>
                <c:pt idx="172">
                  <c:v>-3.4560659987619147E-3</c:v>
                </c:pt>
                <c:pt idx="173">
                  <c:v>-8.7706490012351424E-3</c:v>
                </c:pt>
                <c:pt idx="174">
                  <c:v>-2.8102849973947741E-3</c:v>
                </c:pt>
                <c:pt idx="175">
                  <c:v>-1.304514599905815E-2</c:v>
                </c:pt>
                <c:pt idx="176">
                  <c:v>4.2815470005734824E-3</c:v>
                </c:pt>
                <c:pt idx="177">
                  <c:v>-4.5424194977385923E-3</c:v>
                </c:pt>
                <c:pt idx="178">
                  <c:v>-2.5886439980240539E-3</c:v>
                </c:pt>
                <c:pt idx="179">
                  <c:v>-1.635578999412246E-3</c:v>
                </c:pt>
                <c:pt idx="180">
                  <c:v>5.1321965001989156E-3</c:v>
                </c:pt>
                <c:pt idx="181">
                  <c:v>4.3205399560974911E-3</c:v>
                </c:pt>
                <c:pt idx="182">
                  <c:v>3.1191579982987605E-3</c:v>
                </c:pt>
                <c:pt idx="183">
                  <c:v>8.1167570024263114E-3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50-4998-9879-EA0A36E0E3D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Active!$L$21:$L$962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50-4998-9879-EA0A36E0E3D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Active!$M$21:$M$962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50-4998-9879-EA0A36E0E3D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plus>
            <c:minus>
              <c:numRef>
                <c:f>Active!$D$21:$D$964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Active!$N$21:$N$962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50-4998-9879-EA0A36E0E3D5}"/>
            </c:ext>
          </c:extLst>
        </c:ser>
        <c:ser>
          <c:idx val="7"/>
          <c:order val="7"/>
          <c:tx>
            <c:strRef>
              <c:f>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50-4998-9879-EA0A36E0E3D5}"/>
            </c:ext>
          </c:extLst>
        </c:ser>
        <c:ser>
          <c:idx val="8"/>
          <c:order val="8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Active!$O$21:$O$962</c:f>
              <c:numCache>
                <c:formatCode>0.0000</c:formatCode>
                <c:ptCount val="942"/>
                <c:pt idx="68">
                  <c:v>-1.8774544575314345E-2</c:v>
                </c:pt>
                <c:pt idx="71">
                  <c:v>-1.8268430264229481E-2</c:v>
                </c:pt>
                <c:pt idx="72">
                  <c:v>-1.8261214117214659E-2</c:v>
                </c:pt>
                <c:pt idx="75">
                  <c:v>-1.8260886110532171E-2</c:v>
                </c:pt>
                <c:pt idx="76">
                  <c:v>-1.8260886110532171E-2</c:v>
                </c:pt>
                <c:pt idx="77">
                  <c:v>-1.8253669963517349E-2</c:v>
                </c:pt>
                <c:pt idx="80">
                  <c:v>-1.7594048525026315E-2</c:v>
                </c:pt>
                <c:pt idx="83">
                  <c:v>-1.7593720518343826E-2</c:v>
                </c:pt>
                <c:pt idx="84">
                  <c:v>-1.7590112444836416E-2</c:v>
                </c:pt>
                <c:pt idx="86">
                  <c:v>-1.7580928257726641E-2</c:v>
                </c:pt>
                <c:pt idx="88">
                  <c:v>-1.7580928257726641E-2</c:v>
                </c:pt>
                <c:pt idx="91">
                  <c:v>-1.6902610438333576E-2</c:v>
                </c:pt>
                <c:pt idx="95">
                  <c:v>-1.6900642398238627E-2</c:v>
                </c:pt>
                <c:pt idx="104">
                  <c:v>-1.3280104636894014E-2</c:v>
                </c:pt>
                <c:pt idx="105">
                  <c:v>-1.279235870002869E-2</c:v>
                </c:pt>
                <c:pt idx="106">
                  <c:v>-1.279235870002869E-2</c:v>
                </c:pt>
                <c:pt idx="107">
                  <c:v>-1.2674604301014129E-2</c:v>
                </c:pt>
                <c:pt idx="108">
                  <c:v>-1.1919204911235489E-2</c:v>
                </c:pt>
                <c:pt idx="109">
                  <c:v>-1.1919204911235489E-2</c:v>
                </c:pt>
                <c:pt idx="111">
                  <c:v>-1.0832846778822609E-2</c:v>
                </c:pt>
                <c:pt idx="112">
                  <c:v>-9.9275483351452098E-3</c:v>
                </c:pt>
                <c:pt idx="114">
                  <c:v>-8.8077335211181659E-3</c:v>
                </c:pt>
                <c:pt idx="115">
                  <c:v>-8.8074055144356737E-3</c:v>
                </c:pt>
                <c:pt idx="116">
                  <c:v>-8.7837890332962635E-3</c:v>
                </c:pt>
                <c:pt idx="117">
                  <c:v>-8.1041591871732297E-3</c:v>
                </c:pt>
                <c:pt idx="118">
                  <c:v>-8.0910389198735576E-3</c:v>
                </c:pt>
                <c:pt idx="120">
                  <c:v>-7.8492979948770938E-3</c:v>
                </c:pt>
                <c:pt idx="122">
                  <c:v>-7.8492979948770938E-3</c:v>
                </c:pt>
                <c:pt idx="128">
                  <c:v>-7.0886504981785827E-3</c:v>
                </c:pt>
                <c:pt idx="129">
                  <c:v>-7.0883224914960906E-3</c:v>
                </c:pt>
                <c:pt idx="133">
                  <c:v>-5.9898281118310141E-3</c:v>
                </c:pt>
                <c:pt idx="135">
                  <c:v>-5.380391695761229E-3</c:v>
                </c:pt>
                <c:pt idx="136">
                  <c:v>-5.3571032213043102E-3</c:v>
                </c:pt>
                <c:pt idx="138">
                  <c:v>-5.283957731108636E-3</c:v>
                </c:pt>
                <c:pt idx="139">
                  <c:v>-5.2836297244261447E-3</c:v>
                </c:pt>
                <c:pt idx="140">
                  <c:v>-4.7191302238577381E-3</c:v>
                </c:pt>
                <c:pt idx="141">
                  <c:v>-4.6692732081189819E-3</c:v>
                </c:pt>
                <c:pt idx="143">
                  <c:v>-4.6692732081189819E-3</c:v>
                </c:pt>
                <c:pt idx="144">
                  <c:v>-4.6692732081189819E-3</c:v>
                </c:pt>
                <c:pt idx="147">
                  <c:v>-4.6348325064573415E-3</c:v>
                </c:pt>
                <c:pt idx="148">
                  <c:v>-4.0818132397761478E-3</c:v>
                </c:pt>
                <c:pt idx="149">
                  <c:v>-3.9588107338417193E-3</c:v>
                </c:pt>
                <c:pt idx="151">
                  <c:v>-3.9233860121326031E-3</c:v>
                </c:pt>
                <c:pt idx="152">
                  <c:v>-3.9119057782453902E-3</c:v>
                </c:pt>
                <c:pt idx="153">
                  <c:v>-3.627523984524989E-3</c:v>
                </c:pt>
                <c:pt idx="154">
                  <c:v>-3.6088276036229565E-3</c:v>
                </c:pt>
                <c:pt idx="155">
                  <c:v>-3.3687267120389502E-3</c:v>
                </c:pt>
                <c:pt idx="157">
                  <c:v>-3.2844289946385545E-3</c:v>
                </c:pt>
                <c:pt idx="164">
                  <c:v>-2.6694164649664082E-3</c:v>
                </c:pt>
                <c:pt idx="165">
                  <c:v>-2.6530161308418176E-3</c:v>
                </c:pt>
                <c:pt idx="166">
                  <c:v>-2.6526881241593263E-3</c:v>
                </c:pt>
                <c:pt idx="167">
                  <c:v>-2.6415358969546048E-3</c:v>
                </c:pt>
                <c:pt idx="168">
                  <c:v>-2.6412078902721126E-3</c:v>
                </c:pt>
                <c:pt idx="169">
                  <c:v>-2.3624022101540734E-3</c:v>
                </c:pt>
                <c:pt idx="170">
                  <c:v>-2.3043450273530228E-3</c:v>
                </c:pt>
                <c:pt idx="171">
                  <c:v>-1.9238572756625216E-3</c:v>
                </c:pt>
                <c:pt idx="172">
                  <c:v>-1.9235292689800294E-3</c:v>
                </c:pt>
                <c:pt idx="173">
                  <c:v>-1.8900725873658647E-3</c:v>
                </c:pt>
                <c:pt idx="174">
                  <c:v>-1.4361113387971981E-3</c:v>
                </c:pt>
                <c:pt idx="175">
                  <c:v>-1.4249591115924765E-3</c:v>
                </c:pt>
                <c:pt idx="176">
                  <c:v>-1.241931382762046E-3</c:v>
                </c:pt>
                <c:pt idx="177">
                  <c:v>-1.2416033760795538E-3</c:v>
                </c:pt>
                <c:pt idx="178">
                  <c:v>8.780770805975717E-5</c:v>
                </c:pt>
                <c:pt idx="179">
                  <c:v>2.1573031423156343E-4</c:v>
                </c:pt>
                <c:pt idx="180">
                  <c:v>2.8571681283381199E-3</c:v>
                </c:pt>
                <c:pt idx="181">
                  <c:v>3.4675885644553806E-3</c:v>
                </c:pt>
                <c:pt idx="182">
                  <c:v>4.1590266511481195E-3</c:v>
                </c:pt>
                <c:pt idx="183">
                  <c:v>5.0754773220302411E-3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E50-4998-9879-EA0A36E0E3D5}"/>
            </c:ext>
          </c:extLst>
        </c:ser>
        <c:ser>
          <c:idx val="9"/>
          <c:order val="9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Active!$P$21:$P$962</c:f>
              <c:numCache>
                <c:formatCode>0.0000</c:formatCode>
                <c:ptCount val="942"/>
                <c:pt idx="0">
                  <c:v>4.4731993028245855E-2</c:v>
                </c:pt>
                <c:pt idx="1">
                  <c:v>4.4727446932231574E-2</c:v>
                </c:pt>
                <c:pt idx="2">
                  <c:v>4.4721991908329359E-2</c:v>
                </c:pt>
                <c:pt idx="3">
                  <c:v>4.4426986268211816E-2</c:v>
                </c:pt>
                <c:pt idx="4">
                  <c:v>3.7359891966856199E-2</c:v>
                </c:pt>
                <c:pt idx="5">
                  <c:v>2.7948200917682606E-2</c:v>
                </c:pt>
                <c:pt idx="6">
                  <c:v>2.7943831386143203E-2</c:v>
                </c:pt>
                <c:pt idx="7">
                  <c:v>2.79394621724019E-2</c:v>
                </c:pt>
                <c:pt idx="8">
                  <c:v>2.6358129740732025E-2</c:v>
                </c:pt>
                <c:pt idx="9">
                  <c:v>2.627668232583728E-2</c:v>
                </c:pt>
                <c:pt idx="10">
                  <c:v>2.6275974599454934E-2</c:v>
                </c:pt>
                <c:pt idx="11">
                  <c:v>2.6138842657696074E-2</c:v>
                </c:pt>
                <c:pt idx="12">
                  <c:v>2.6102847659269655E-2</c:v>
                </c:pt>
                <c:pt idx="13">
                  <c:v>2.5729440273942215E-2</c:v>
                </c:pt>
                <c:pt idx="14">
                  <c:v>2.4930656662150847E-2</c:v>
                </c:pt>
                <c:pt idx="15">
                  <c:v>2.4816805154298235E-2</c:v>
                </c:pt>
                <c:pt idx="16">
                  <c:v>2.4800264956254259E-2</c:v>
                </c:pt>
                <c:pt idx="17">
                  <c:v>2.4761002364702717E-2</c:v>
                </c:pt>
                <c:pt idx="18">
                  <c:v>2.4687376357827258E-2</c:v>
                </c:pt>
                <c:pt idx="19">
                  <c:v>2.4675688072371877E-2</c:v>
                </c:pt>
                <c:pt idx="20">
                  <c:v>2.4626899869753128E-2</c:v>
                </c:pt>
                <c:pt idx="21">
                  <c:v>2.4619345115440061E-2</c:v>
                </c:pt>
                <c:pt idx="22">
                  <c:v>2.4611104783506386E-2</c:v>
                </c:pt>
                <c:pt idx="23">
                  <c:v>2.3214017350726174E-2</c:v>
                </c:pt>
                <c:pt idx="24">
                  <c:v>2.1723944950860344E-2</c:v>
                </c:pt>
                <c:pt idx="25">
                  <c:v>2.1443988693091092E-2</c:v>
                </c:pt>
                <c:pt idx="26">
                  <c:v>2.1403393951784651E-2</c:v>
                </c:pt>
                <c:pt idx="27">
                  <c:v>2.0658394183803386E-2</c:v>
                </c:pt>
                <c:pt idx="28">
                  <c:v>2.0654591604067025E-2</c:v>
                </c:pt>
                <c:pt idx="29">
                  <c:v>2.019368859467003E-2</c:v>
                </c:pt>
                <c:pt idx="30">
                  <c:v>2.0190552286319954E-2</c:v>
                </c:pt>
                <c:pt idx="31">
                  <c:v>2.0190552286319954E-2</c:v>
                </c:pt>
                <c:pt idx="32">
                  <c:v>2.0186789007614787E-2</c:v>
                </c:pt>
                <c:pt idx="33">
                  <c:v>2.0183026046707714E-2</c:v>
                </c:pt>
                <c:pt idx="34">
                  <c:v>2.0176128110437022E-2</c:v>
                </c:pt>
                <c:pt idx="35">
                  <c:v>2.0169231242321041E-2</c:v>
                </c:pt>
                <c:pt idx="36">
                  <c:v>2.0168604307276849E-2</c:v>
                </c:pt>
                <c:pt idx="37">
                  <c:v>2.0097191577975321E-2</c:v>
                </c:pt>
                <c:pt idx="38">
                  <c:v>2.0075915255230677E-2</c:v>
                </c:pt>
                <c:pt idx="39">
                  <c:v>1.9362900318862314E-2</c:v>
                </c:pt>
                <c:pt idx="40">
                  <c:v>1.9205013214775836E-2</c:v>
                </c:pt>
                <c:pt idx="41">
                  <c:v>1.5888025648494085E-2</c:v>
                </c:pt>
                <c:pt idx="42">
                  <c:v>1.5884645157595398E-2</c:v>
                </c:pt>
                <c:pt idx="43">
                  <c:v>1.5884081773342655E-2</c:v>
                </c:pt>
                <c:pt idx="44">
                  <c:v>1.5842978566577248E-2</c:v>
                </c:pt>
                <c:pt idx="45">
                  <c:v>1.5816539752296029E-2</c:v>
                </c:pt>
                <c:pt idx="46">
                  <c:v>1.5814290540870246E-2</c:v>
                </c:pt>
                <c:pt idx="47">
                  <c:v>1.5813728260083114E-2</c:v>
                </c:pt>
                <c:pt idx="48">
                  <c:v>1.5810916988563316E-2</c:v>
                </c:pt>
                <c:pt idx="49">
                  <c:v>1.5685758697202543E-2</c:v>
                </c:pt>
                <c:pt idx="50">
                  <c:v>1.565047960574676E-2</c:v>
                </c:pt>
                <c:pt idx="51">
                  <c:v>1.5647121519613831E-2</c:v>
                </c:pt>
                <c:pt idx="52">
                  <c:v>1.5510271099656844E-2</c:v>
                </c:pt>
                <c:pt idx="53">
                  <c:v>1.5500795015574578E-2</c:v>
                </c:pt>
                <c:pt idx="54">
                  <c:v>1.4659482351492252E-2</c:v>
                </c:pt>
                <c:pt idx="55">
                  <c:v>1.3077479997574415E-2</c:v>
                </c:pt>
                <c:pt idx="56">
                  <c:v>1.3077479997574415E-2</c:v>
                </c:pt>
                <c:pt idx="57">
                  <c:v>1.3077479997574415E-2</c:v>
                </c:pt>
                <c:pt idx="58">
                  <c:v>1.3077479997574415E-2</c:v>
                </c:pt>
                <c:pt idx="59">
                  <c:v>1.3077479997574415E-2</c:v>
                </c:pt>
                <c:pt idx="60">
                  <c:v>1.3074374931692154E-2</c:v>
                </c:pt>
                <c:pt idx="61">
                  <c:v>1.3074374931692154E-2</c:v>
                </c:pt>
                <c:pt idx="62">
                  <c:v>1.3074374931692154E-2</c:v>
                </c:pt>
                <c:pt idx="63">
                  <c:v>1.3074374931692154E-2</c:v>
                </c:pt>
                <c:pt idx="64">
                  <c:v>1.1380579970495824E-2</c:v>
                </c:pt>
                <c:pt idx="65">
                  <c:v>1.1078434173428978E-2</c:v>
                </c:pt>
                <c:pt idx="66">
                  <c:v>1.1078434173428978E-2</c:v>
                </c:pt>
                <c:pt idx="67">
                  <c:v>1.0943754310558725E-2</c:v>
                </c:pt>
                <c:pt idx="68">
                  <c:v>1.0943754310558725E-2</c:v>
                </c:pt>
                <c:pt idx="69">
                  <c:v>1.0943754310558725E-2</c:v>
                </c:pt>
                <c:pt idx="70">
                  <c:v>1.02139877713542E-2</c:v>
                </c:pt>
                <c:pt idx="71">
                  <c:v>1.02139877713542E-2</c:v>
                </c:pt>
                <c:pt idx="72">
                  <c:v>1.0203734773779709E-2</c:v>
                </c:pt>
                <c:pt idx="73">
                  <c:v>1.0203734773779709E-2</c:v>
                </c:pt>
                <c:pt idx="74">
                  <c:v>1.0203268829954251E-2</c:v>
                </c:pt>
                <c:pt idx="75">
                  <c:v>1.0203268829954251E-2</c:v>
                </c:pt>
                <c:pt idx="76">
                  <c:v>1.0203268829954251E-2</c:v>
                </c:pt>
                <c:pt idx="77">
                  <c:v>1.0193020299208554E-2</c:v>
                </c:pt>
                <c:pt idx="78">
                  <c:v>1.0193020299208554E-2</c:v>
                </c:pt>
                <c:pt idx="79">
                  <c:v>9.6860413509504591E-3</c:v>
                </c:pt>
                <c:pt idx="80">
                  <c:v>9.2742568924883244E-3</c:v>
                </c:pt>
                <c:pt idx="81">
                  <c:v>9.2742568924883244E-3</c:v>
                </c:pt>
                <c:pt idx="82">
                  <c:v>9.2738089042552815E-3</c:v>
                </c:pt>
                <c:pt idx="83">
                  <c:v>9.2738089042552815E-3</c:v>
                </c:pt>
                <c:pt idx="84">
                  <c:v>9.2688816163216635E-3</c:v>
                </c:pt>
                <c:pt idx="85">
                  <c:v>9.2688816163216635E-3</c:v>
                </c:pt>
                <c:pt idx="86">
                  <c:v>9.2563442487920596E-3</c:v>
                </c:pt>
                <c:pt idx="87">
                  <c:v>9.2563442487920596E-3</c:v>
                </c:pt>
                <c:pt idx="88">
                  <c:v>9.2563442487920596E-3</c:v>
                </c:pt>
                <c:pt idx="89">
                  <c:v>8.3516491438124854E-3</c:v>
                </c:pt>
                <c:pt idx="90">
                  <c:v>8.3495021144516963E-3</c:v>
                </c:pt>
                <c:pt idx="91">
                  <c:v>8.3495021144516963E-3</c:v>
                </c:pt>
                <c:pt idx="92">
                  <c:v>8.3495021144516963E-3</c:v>
                </c:pt>
                <c:pt idx="93">
                  <c:v>8.3490727350627129E-3</c:v>
                </c:pt>
                <c:pt idx="94">
                  <c:v>8.3469259705336689E-3</c:v>
                </c:pt>
                <c:pt idx="95">
                  <c:v>8.3469259705336689E-3</c:v>
                </c:pt>
                <c:pt idx="96">
                  <c:v>8.3469259705336689E-3</c:v>
                </c:pt>
                <c:pt idx="97">
                  <c:v>7.3815873374306253E-3</c:v>
                </c:pt>
                <c:pt idx="98">
                  <c:v>5.8614878676043307E-3</c:v>
                </c:pt>
                <c:pt idx="99">
                  <c:v>4.797153884720279E-3</c:v>
                </c:pt>
                <c:pt idx="100">
                  <c:v>4.7891341261367473E-3</c:v>
                </c:pt>
                <c:pt idx="101">
                  <c:v>4.4334177530240574E-3</c:v>
                </c:pt>
                <c:pt idx="102">
                  <c:v>4.4157779880973271E-3</c:v>
                </c:pt>
                <c:pt idx="103">
                  <c:v>4.4042572017790162E-3</c:v>
                </c:pt>
                <c:pt idx="104">
                  <c:v>4.1457459154728817E-3</c:v>
                </c:pt>
                <c:pt idx="105">
                  <c:v>3.6619846727794355E-3</c:v>
                </c:pt>
                <c:pt idx="106">
                  <c:v>3.6619846727794355E-3</c:v>
                </c:pt>
                <c:pt idx="107">
                  <c:v>3.5481174097368594E-3</c:v>
                </c:pt>
                <c:pt idx="108">
                  <c:v>2.8447137229308671E-3</c:v>
                </c:pt>
                <c:pt idx="109">
                  <c:v>2.8447137229308671E-3</c:v>
                </c:pt>
                <c:pt idx="110">
                  <c:v>1.9696690837895632E-3</c:v>
                </c:pt>
                <c:pt idx="111">
                  <c:v>1.9152159387065767E-3</c:v>
                </c:pt>
                <c:pt idx="112">
                  <c:v>1.2146051366489371E-3</c:v>
                </c:pt>
                <c:pt idx="113">
                  <c:v>1.2146051366489371E-3</c:v>
                </c:pt>
                <c:pt idx="114">
                  <c:v>4.4101558730939958E-4</c:v>
                </c:pt>
                <c:pt idx="115">
                  <c:v>4.4080406734286359E-4</c:v>
                </c:pt>
                <c:pt idx="116">
                  <c:v>4.2559782901327236E-4</c:v>
                </c:pt>
                <c:pt idx="117">
                  <c:v>7.6040828002766224E-6</c:v>
                </c:pt>
                <c:pt idx="118">
                  <c:v>-9.2411440582244096E-8</c:v>
                </c:pt>
                <c:pt idx="119">
                  <c:v>-7.9110091613747777E-5</c:v>
                </c:pt>
                <c:pt idx="120">
                  <c:v>-1.3937272391444997E-4</c:v>
                </c:pt>
                <c:pt idx="121">
                  <c:v>-1.3937272391444997E-4</c:v>
                </c:pt>
                <c:pt idx="122">
                  <c:v>-1.3937272391444997E-4</c:v>
                </c:pt>
                <c:pt idx="123">
                  <c:v>-1.3937272391444997E-4</c:v>
                </c:pt>
                <c:pt idx="124">
                  <c:v>-3.425566155873478E-4</c:v>
                </c:pt>
                <c:pt idx="125">
                  <c:v>-5.3226451578998739E-4</c:v>
                </c:pt>
                <c:pt idx="126">
                  <c:v>-5.3425598376446559E-4</c:v>
                </c:pt>
                <c:pt idx="127">
                  <c:v>-5.4452498416504927E-4</c:v>
                </c:pt>
                <c:pt idx="128">
                  <c:v>-5.4634335925941781E-4</c:v>
                </c:pt>
                <c:pt idx="129">
                  <c:v>-5.4650861311982923E-4</c:v>
                </c:pt>
                <c:pt idx="130">
                  <c:v>-5.6528968747011194E-4</c:v>
                </c:pt>
                <c:pt idx="131">
                  <c:v>-5.6611079255311123E-4</c:v>
                </c:pt>
                <c:pt idx="132">
                  <c:v>-6.5396939800293542E-4</c:v>
                </c:pt>
                <c:pt idx="133">
                  <c:v>-1.050424006813655E-3</c:v>
                </c:pt>
                <c:pt idx="134">
                  <c:v>-1.1777587107551734E-3</c:v>
                </c:pt>
                <c:pt idx="135">
                  <c:v>-1.2872900953845331E-3</c:v>
                </c:pt>
                <c:pt idx="136">
                  <c:v>-1.2957369724019728E-3</c:v>
                </c:pt>
                <c:pt idx="137">
                  <c:v>-1.2957369724019728E-3</c:v>
                </c:pt>
                <c:pt idx="138">
                  <c:v>-1.3219779227931941E-3</c:v>
                </c:pt>
                <c:pt idx="139">
                  <c:v>-1.3220946065112861E-3</c:v>
                </c:pt>
                <c:pt idx="140">
                  <c:v>-1.509826530338914E-3</c:v>
                </c:pt>
                <c:pt idx="141">
                  <c:v>-1.5251505444956797E-3</c:v>
                </c:pt>
                <c:pt idx="142">
                  <c:v>-1.5251505444956797E-3</c:v>
                </c:pt>
                <c:pt idx="143">
                  <c:v>-1.5251505444956797E-3</c:v>
                </c:pt>
                <c:pt idx="144">
                  <c:v>-1.5251505444956797E-3</c:v>
                </c:pt>
                <c:pt idx="145">
                  <c:v>-1.5251505444956797E-3</c:v>
                </c:pt>
                <c:pt idx="146">
                  <c:v>-1.5251505444956797E-3</c:v>
                </c:pt>
                <c:pt idx="147">
                  <c:v>-1.5356171040917447E-3</c:v>
                </c:pt>
                <c:pt idx="148">
                  <c:v>-1.6903519329561217E-3</c:v>
                </c:pt>
                <c:pt idx="149">
                  <c:v>-1.7213566786435698E-3</c:v>
                </c:pt>
                <c:pt idx="150">
                  <c:v>-1.7213566786435698E-3</c:v>
                </c:pt>
                <c:pt idx="151">
                  <c:v>-1.7300558006810933E-3</c:v>
                </c:pt>
                <c:pt idx="152">
                  <c:v>-1.732852869219135E-3</c:v>
                </c:pt>
                <c:pt idx="153">
                  <c:v>-1.7986884622171084E-3</c:v>
                </c:pt>
                <c:pt idx="154">
                  <c:v>-1.8027842844911572E-3</c:v>
                </c:pt>
                <c:pt idx="155">
                  <c:v>-1.8528340478476157E-3</c:v>
                </c:pt>
                <c:pt idx="156">
                  <c:v>-1.8528340478476157E-3</c:v>
                </c:pt>
                <c:pt idx="157">
                  <c:v>-1.8692842795586496E-3</c:v>
                </c:pt>
                <c:pt idx="158">
                  <c:v>-1.9630313428916982E-3</c:v>
                </c:pt>
                <c:pt idx="159">
                  <c:v>-1.9630313428916982E-3</c:v>
                </c:pt>
                <c:pt idx="160">
                  <c:v>-1.9630313428916982E-3</c:v>
                </c:pt>
                <c:pt idx="161">
                  <c:v>-1.9630313428916982E-3</c:v>
                </c:pt>
                <c:pt idx="162">
                  <c:v>-1.9630792762883823E-3</c:v>
                </c:pt>
                <c:pt idx="163">
                  <c:v>-1.9630792762883823E-3</c:v>
                </c:pt>
                <c:pt idx="164">
                  <c:v>-1.9716561463823832E-3</c:v>
                </c:pt>
                <c:pt idx="165">
                  <c:v>-1.9739612285709046E-3</c:v>
                </c:pt>
                <c:pt idx="166">
                  <c:v>-1.9740071051076906E-3</c:v>
                </c:pt>
                <c:pt idx="167">
                  <c:v>-1.9755616548621027E-3</c:v>
                </c:pt>
                <c:pt idx="168">
                  <c:v>-1.9756072224285178E-3</c:v>
                </c:pt>
                <c:pt idx="169">
                  <c:v>-2.0111468864832194E-3</c:v>
                </c:pt>
                <c:pt idx="170">
                  <c:v>-2.0177451513795188E-3</c:v>
                </c:pt>
                <c:pt idx="171">
                  <c:v>-2.0541424698269136E-3</c:v>
                </c:pt>
                <c:pt idx="172">
                  <c:v>-2.0541687223312793E-3</c:v>
                </c:pt>
                <c:pt idx="173">
                  <c:v>-2.0568001057377425E-3</c:v>
                </c:pt>
                <c:pt idx="174">
                  <c:v>-2.08342671142836E-3</c:v>
                </c:pt>
                <c:pt idx="175">
                  <c:v>-2.0838680321083707E-3</c:v>
                </c:pt>
                <c:pt idx="176">
                  <c:v>-2.089652825604674E-3</c:v>
                </c:pt>
                <c:pt idx="177">
                  <c:v>-2.089660725269003E-3</c:v>
                </c:pt>
                <c:pt idx="178">
                  <c:v>-2.049154500110271E-3</c:v>
                </c:pt>
                <c:pt idx="179">
                  <c:v>-2.0376085794199532E-3</c:v>
                </c:pt>
                <c:pt idx="180">
                  <c:v>-1.499095084044731E-3</c:v>
                </c:pt>
                <c:pt idx="181">
                  <c:v>-1.2932122861104333E-3</c:v>
                </c:pt>
                <c:pt idx="182">
                  <c:v>-1.0230745783082534E-3</c:v>
                </c:pt>
                <c:pt idx="183">
                  <c:v>-6.0457369171286642E-4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E50-4998-9879-EA0A36E0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858096"/>
        <c:axId val="1"/>
      </c:scatterChart>
      <c:valAx>
        <c:axId val="603858096"/>
        <c:scaling>
          <c:orientation val="minMax"/>
          <c:max val="22000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23360184119682"/>
              <c:y val="0.8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56731875719217E-2"/>
              <c:y val="0.369186046511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858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73762945914845"/>
          <c:y val="0.93313953488372092"/>
          <c:w val="0.63176064441887225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/ HIP 74368 - O-C Diagr.</a:t>
            </a:r>
          </a:p>
        </c:rich>
      </c:tx>
      <c:layout>
        <c:manualLayout>
          <c:xMode val="edge"/>
          <c:yMode val="edge"/>
          <c:x val="0.36363636363636365"/>
          <c:y val="1.4534883720930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98619102416572E-2"/>
          <c:y val="8.7209302325581398E-2"/>
          <c:w val="0.90103567318757194"/>
          <c:h val="0.74127906976744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(4)'!$H$21:$H$962</c:f>
              <c:numCache>
                <c:formatCode>0.0000</c:formatCode>
                <c:ptCount val="942"/>
                <c:pt idx="31">
                  <c:v>4.946929999277927E-3</c:v>
                </c:pt>
                <c:pt idx="78">
                  <c:v>7.5570600020000711E-3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D8-4783-B67C-9E2B5FB0FB81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plus>
            <c:minus>
              <c:numRef>
                <c:f>'A (4)'!$D$21:$D$962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(4)'!$I$21:$I$962</c:f>
              <c:numCache>
                <c:formatCode>0.0000</c:formatCode>
                <c:ptCount val="942"/>
                <c:pt idx="8">
                  <c:v>-2.8549984563142061E-6</c:v>
                </c:pt>
                <c:pt idx="14">
                  <c:v>-3.2705500052543357E-4</c:v>
                </c:pt>
                <c:pt idx="15">
                  <c:v>-7.4812999810092151E-4</c:v>
                </c:pt>
                <c:pt idx="18">
                  <c:v>-1.248700064024888E-4</c:v>
                </c:pt>
                <c:pt idx="19">
                  <c:v>1.3165950003894977E-3</c:v>
                </c:pt>
                <c:pt idx="55">
                  <c:v>-1.5342154998506885E-2</c:v>
                </c:pt>
                <c:pt idx="57">
                  <c:v>-6.3421550003113225E-3</c:v>
                </c:pt>
                <c:pt idx="60">
                  <c:v>-1.3539284998842049E-2</c:v>
                </c:pt>
                <c:pt idx="64">
                  <c:v>-1.2606349991983734E-3</c:v>
                </c:pt>
                <c:pt idx="65">
                  <c:v>1.327070000115782E-2</c:v>
                </c:pt>
                <c:pt idx="104">
                  <c:v>1.4861809999274556E-2</c:v>
                </c:pt>
                <c:pt idx="107">
                  <c:v>2.1401799996965565E-2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D8-4783-B67C-9E2B5FB0FB81}"/>
            </c:ext>
          </c:extLst>
        </c:ser>
        <c:ser>
          <c:idx val="3"/>
          <c:order val="2"/>
          <c:tx>
            <c:strRef>
              <c:f>'A (4)'!$J$20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'A (4)'!$D$21:$D$28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(4)'!$J$21:$J$962</c:f>
              <c:numCache>
                <c:formatCode>0.0000</c:formatCode>
                <c:ptCount val="942"/>
                <c:pt idx="0">
                  <c:v>-1.1800095002399758E-2</c:v>
                </c:pt>
                <c:pt idx="1">
                  <c:v>-1.2264370001503266E-2</c:v>
                </c:pt>
                <c:pt idx="2">
                  <c:v>-1.2461499994969927E-2</c:v>
                </c:pt>
                <c:pt idx="3">
                  <c:v>-1.1639374999504071E-2</c:v>
                </c:pt>
                <c:pt idx="52">
                  <c:v>5.5595749945496209E-3</c:v>
                </c:pt>
                <c:pt idx="53">
                  <c:v>7.0010400013416074E-3</c:v>
                </c:pt>
                <c:pt idx="54">
                  <c:v>6.3986000022850931E-3</c:v>
                </c:pt>
                <c:pt idx="68">
                  <c:v>3.7713000056101009E-3</c:v>
                </c:pt>
                <c:pt idx="71">
                  <c:v>9.9760349985444918E-3</c:v>
                </c:pt>
                <c:pt idx="72">
                  <c:v>8.7532249963260256E-3</c:v>
                </c:pt>
                <c:pt idx="75">
                  <c:v>1.03203700055019E-2</c:v>
                </c:pt>
                <c:pt idx="76">
                  <c:v>6.7975599959027022E-3</c:v>
                </c:pt>
                <c:pt idx="79">
                  <c:v>1.022615499823587E-2</c:v>
                </c:pt>
                <c:pt idx="82">
                  <c:v>9.7932999997283332E-3</c:v>
                </c:pt>
                <c:pt idx="83">
                  <c:v>1.083189500059234E-2</c:v>
                </c:pt>
                <c:pt idx="86">
                  <c:v>1.0411955001472961E-2</c:v>
                </c:pt>
                <c:pt idx="87">
                  <c:v>1.0132089999387972E-2</c:v>
                </c:pt>
                <c:pt idx="88">
                  <c:v>1.0467815001902636E-2</c:v>
                </c:pt>
                <c:pt idx="89">
                  <c:v>1.0867814999073744E-2</c:v>
                </c:pt>
                <c:pt idx="90">
                  <c:v>1.1267815003520809E-2</c:v>
                </c:pt>
                <c:pt idx="91">
                  <c:v>1.0234959998342674E-2</c:v>
                </c:pt>
                <c:pt idx="92">
                  <c:v>1.1170685000251979E-2</c:v>
                </c:pt>
                <c:pt idx="93">
                  <c:v>1.1370684995199554E-2</c:v>
                </c:pt>
                <c:pt idx="94">
                  <c:v>1.1670684994896874E-2</c:v>
                </c:pt>
                <c:pt idx="103">
                  <c:v>1.4861809999274556E-2</c:v>
                </c:pt>
                <c:pt idx="106">
                  <c:v>2.1401799996965565E-2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D8-4783-B67C-9E2B5FB0FB81}"/>
            </c:ext>
          </c:extLst>
        </c:ser>
        <c:ser>
          <c:idx val="4"/>
          <c:order val="3"/>
          <c:tx>
            <c:strRef>
              <c:f>'A (4)'!$K$20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(4)'!$K$21:$K$962</c:f>
              <c:numCache>
                <c:formatCode>0.0000</c:formatCode>
                <c:ptCount val="942"/>
                <c:pt idx="5">
                  <c:v>-2.8947399987373501E-3</c:v>
                </c:pt>
                <c:pt idx="29">
                  <c:v>4.3112050043419003E-3</c:v>
                </c:pt>
                <c:pt idx="30">
                  <c:v>4.6469299995806068E-3</c:v>
                </c:pt>
                <c:pt idx="32">
                  <c:v>5.8497999998508021E-3</c:v>
                </c:pt>
                <c:pt idx="33">
                  <c:v>5.8526700013317168E-3</c:v>
                </c:pt>
                <c:pt idx="34">
                  <c:v>5.0912649967358448E-3</c:v>
                </c:pt>
                <c:pt idx="35">
                  <c:v>4.0298599997186102E-3</c:v>
                </c:pt>
                <c:pt idx="36">
                  <c:v>4.8970049974741414E-3</c:v>
                </c:pt>
                <c:pt idx="37">
                  <c:v>3.151535005599726E-3</c:v>
                </c:pt>
                <c:pt idx="38">
                  <c:v>4.7344649938168004E-3</c:v>
                </c:pt>
                <c:pt idx="39">
                  <c:v>-1.2815930000215303E-2</c:v>
                </c:pt>
                <c:pt idx="40">
                  <c:v>8.6403349996544421E-3</c:v>
                </c:pt>
                <c:pt idx="41">
                  <c:v>5.203845001233276E-3</c:v>
                </c:pt>
                <c:pt idx="42">
                  <c:v>4.7067149935173802E-3</c:v>
                </c:pt>
                <c:pt idx="43">
                  <c:v>3.3738599959178828E-3</c:v>
                </c:pt>
                <c:pt idx="44">
                  <c:v>4.8754450035630725E-3</c:v>
                </c:pt>
                <c:pt idx="45">
                  <c:v>5.431259996839799E-3</c:v>
                </c:pt>
                <c:pt idx="46">
                  <c:v>5.399839996243827E-3</c:v>
                </c:pt>
                <c:pt idx="47">
                  <c:v>4.8669850002625026E-3</c:v>
                </c:pt>
                <c:pt idx="48">
                  <c:v>9.1027099988423288E-3</c:v>
                </c:pt>
                <c:pt idx="49">
                  <c:v>6.2760450018686242E-3</c:v>
                </c:pt>
                <c:pt idx="50">
                  <c:v>5.7061800034716725E-3</c:v>
                </c:pt>
                <c:pt idx="51">
                  <c:v>5.6090500002028421E-3</c:v>
                </c:pt>
                <c:pt idx="56">
                  <c:v>-1.034215500112623E-2</c:v>
                </c:pt>
                <c:pt idx="58">
                  <c:v>-4.3421549999038689E-3</c:v>
                </c:pt>
                <c:pt idx="59">
                  <c:v>-1.3421550029306673E-3</c:v>
                </c:pt>
                <c:pt idx="61">
                  <c:v>-4.5392850006464869E-3</c:v>
                </c:pt>
                <c:pt idx="62">
                  <c:v>-3.5392849968047813E-3</c:v>
                </c:pt>
                <c:pt idx="63">
                  <c:v>-2.5392850002390333E-3</c:v>
                </c:pt>
                <c:pt idx="66">
                  <c:v>2.4270699999760836E-2</c:v>
                </c:pt>
                <c:pt idx="67">
                  <c:v>3.0713000014657155E-3</c:v>
                </c:pt>
                <c:pt idx="69">
                  <c:v>4.4713000024785288E-3</c:v>
                </c:pt>
                <c:pt idx="70">
                  <c:v>9.6760350061231293E-3</c:v>
                </c:pt>
                <c:pt idx="73">
                  <c:v>9.9532247986644506E-3</c:v>
                </c:pt>
                <c:pt idx="74">
                  <c:v>9.2203698732191697E-3</c:v>
                </c:pt>
                <c:pt idx="77">
                  <c:v>6.7975600541103631E-3</c:v>
                </c:pt>
                <c:pt idx="80">
                  <c:v>1.0326154915674124E-2</c:v>
                </c:pt>
                <c:pt idx="81">
                  <c:v>9.6932998203556053E-3</c:v>
                </c:pt>
                <c:pt idx="84">
                  <c:v>1.1031895002815872E-2</c:v>
                </c:pt>
                <c:pt idx="85">
                  <c:v>1.0311955040378962E-2</c:v>
                </c:pt>
                <c:pt idx="95">
                  <c:v>1.6705619993444998E-2</c:v>
                </c:pt>
                <c:pt idx="96">
                  <c:v>5.2610750062740408E-3</c:v>
                </c:pt>
                <c:pt idx="102">
                  <c:v>1.8217195000033826E-2</c:v>
                </c:pt>
                <c:pt idx="105">
                  <c:v>1.9466865000140388E-2</c:v>
                </c:pt>
                <c:pt idx="109">
                  <c:v>2.5886039999022614E-2</c:v>
                </c:pt>
                <c:pt idx="110">
                  <c:v>3.4106240003893618E-2</c:v>
                </c:pt>
                <c:pt idx="111">
                  <c:v>3.373926999483956E-2</c:v>
                </c:pt>
                <c:pt idx="112">
                  <c:v>3.4106414997950196E-2</c:v>
                </c:pt>
                <c:pt idx="113">
                  <c:v>3.5340854999958538E-2</c:v>
                </c:pt>
                <c:pt idx="114">
                  <c:v>3.6665294996055309E-2</c:v>
                </c:pt>
                <c:pt idx="115">
                  <c:v>3.4651095003937371E-2</c:v>
                </c:pt>
                <c:pt idx="116">
                  <c:v>3.5016269997868221E-2</c:v>
                </c:pt>
                <c:pt idx="117">
                  <c:v>2.7726960004656576E-2</c:v>
                </c:pt>
                <c:pt idx="118">
                  <c:v>3.8146960003359709E-2</c:v>
                </c:pt>
                <c:pt idx="119">
                  <c:v>3.7607940001180395E-2</c:v>
                </c:pt>
                <c:pt idx="123">
                  <c:v>4.1346215002704412E-2</c:v>
                </c:pt>
                <c:pt idx="124">
                  <c:v>3.0513359997712541E-2</c:v>
                </c:pt>
                <c:pt idx="126">
                  <c:v>1.8933615006972104E-2</c:v>
                </c:pt>
                <c:pt idx="127">
                  <c:v>3.6963349994039163E-2</c:v>
                </c:pt>
                <c:pt idx="129">
                  <c:v>3.3645470000919886E-2</c:v>
                </c:pt>
                <c:pt idx="131">
                  <c:v>4.1224669999792241E-2</c:v>
                </c:pt>
                <c:pt idx="132">
                  <c:v>4.1878005002217833E-2</c:v>
                </c:pt>
                <c:pt idx="133">
                  <c:v>4.4045149996236432E-2</c:v>
                </c:pt>
                <c:pt idx="134">
                  <c:v>4.3301695004629437E-2</c:v>
                </c:pt>
                <c:pt idx="135">
                  <c:v>4.2547734992695041E-2</c:v>
                </c:pt>
                <c:pt idx="136">
                  <c:v>4.2847734992392361E-2</c:v>
                </c:pt>
                <c:pt idx="137">
                  <c:v>4.2847734992392361E-2</c:v>
                </c:pt>
                <c:pt idx="139">
                  <c:v>4.2964430002029985E-2</c:v>
                </c:pt>
                <c:pt idx="140">
                  <c:v>4.397380500449799E-2</c:v>
                </c:pt>
                <c:pt idx="141">
                  <c:v>4.7475464998569805E-2</c:v>
                </c:pt>
                <c:pt idx="142">
                  <c:v>4.4505539997771848E-2</c:v>
                </c:pt>
                <c:pt idx="143">
                  <c:v>4.5587660002638586E-2</c:v>
                </c:pt>
                <c:pt idx="144">
                  <c:v>4.9863924999954179E-2</c:v>
                </c:pt>
                <c:pt idx="145">
                  <c:v>4.8973264994856436E-2</c:v>
                </c:pt>
                <c:pt idx="146">
                  <c:v>4.9073264999606181E-2</c:v>
                </c:pt>
                <c:pt idx="147">
                  <c:v>4.9173264997079968E-2</c:v>
                </c:pt>
                <c:pt idx="148">
                  <c:v>4.9373264999303501E-2</c:v>
                </c:pt>
                <c:pt idx="149">
                  <c:v>4.8040410001704004E-2</c:v>
                </c:pt>
                <c:pt idx="150">
                  <c:v>4.8640410001098644E-2</c:v>
                </c:pt>
                <c:pt idx="151">
                  <c:v>4.5448050004779361E-2</c:v>
                </c:pt>
                <c:pt idx="152">
                  <c:v>5.0015194996376522E-2</c:v>
                </c:pt>
                <c:pt idx="153">
                  <c:v>5.0098125000658911E-2</c:v>
                </c:pt>
                <c:pt idx="154">
                  <c:v>4.9365269995178096E-2</c:v>
                </c:pt>
                <c:pt idx="155">
                  <c:v>5.9223185002338141E-2</c:v>
                </c:pt>
                <c:pt idx="156">
                  <c:v>4.6927319999667816E-2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D8-4783-B67C-9E2B5FB0FB81}"/>
            </c:ext>
          </c:extLst>
        </c:ser>
        <c:ser>
          <c:idx val="2"/>
          <c:order val="4"/>
          <c:tx>
            <c:strRef>
              <c:f>'A (4)'!$L$20</c:f>
              <c:strCache>
                <c:ptCount val="1"/>
                <c:pt idx="0">
                  <c:v>Xiang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(4)'!$L$21:$L$962</c:f>
              <c:numCache>
                <c:formatCode>0.0000</c:formatCode>
                <c:ptCount val="942"/>
                <c:pt idx="0">
                  <c:v>-1.1800095002399758E-2</c:v>
                </c:pt>
                <c:pt idx="1">
                  <c:v>-1.2264370001503266E-2</c:v>
                </c:pt>
                <c:pt idx="2">
                  <c:v>-1.2461499994969927E-2</c:v>
                </c:pt>
                <c:pt idx="3">
                  <c:v>-1.1639374999504071E-2</c:v>
                </c:pt>
                <c:pt idx="4">
                  <c:v>-1.1789119998866227E-2</c:v>
                </c:pt>
                <c:pt idx="5">
                  <c:v>-2.8947399987373501E-3</c:v>
                </c:pt>
                <c:pt idx="6">
                  <c:v>-2.9918700020061806E-3</c:v>
                </c:pt>
                <c:pt idx="7">
                  <c:v>-4.0890000018407591E-3</c:v>
                </c:pt>
                <c:pt idx="8">
                  <c:v>-2.8549984563142061E-6</c:v>
                </c:pt>
                <c:pt idx="9">
                  <c:v>-4.8117999540409073E-4</c:v>
                </c:pt>
                <c:pt idx="10">
                  <c:v>-5.1403500401647761E-4</c:v>
                </c:pt>
                <c:pt idx="14">
                  <c:v>-3.2705500052543357E-4</c:v>
                </c:pt>
                <c:pt idx="15">
                  <c:v>-7.4812999810092151E-4</c:v>
                </c:pt>
                <c:pt idx="18">
                  <c:v>-1.248700064024888E-4</c:v>
                </c:pt>
                <c:pt idx="19">
                  <c:v>1.3165950003894977E-3</c:v>
                </c:pt>
                <c:pt idx="24">
                  <c:v>8.303499998874031E-4</c:v>
                </c:pt>
                <c:pt idx="25">
                  <c:v>3.0041349964449182E-3</c:v>
                </c:pt>
                <c:pt idx="26">
                  <c:v>1.7342700011795387E-3</c:v>
                </c:pt>
                <c:pt idx="27">
                  <c:v>1.0253400032524951E-3</c:v>
                </c:pt>
                <c:pt idx="28">
                  <c:v>2.7282099981675856E-3</c:v>
                </c:pt>
                <c:pt idx="29">
                  <c:v>4.3112050043419003E-3</c:v>
                </c:pt>
                <c:pt idx="30">
                  <c:v>4.6469299995806068E-3</c:v>
                </c:pt>
                <c:pt idx="32">
                  <c:v>5.8497999998508021E-3</c:v>
                </c:pt>
                <c:pt idx="33">
                  <c:v>5.8526700013317168E-3</c:v>
                </c:pt>
                <c:pt idx="34">
                  <c:v>5.0912649967358448E-3</c:v>
                </c:pt>
                <c:pt idx="35">
                  <c:v>4.0298599997186102E-3</c:v>
                </c:pt>
                <c:pt idx="36">
                  <c:v>4.8970049974741414E-3</c:v>
                </c:pt>
                <c:pt idx="37">
                  <c:v>3.151535005599726E-3</c:v>
                </c:pt>
                <c:pt idx="38">
                  <c:v>4.7344649938168004E-3</c:v>
                </c:pt>
                <c:pt idx="40">
                  <c:v>8.6403349996544421E-3</c:v>
                </c:pt>
                <c:pt idx="41">
                  <c:v>5.203845001233276E-3</c:v>
                </c:pt>
                <c:pt idx="42">
                  <c:v>4.7067149935173802E-3</c:v>
                </c:pt>
                <c:pt idx="43">
                  <c:v>3.3738599959178828E-3</c:v>
                </c:pt>
                <c:pt idx="44">
                  <c:v>4.8754450035630725E-3</c:v>
                </c:pt>
                <c:pt idx="45">
                  <c:v>5.431259996839799E-3</c:v>
                </c:pt>
                <c:pt idx="46">
                  <c:v>5.399839996243827E-3</c:v>
                </c:pt>
                <c:pt idx="47">
                  <c:v>4.8669850002625026E-3</c:v>
                </c:pt>
                <c:pt idx="48">
                  <c:v>9.1027099988423288E-3</c:v>
                </c:pt>
                <c:pt idx="49">
                  <c:v>6.2760450018686242E-3</c:v>
                </c:pt>
                <c:pt idx="50">
                  <c:v>5.7061800034716725E-3</c:v>
                </c:pt>
                <c:pt idx="51">
                  <c:v>5.6090500002028421E-3</c:v>
                </c:pt>
                <c:pt idx="52">
                  <c:v>5.5595749945496209E-3</c:v>
                </c:pt>
                <c:pt idx="53">
                  <c:v>7.0010400013416074E-3</c:v>
                </c:pt>
                <c:pt idx="54">
                  <c:v>6.3986000022850931E-3</c:v>
                </c:pt>
                <c:pt idx="68">
                  <c:v>3.7713000056101009E-3</c:v>
                </c:pt>
                <c:pt idx="71">
                  <c:v>9.9760349985444918E-3</c:v>
                </c:pt>
                <c:pt idx="72">
                  <c:v>8.7532249963260256E-3</c:v>
                </c:pt>
                <c:pt idx="75">
                  <c:v>1.03203700055019E-2</c:v>
                </c:pt>
                <c:pt idx="76">
                  <c:v>6.7975599959027022E-3</c:v>
                </c:pt>
                <c:pt idx="79">
                  <c:v>1.022615499823587E-2</c:v>
                </c:pt>
                <c:pt idx="82">
                  <c:v>9.7932999997283332E-3</c:v>
                </c:pt>
                <c:pt idx="83">
                  <c:v>1.083189500059234E-2</c:v>
                </c:pt>
                <c:pt idx="86">
                  <c:v>1.0411955001472961E-2</c:v>
                </c:pt>
                <c:pt idx="87">
                  <c:v>1.0132089999387972E-2</c:v>
                </c:pt>
                <c:pt idx="89">
                  <c:v>1.0867814999073744E-2</c:v>
                </c:pt>
                <c:pt idx="91">
                  <c:v>1.0234959998342674E-2</c:v>
                </c:pt>
                <c:pt idx="93">
                  <c:v>1.1370684995199554E-2</c:v>
                </c:pt>
                <c:pt idx="102">
                  <c:v>1.8217195000033826E-2</c:v>
                </c:pt>
                <c:pt idx="105">
                  <c:v>1.9466865000140388E-2</c:v>
                </c:pt>
                <c:pt idx="109">
                  <c:v>2.5886039999022614E-2</c:v>
                </c:pt>
                <c:pt idx="111">
                  <c:v>3.373926999483956E-2</c:v>
                </c:pt>
                <c:pt idx="112">
                  <c:v>3.4106414997950196E-2</c:v>
                </c:pt>
                <c:pt idx="113">
                  <c:v>3.5340854999958538E-2</c:v>
                </c:pt>
                <c:pt idx="114">
                  <c:v>3.6665294996055309E-2</c:v>
                </c:pt>
                <c:pt idx="115">
                  <c:v>3.4651095003937371E-2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D8-4783-B67C-9E2B5FB0FB81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(4)'!$M$21:$M$962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D8-4783-B67C-9E2B5FB0FB81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plus>
            <c:minus>
              <c:numRef>
                <c:f>'A (4)'!$D$21:$D$964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(4)'!$N$21:$N$962</c:f>
              <c:numCache>
                <c:formatCode>0.0000</c:formatCode>
                <c:ptCount val="942"/>
                <c:pt idx="23">
                  <c:v>2.8121500508859754E-4</c:v>
                </c:pt>
                <c:pt idx="130">
                  <c:v>4.1237375000491738E-2</c:v>
                </c:pt>
                <c:pt idx="138">
                  <c:v>4.2057960003148764E-2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D8-4783-B67C-9E2B5FB0FB81}"/>
            </c:ext>
          </c:extLst>
        </c:ser>
        <c:ser>
          <c:idx val="7"/>
          <c:order val="7"/>
          <c:tx>
            <c:strRef>
              <c:f>'A (4)'!$O$20</c:f>
              <c:strCache>
                <c:ptCount val="1"/>
                <c:pt idx="0">
                  <c:v>??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(4)'!$O$21:$O$962</c:f>
              <c:numCache>
                <c:formatCode>0.0000</c:formatCode>
                <c:ptCount val="942"/>
                <c:pt idx="4">
                  <c:v>-1.1789119998866227E-2</c:v>
                </c:pt>
                <c:pt idx="6">
                  <c:v>-2.9918700020061806E-3</c:v>
                </c:pt>
                <c:pt idx="7">
                  <c:v>-4.0890000018407591E-3</c:v>
                </c:pt>
                <c:pt idx="9">
                  <c:v>-4.8117999540409073E-4</c:v>
                </c:pt>
                <c:pt idx="10">
                  <c:v>-5.1403500401647761E-4</c:v>
                </c:pt>
                <c:pt idx="11">
                  <c:v>7.1120950015028939E-3</c:v>
                </c:pt>
                <c:pt idx="12">
                  <c:v>-1.2563510004838463E-2</c:v>
                </c:pt>
                <c:pt idx="13">
                  <c:v>-1.3009515001613181E-2</c:v>
                </c:pt>
                <c:pt idx="16">
                  <c:v>-2.9366499948082492E-3</c:v>
                </c:pt>
                <c:pt idx="17">
                  <c:v>-8.0938499741023406E-4</c:v>
                </c:pt>
                <c:pt idx="20">
                  <c:v>8.7838899999042042E-3</c:v>
                </c:pt>
                <c:pt idx="21">
                  <c:v>1.3422484997136053E-2</c:v>
                </c:pt>
                <c:pt idx="22">
                  <c:v>1.502822499605827E-2</c:v>
                </c:pt>
                <c:pt idx="24">
                  <c:v>8.303499998874031E-4</c:v>
                </c:pt>
                <c:pt idx="25">
                  <c:v>3.0041349964449182E-3</c:v>
                </c:pt>
                <c:pt idx="26">
                  <c:v>1.7342700011795387E-3</c:v>
                </c:pt>
                <c:pt idx="27">
                  <c:v>1.0253400032524951E-3</c:v>
                </c:pt>
                <c:pt idx="28">
                  <c:v>2.7282099981675856E-3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D8-4783-B67C-9E2B5FB0FB81}"/>
            </c:ext>
          </c:extLst>
        </c:ser>
        <c:ser>
          <c:idx val="8"/>
          <c:order val="8"/>
          <c:tx>
            <c:strRef>
              <c:f>'A (4)'!$P$20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(4)'!$P$21:$P$962</c:f>
              <c:numCache>
                <c:formatCode>0.0000</c:formatCode>
                <c:ptCount val="942"/>
                <c:pt idx="68">
                  <c:v>1.2006348671328541E-3</c:v>
                </c:pt>
                <c:pt idx="71">
                  <c:v>2.7047267214451651E-3</c:v>
                </c:pt>
                <c:pt idx="72">
                  <c:v>2.7261719714742477E-3</c:v>
                </c:pt>
                <c:pt idx="75">
                  <c:v>2.7271467555664772E-3</c:v>
                </c:pt>
                <c:pt idx="76">
                  <c:v>2.7485920055955564E-3</c:v>
                </c:pt>
                <c:pt idx="79">
                  <c:v>4.708882815071945E-3</c:v>
                </c:pt>
                <c:pt idx="82">
                  <c:v>4.7098575991641745E-3</c:v>
                </c:pt>
                <c:pt idx="83">
                  <c:v>4.7205802241787158E-3</c:v>
                </c:pt>
                <c:pt idx="86">
                  <c:v>4.7478741787611821E-3</c:v>
                </c:pt>
                <c:pt idx="89">
                  <c:v>6.7637276814947293E-3</c:v>
                </c:pt>
                <c:pt idx="93">
                  <c:v>6.769576386048113E-3</c:v>
                </c:pt>
                <c:pt idx="102">
                  <c:v>1.7529243196093044E-2</c:v>
                </c:pt>
                <c:pt idx="103">
                  <c:v>1.8978747141240426E-2</c:v>
                </c:pt>
                <c:pt idx="104">
                  <c:v>1.8978747141240426E-2</c:v>
                </c:pt>
                <c:pt idx="105">
                  <c:v>1.9328694630351327E-2</c:v>
                </c:pt>
                <c:pt idx="106">
                  <c:v>2.1573622394759143E-2</c:v>
                </c:pt>
                <c:pt idx="107">
                  <c:v>2.1573622394759143E-2</c:v>
                </c:pt>
                <c:pt idx="109">
                  <c:v>2.4802107308227954E-2</c:v>
                </c:pt>
                <c:pt idx="111">
                  <c:v>3.0820424293661677E-2</c:v>
                </c:pt>
                <c:pt idx="112">
                  <c:v>3.0821399077753907E-2</c:v>
                </c:pt>
                <c:pt idx="113">
                  <c:v>3.0891583532394531E-2</c:v>
                </c:pt>
                <c:pt idx="114">
                  <c:v>3.2911336171497003E-2</c:v>
                </c:pt>
                <c:pt idx="115">
                  <c:v>3.2950327535186244E-2</c:v>
                </c:pt>
                <c:pt idx="123">
                  <c:v>3.5929267721043941E-2</c:v>
                </c:pt>
                <c:pt idx="124">
                  <c:v>3.593024250513617E-2</c:v>
                </c:pt>
                <c:pt idx="128">
                  <c:v>3.9194794430017534E-2</c:v>
                </c:pt>
                <c:pt idx="130">
                  <c:v>4.100594327338259E-2</c:v>
                </c:pt>
                <c:pt idx="132">
                  <c:v>4.129252979649848E-2</c:v>
                </c:pt>
                <c:pt idx="133">
                  <c:v>4.1293504580590716E-2</c:v>
                </c:pt>
                <c:pt idx="134">
                  <c:v>4.2971108003320123E-2</c:v>
                </c:pt>
                <c:pt idx="138">
                  <c:v>4.3221627515023474E-2</c:v>
                </c:pt>
                <c:pt idx="139">
                  <c:v>4.4865113494524815E-2</c:v>
                </c:pt>
                <c:pt idx="141">
                  <c:v>4.5335934211072342E-2</c:v>
                </c:pt>
                <c:pt idx="142">
                  <c:v>4.5370051654300435E-2</c:v>
                </c:pt>
                <c:pt idx="144">
                  <c:v>4.7234813622738188E-2</c:v>
                </c:pt>
                <c:pt idx="151">
                  <c:v>4.9111273000282708E-2</c:v>
                </c:pt>
                <c:pt idx="152">
                  <c:v>4.9112247784374945E-2</c:v>
                </c:pt>
                <c:pt idx="153">
                  <c:v>4.9145390443510788E-2</c:v>
                </c:pt>
                <c:pt idx="154">
                  <c:v>4.9146365227603024E-2</c:v>
                </c:pt>
                <c:pt idx="155">
                  <c:v>5.0147468490324178E-2</c:v>
                </c:pt>
                <c:pt idx="156">
                  <c:v>5.1378620798811843E-2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D8-4783-B67C-9E2B5FB0FB81}"/>
            </c:ext>
          </c:extLst>
        </c:ser>
        <c:ser>
          <c:idx val="9"/>
          <c:order val="9"/>
          <c:tx>
            <c:strRef>
              <c:f>'A (4)'!$Q$20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(4)'!$Q$21:$Q$962</c:f>
              <c:numCache>
                <c:formatCode>0.0000</c:formatCode>
                <c:ptCount val="942"/>
                <c:pt idx="0">
                  <c:v>-1.4396849284511364E-3</c:v>
                </c:pt>
                <c:pt idx="1">
                  <c:v>-1.4400503176192092E-3</c:v>
                </c:pt>
                <c:pt idx="2">
                  <c:v>-1.4404883879298009E-3</c:v>
                </c:pt>
                <c:pt idx="3">
                  <c:v>-1.4635706199865785E-3</c:v>
                </c:pt>
                <c:pt idx="4">
                  <c:v>-1.6281414032110614E-3</c:v>
                </c:pt>
                <c:pt idx="5">
                  <c:v>-4.1266940690417491E-4</c:v>
                </c:pt>
                <c:pt idx="6">
                  <c:v>-4.1162933406662582E-4</c:v>
                </c:pt>
                <c:pt idx="7">
                  <c:v>-4.1058882847515413E-4</c:v>
                </c:pt>
                <c:pt idx="8">
                  <c:v>2.9981271138378001E-7</c:v>
                </c:pt>
                <c:pt idx="9">
                  <c:v>2.3369153062471473E-5</c:v>
                </c:pt>
                <c:pt idx="10">
                  <c:v>2.3570453236699151E-5</c:v>
                </c:pt>
                <c:pt idx="11">
                  <c:v>6.2850063160345074E-5</c:v>
                </c:pt>
                <c:pt idx="12">
                  <c:v>7.325124701848647E-5</c:v>
                </c:pt>
                <c:pt idx="13">
                  <c:v>1.8340341403616327E-4</c:v>
                </c:pt>
                <c:pt idx="14">
                  <c:v>4.3313297043641333E-4</c:v>
                </c:pt>
                <c:pt idx="15">
                  <c:v>4.7032829432908416E-4</c:v>
                </c:pt>
                <c:pt idx="16">
                  <c:v>4.7576578675604818E-4</c:v>
                </c:pt>
                <c:pt idx="17">
                  <c:v>4.8870758161537154E-4</c:v>
                </c:pt>
                <c:pt idx="18">
                  <c:v>5.1310729985336084E-4</c:v>
                </c:pt>
                <c:pt idx="19">
                  <c:v>5.1699656067462959E-4</c:v>
                </c:pt>
                <c:pt idx="20">
                  <c:v>5.3327749752835843E-4</c:v>
                </c:pt>
                <c:pt idx="21">
                  <c:v>5.3580531764081175E-4</c:v>
                </c:pt>
                <c:pt idx="22">
                  <c:v>5.3856459847170649E-4</c:v>
                </c:pt>
                <c:pt idx="23">
                  <c:v>1.0384053300269941E-3</c:v>
                </c:pt>
                <c:pt idx="24">
                  <c:v>1.645796960734086E-3</c:v>
                </c:pt>
                <c:pt idx="25">
                  <c:v>1.7690310575044438E-3</c:v>
                </c:pt>
                <c:pt idx="26">
                  <c:v>1.7871490068789634E-3</c:v>
                </c:pt>
                <c:pt idx="27">
                  <c:v>2.131087952856249E-3</c:v>
                </c:pt>
                <c:pt idx="28">
                  <c:v>2.1329000586916367E-3</c:v>
                </c:pt>
                <c:pt idx="29">
                  <c:v>2.3569130762684807E-3</c:v>
                </c:pt>
                <c:pt idx="30">
                  <c:v>2.3584674315846317E-3</c:v>
                </c:pt>
                <c:pt idx="31">
                  <c:v>2.3584674315846317E-3</c:v>
                </c:pt>
                <c:pt idx="32">
                  <c:v>2.3603330546551082E-3</c:v>
                </c:pt>
                <c:pt idx="33">
                  <c:v>2.3621991104795076E-3</c:v>
                </c:pt>
                <c:pt idx="34">
                  <c:v>2.3656213367823438E-3</c:v>
                </c:pt>
                <c:pt idx="35">
                  <c:v>2.3690450176191975E-3</c:v>
                </c:pt>
                <c:pt idx="36">
                  <c:v>2.3693563334572926E-3</c:v>
                </c:pt>
                <c:pt idx="37">
                  <c:v>2.4049251362768566E-3</c:v>
                </c:pt>
                <c:pt idx="38">
                  <c:v>2.4155636204050797E-3</c:v>
                </c:pt>
                <c:pt idx="39">
                  <c:v>2.783251639704653E-3</c:v>
                </c:pt>
                <c:pt idx="40">
                  <c:v>2.8676652690685671E-3</c:v>
                </c:pt>
                <c:pt idx="41">
                  <c:v>4.9192738709788516E-3</c:v>
                </c:pt>
                <c:pt idx="42">
                  <c:v>4.9216607461490449E-3</c:v>
                </c:pt>
                <c:pt idx="43">
                  <c:v>4.9220586007507096E-3</c:v>
                </c:pt>
                <c:pt idx="44">
                  <c:v>4.951134455237296E-3</c:v>
                </c:pt>
                <c:pt idx="45">
                  <c:v>4.9698884249914062E-3</c:v>
                </c:pt>
                <c:pt idx="46">
                  <c:v>4.9714857336597851E-3</c:v>
                </c:pt>
                <c:pt idx="47">
                  <c:v>4.9718850908792352E-3</c:v>
                </c:pt>
                <c:pt idx="48">
                  <c:v>4.9738820572906217E-3</c:v>
                </c:pt>
                <c:pt idx="49">
                  <c:v>5.0632523556334297E-3</c:v>
                </c:pt>
                <c:pt idx="50">
                  <c:v>5.0886087634935667E-3</c:v>
                </c:pt>
                <c:pt idx="51">
                  <c:v>5.091026147815301E-3</c:v>
                </c:pt>
                <c:pt idx="52">
                  <c:v>5.1901056215426164E-3</c:v>
                </c:pt>
                <c:pt idx="53">
                  <c:v>5.197007294439733E-3</c:v>
                </c:pt>
                <c:pt idx="54">
                  <c:v>5.8315351735269937E-3</c:v>
                </c:pt>
                <c:pt idx="55">
                  <c:v>7.1502346315847932E-3</c:v>
                </c:pt>
                <c:pt idx="56">
                  <c:v>7.1502346315847932E-3</c:v>
                </c:pt>
                <c:pt idx="57">
                  <c:v>7.1502346315847932E-3</c:v>
                </c:pt>
                <c:pt idx="58">
                  <c:v>7.1502346315847932E-3</c:v>
                </c:pt>
                <c:pt idx="59">
                  <c:v>7.1502346315847932E-3</c:v>
                </c:pt>
                <c:pt idx="60">
                  <c:v>7.1529965601545356E-3</c:v>
                </c:pt>
                <c:pt idx="61">
                  <c:v>7.1529965601545356E-3</c:v>
                </c:pt>
                <c:pt idx="62">
                  <c:v>7.1529965601545356E-3</c:v>
                </c:pt>
                <c:pt idx="63">
                  <c:v>7.1529965601545356E-3</c:v>
                </c:pt>
                <c:pt idx="64">
                  <c:v>8.7726616249843448E-3</c:v>
                </c:pt>
                <c:pt idx="65">
                  <c:v>9.0870352686600146E-3</c:v>
                </c:pt>
                <c:pt idx="66">
                  <c:v>9.0870352686600146E-3</c:v>
                </c:pt>
                <c:pt idx="67">
                  <c:v>9.2298464814322134E-3</c:v>
                </c:pt>
                <c:pt idx="68">
                  <c:v>9.2298464814322134E-3</c:v>
                </c:pt>
                <c:pt idx="69">
                  <c:v>9.2298464814322134E-3</c:v>
                </c:pt>
                <c:pt idx="70">
                  <c:v>1.0033745059989234E-2</c:v>
                </c:pt>
                <c:pt idx="71">
                  <c:v>1.0033745059989234E-2</c:v>
                </c:pt>
                <c:pt idx="72">
                  <c:v>1.0045413937470146E-2</c:v>
                </c:pt>
                <c:pt idx="73">
                  <c:v>1.0045413937470146E-2</c:v>
                </c:pt>
                <c:pt idx="74">
                  <c:v>1.0045944479232842E-2</c:v>
                </c:pt>
                <c:pt idx="75">
                  <c:v>1.0045944479232842E-2</c:v>
                </c:pt>
                <c:pt idx="76">
                  <c:v>1.0057619439310555E-2</c:v>
                </c:pt>
                <c:pt idx="77">
                  <c:v>1.0057619439310555E-2</c:v>
                </c:pt>
                <c:pt idx="78">
                  <c:v>1.0648785566685342E-2</c:v>
                </c:pt>
                <c:pt idx="79">
                  <c:v>1.1149389914262557E-2</c:v>
                </c:pt>
                <c:pt idx="80">
                  <c:v>1.1149389914262557E-2</c:v>
                </c:pt>
                <c:pt idx="81">
                  <c:v>1.1149944906621877E-2</c:v>
                </c:pt>
                <c:pt idx="82">
                  <c:v>1.1149944906621877E-2</c:v>
                </c:pt>
                <c:pt idx="83">
                  <c:v>1.1156050615956595E-2</c:v>
                </c:pt>
                <c:pt idx="84">
                  <c:v>1.1156050615956595E-2</c:v>
                </c:pt>
                <c:pt idx="85">
                  <c:v>1.1171598984970364E-2</c:v>
                </c:pt>
                <c:pt idx="86">
                  <c:v>1.1171598984970364E-2</c:v>
                </c:pt>
                <c:pt idx="87">
                  <c:v>1.2343108169679729E-2</c:v>
                </c:pt>
                <c:pt idx="88">
                  <c:v>1.2346009651893967E-2</c:v>
                </c:pt>
                <c:pt idx="89">
                  <c:v>1.2346009651893967E-2</c:v>
                </c:pt>
                <c:pt idx="90">
                  <c:v>1.2346009651893967E-2</c:v>
                </c:pt>
                <c:pt idx="91">
                  <c:v>1.2346589984399641E-2</c:v>
                </c:pt>
                <c:pt idx="92">
                  <c:v>1.2349491827242147E-2</c:v>
                </c:pt>
                <c:pt idx="93">
                  <c:v>1.2349491827242147E-2</c:v>
                </c:pt>
                <c:pt idx="94">
                  <c:v>1.2349491827242147E-2</c:v>
                </c:pt>
                <c:pt idx="95">
                  <c:v>1.3718028242037557E-2</c:v>
                </c:pt>
                <c:pt idx="96">
                  <c:v>1.6167219022488546E-2</c:v>
                </c:pt>
                <c:pt idx="97">
                  <c:v>1.8145404795420105E-2</c:v>
                </c:pt>
                <c:pt idx="98">
                  <c:v>1.8161279762021164E-2</c:v>
                </c:pt>
                <c:pt idx="99">
                  <c:v>1.8881532115443758E-2</c:v>
                </c:pt>
                <c:pt idx="100">
                  <c:v>1.8918093127143633E-2</c:v>
                </c:pt>
                <c:pt idx="101">
                  <c:v>1.8942015978641952E-2</c:v>
                </c:pt>
                <c:pt idx="102">
                  <c:v>1.9488232245999808E-2</c:v>
                </c:pt>
                <c:pt idx="103">
                  <c:v>2.0561880971144066E-2</c:v>
                </c:pt>
                <c:pt idx="104">
                  <c:v>2.0561880971144066E-2</c:v>
                </c:pt>
                <c:pt idx="105">
                  <c:v>2.0825070578061398E-2</c:v>
                </c:pt>
                <c:pt idx="106">
                  <c:v>2.2550290613481079E-2</c:v>
                </c:pt>
                <c:pt idx="107">
                  <c:v>2.2550290613481079E-2</c:v>
                </c:pt>
                <c:pt idx="108">
                  <c:v>2.4979631512148555E-2</c:v>
                </c:pt>
                <c:pt idx="109">
                  <c:v>2.5143147282978458E-2</c:v>
                </c:pt>
                <c:pt idx="110">
                  <c:v>2.7404588977240192E-2</c:v>
                </c:pt>
                <c:pt idx="111">
                  <c:v>3.0328582956694997E-2</c:v>
                </c:pt>
                <c:pt idx="112">
                  <c:v>3.0329459954035524E-2</c:v>
                </c:pt>
                <c:pt idx="113">
                  <c:v>3.0392635353589905E-2</c:v>
                </c:pt>
                <c:pt idx="114">
                  <c:v>3.223738368767478E-2</c:v>
                </c:pt>
                <c:pt idx="115">
                  <c:v>3.2273504354479648E-2</c:v>
                </c:pt>
                <c:pt idx="116">
                  <c:v>3.2649391199794493E-2</c:v>
                </c:pt>
                <c:pt idx="117">
                  <c:v>3.2942469530651108E-2</c:v>
                </c:pt>
                <c:pt idx="118">
                  <c:v>3.2942469530651108E-2</c:v>
                </c:pt>
                <c:pt idx="119">
                  <c:v>3.397528198799054E-2</c:v>
                </c:pt>
                <c:pt idx="120">
                  <c:v>3.5010134638948941E-2</c:v>
                </c:pt>
                <c:pt idx="121">
                  <c:v>3.5021403160159031E-2</c:v>
                </c:pt>
                <c:pt idx="122">
                  <c:v>3.50805912959882E-2</c:v>
                </c:pt>
                <c:pt idx="123">
                  <c:v>3.5089990625827239E-2</c:v>
                </c:pt>
                <c:pt idx="124">
                  <c:v>3.5090930624926332E-2</c:v>
                </c:pt>
                <c:pt idx="125">
                  <c:v>3.519816931949897E-2</c:v>
                </c:pt>
                <c:pt idx="126">
                  <c:v>3.5202876347245643E-2</c:v>
                </c:pt>
                <c:pt idx="127">
                  <c:v>3.5715848060370925E-2</c:v>
                </c:pt>
                <c:pt idx="128">
                  <c:v>3.830641998513272E-2</c:v>
                </c:pt>
                <c:pt idx="129">
                  <c:v>3.9261938667824729E-2</c:v>
                </c:pt>
                <c:pt idx="130">
                  <c:v>4.0148498227011664E-2</c:v>
                </c:pt>
                <c:pt idx="131">
                  <c:v>4.0219712994878302E-2</c:v>
                </c:pt>
                <c:pt idx="132">
                  <c:v>4.0443781605982831E-2</c:v>
                </c:pt>
                <c:pt idx="133">
                  <c:v>4.0444787744306418E-2</c:v>
                </c:pt>
                <c:pt idx="134">
                  <c:v>4.2194164203086755E-2</c:v>
                </c:pt>
                <c:pt idx="135">
                  <c:v>4.2350381590124879E-2</c:v>
                </c:pt>
                <c:pt idx="136">
                  <c:v>4.2350381590124879E-2</c:v>
                </c:pt>
                <c:pt idx="137">
                  <c:v>4.2350381590124879E-2</c:v>
                </c:pt>
                <c:pt idx="138">
                  <c:v>4.2458457109261161E-2</c:v>
                </c:pt>
                <c:pt idx="139">
                  <c:v>4.4211990534338809E-2</c:v>
                </c:pt>
                <c:pt idx="140">
                  <c:v>4.4606656656825359E-2</c:v>
                </c:pt>
                <c:pt idx="141">
                  <c:v>4.4720634030318375E-2</c:v>
                </c:pt>
                <c:pt idx="142">
                  <c:v>4.4757601224506609E-2</c:v>
                </c:pt>
                <c:pt idx="143">
                  <c:v>4.6523508710694085E-2</c:v>
                </c:pt>
                <c:pt idx="144">
                  <c:v>4.6800520603259711E-2</c:v>
                </c:pt>
                <c:pt idx="145">
                  <c:v>4.8644092830374512E-2</c:v>
                </c:pt>
                <c:pt idx="146">
                  <c:v>4.8644092830374512E-2</c:v>
                </c:pt>
                <c:pt idx="147">
                  <c:v>4.8644092830374512E-2</c:v>
                </c:pt>
                <c:pt idx="148">
                  <c:v>4.8644092830374512E-2</c:v>
                </c:pt>
                <c:pt idx="149">
                  <c:v>4.8645192587796676E-2</c:v>
                </c:pt>
                <c:pt idx="150">
                  <c:v>4.8645192587796676E-2</c:v>
                </c:pt>
                <c:pt idx="151">
                  <c:v>4.8900661211766908E-2</c:v>
                </c:pt>
                <c:pt idx="152">
                  <c:v>4.8901763770068621E-2</c:v>
                </c:pt>
                <c:pt idx="153">
                  <c:v>4.8939257904787696E-2</c:v>
                </c:pt>
                <c:pt idx="154">
                  <c:v>4.8940360883822392E-2</c:v>
                </c:pt>
                <c:pt idx="155">
                  <c:v>5.0079465943433148E-2</c:v>
                </c:pt>
                <c:pt idx="156">
                  <c:v>5.1497716148999749E-2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0D8-4783-B67C-9E2B5FB0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61032"/>
        <c:axId val="1"/>
      </c:scatterChart>
      <c:valAx>
        <c:axId val="606661032"/>
        <c:scaling>
          <c:orientation val="minMax"/>
          <c:max val="10000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23360184119682"/>
              <c:y val="0.8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56731875719217E-2"/>
              <c:y val="0.369186046511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61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173762945914845"/>
          <c:y val="0.93313953488372092"/>
          <c:w val="0.84349827387802068"/>
          <c:h val="0.991279069767441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Diagr.</a:t>
            </a:r>
          </a:p>
        </c:rich>
      </c:tx>
      <c:layout>
        <c:manualLayout>
          <c:xMode val="edge"/>
          <c:yMode val="edge"/>
          <c:x val="0.37128764844988432"/>
          <c:y val="1.262626262626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6089892239539"/>
          <c:y val="7.5757762581287927E-2"/>
          <c:w val="0.85478685602770477"/>
          <c:h val="0.775254437081846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(4)'!$H$21:$H$962</c:f>
              <c:numCache>
                <c:formatCode>0.0000</c:formatCode>
                <c:ptCount val="942"/>
                <c:pt idx="31">
                  <c:v>4.946929999277927E-3</c:v>
                </c:pt>
                <c:pt idx="78">
                  <c:v>7.5570600020000711E-3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5-4058-B86D-D5C0A19E7503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plus>
            <c:minus>
              <c:numRef>
                <c:f>'A (4)'!$D$21:$D$962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(4)'!$I$21:$I$962</c:f>
              <c:numCache>
                <c:formatCode>0.0000</c:formatCode>
                <c:ptCount val="942"/>
                <c:pt idx="8">
                  <c:v>-2.8549984563142061E-6</c:v>
                </c:pt>
                <c:pt idx="14">
                  <c:v>-3.2705500052543357E-4</c:v>
                </c:pt>
                <c:pt idx="15">
                  <c:v>-7.4812999810092151E-4</c:v>
                </c:pt>
                <c:pt idx="18">
                  <c:v>-1.248700064024888E-4</c:v>
                </c:pt>
                <c:pt idx="19">
                  <c:v>1.3165950003894977E-3</c:v>
                </c:pt>
                <c:pt idx="55">
                  <c:v>-1.5342154998506885E-2</c:v>
                </c:pt>
                <c:pt idx="57">
                  <c:v>-6.3421550003113225E-3</c:v>
                </c:pt>
                <c:pt idx="60">
                  <c:v>-1.3539284998842049E-2</c:v>
                </c:pt>
                <c:pt idx="64">
                  <c:v>-1.2606349991983734E-3</c:v>
                </c:pt>
                <c:pt idx="65">
                  <c:v>1.327070000115782E-2</c:v>
                </c:pt>
                <c:pt idx="104">
                  <c:v>1.4861809999274556E-2</c:v>
                </c:pt>
                <c:pt idx="107">
                  <c:v>2.1401799996965565E-2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5-4058-B86D-D5C0A19E7503}"/>
            </c:ext>
          </c:extLst>
        </c:ser>
        <c:ser>
          <c:idx val="3"/>
          <c:order val="2"/>
          <c:tx>
            <c:strRef>
              <c:f>'A (4)'!$J$20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'A (4)'!$D$21:$D$28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(4)'!$J$21:$J$962</c:f>
              <c:numCache>
                <c:formatCode>0.0000</c:formatCode>
                <c:ptCount val="942"/>
                <c:pt idx="0">
                  <c:v>-1.1800095002399758E-2</c:v>
                </c:pt>
                <c:pt idx="1">
                  <c:v>-1.2264370001503266E-2</c:v>
                </c:pt>
                <c:pt idx="2">
                  <c:v>-1.2461499994969927E-2</c:v>
                </c:pt>
                <c:pt idx="3">
                  <c:v>-1.1639374999504071E-2</c:v>
                </c:pt>
                <c:pt idx="52">
                  <c:v>5.5595749945496209E-3</c:v>
                </c:pt>
                <c:pt idx="53">
                  <c:v>7.0010400013416074E-3</c:v>
                </c:pt>
                <c:pt idx="54">
                  <c:v>6.3986000022850931E-3</c:v>
                </c:pt>
                <c:pt idx="68">
                  <c:v>3.7713000056101009E-3</c:v>
                </c:pt>
                <c:pt idx="71">
                  <c:v>9.9760349985444918E-3</c:v>
                </c:pt>
                <c:pt idx="72">
                  <c:v>8.7532249963260256E-3</c:v>
                </c:pt>
                <c:pt idx="75">
                  <c:v>1.03203700055019E-2</c:v>
                </c:pt>
                <c:pt idx="76">
                  <c:v>6.7975599959027022E-3</c:v>
                </c:pt>
                <c:pt idx="79">
                  <c:v>1.022615499823587E-2</c:v>
                </c:pt>
                <c:pt idx="82">
                  <c:v>9.7932999997283332E-3</c:v>
                </c:pt>
                <c:pt idx="83">
                  <c:v>1.083189500059234E-2</c:v>
                </c:pt>
                <c:pt idx="86">
                  <c:v>1.0411955001472961E-2</c:v>
                </c:pt>
                <c:pt idx="87">
                  <c:v>1.0132089999387972E-2</c:v>
                </c:pt>
                <c:pt idx="88">
                  <c:v>1.0467815001902636E-2</c:v>
                </c:pt>
                <c:pt idx="89">
                  <c:v>1.0867814999073744E-2</c:v>
                </c:pt>
                <c:pt idx="90">
                  <c:v>1.1267815003520809E-2</c:v>
                </c:pt>
                <c:pt idx="91">
                  <c:v>1.0234959998342674E-2</c:v>
                </c:pt>
                <c:pt idx="92">
                  <c:v>1.1170685000251979E-2</c:v>
                </c:pt>
                <c:pt idx="93">
                  <c:v>1.1370684995199554E-2</c:v>
                </c:pt>
                <c:pt idx="94">
                  <c:v>1.1670684994896874E-2</c:v>
                </c:pt>
                <c:pt idx="103">
                  <c:v>1.4861809999274556E-2</c:v>
                </c:pt>
                <c:pt idx="106">
                  <c:v>2.1401799996965565E-2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E5-4058-B86D-D5C0A19E7503}"/>
            </c:ext>
          </c:extLst>
        </c:ser>
        <c:ser>
          <c:idx val="4"/>
          <c:order val="3"/>
          <c:tx>
            <c:strRef>
              <c:f>'A (4)'!$K$20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(4)'!$K$21:$K$962</c:f>
              <c:numCache>
                <c:formatCode>0.0000</c:formatCode>
                <c:ptCount val="942"/>
                <c:pt idx="5">
                  <c:v>-2.8947399987373501E-3</c:v>
                </c:pt>
                <c:pt idx="29">
                  <c:v>4.3112050043419003E-3</c:v>
                </c:pt>
                <c:pt idx="30">
                  <c:v>4.6469299995806068E-3</c:v>
                </c:pt>
                <c:pt idx="32">
                  <c:v>5.8497999998508021E-3</c:v>
                </c:pt>
                <c:pt idx="33">
                  <c:v>5.8526700013317168E-3</c:v>
                </c:pt>
                <c:pt idx="34">
                  <c:v>5.0912649967358448E-3</c:v>
                </c:pt>
                <c:pt idx="35">
                  <c:v>4.0298599997186102E-3</c:v>
                </c:pt>
                <c:pt idx="36">
                  <c:v>4.8970049974741414E-3</c:v>
                </c:pt>
                <c:pt idx="37">
                  <c:v>3.151535005599726E-3</c:v>
                </c:pt>
                <c:pt idx="38">
                  <c:v>4.7344649938168004E-3</c:v>
                </c:pt>
                <c:pt idx="39">
                  <c:v>-1.2815930000215303E-2</c:v>
                </c:pt>
                <c:pt idx="40">
                  <c:v>8.6403349996544421E-3</c:v>
                </c:pt>
                <c:pt idx="41">
                  <c:v>5.203845001233276E-3</c:v>
                </c:pt>
                <c:pt idx="42">
                  <c:v>4.7067149935173802E-3</c:v>
                </c:pt>
                <c:pt idx="43">
                  <c:v>3.3738599959178828E-3</c:v>
                </c:pt>
                <c:pt idx="44">
                  <c:v>4.8754450035630725E-3</c:v>
                </c:pt>
                <c:pt idx="45">
                  <c:v>5.431259996839799E-3</c:v>
                </c:pt>
                <c:pt idx="46">
                  <c:v>5.399839996243827E-3</c:v>
                </c:pt>
                <c:pt idx="47">
                  <c:v>4.8669850002625026E-3</c:v>
                </c:pt>
                <c:pt idx="48">
                  <c:v>9.1027099988423288E-3</c:v>
                </c:pt>
                <c:pt idx="49">
                  <c:v>6.2760450018686242E-3</c:v>
                </c:pt>
                <c:pt idx="50">
                  <c:v>5.7061800034716725E-3</c:v>
                </c:pt>
                <c:pt idx="51">
                  <c:v>5.6090500002028421E-3</c:v>
                </c:pt>
                <c:pt idx="56">
                  <c:v>-1.034215500112623E-2</c:v>
                </c:pt>
                <c:pt idx="58">
                  <c:v>-4.3421549999038689E-3</c:v>
                </c:pt>
                <c:pt idx="59">
                  <c:v>-1.3421550029306673E-3</c:v>
                </c:pt>
                <c:pt idx="61">
                  <c:v>-4.5392850006464869E-3</c:v>
                </c:pt>
                <c:pt idx="62">
                  <c:v>-3.5392849968047813E-3</c:v>
                </c:pt>
                <c:pt idx="63">
                  <c:v>-2.5392850002390333E-3</c:v>
                </c:pt>
                <c:pt idx="66">
                  <c:v>2.4270699999760836E-2</c:v>
                </c:pt>
                <c:pt idx="67">
                  <c:v>3.0713000014657155E-3</c:v>
                </c:pt>
                <c:pt idx="69">
                  <c:v>4.4713000024785288E-3</c:v>
                </c:pt>
                <c:pt idx="70">
                  <c:v>9.6760350061231293E-3</c:v>
                </c:pt>
                <c:pt idx="73">
                  <c:v>9.9532247986644506E-3</c:v>
                </c:pt>
                <c:pt idx="74">
                  <c:v>9.2203698732191697E-3</c:v>
                </c:pt>
                <c:pt idx="77">
                  <c:v>6.7975600541103631E-3</c:v>
                </c:pt>
                <c:pt idx="80">
                  <c:v>1.0326154915674124E-2</c:v>
                </c:pt>
                <c:pt idx="81">
                  <c:v>9.6932998203556053E-3</c:v>
                </c:pt>
                <c:pt idx="84">
                  <c:v>1.1031895002815872E-2</c:v>
                </c:pt>
                <c:pt idx="85">
                  <c:v>1.0311955040378962E-2</c:v>
                </c:pt>
                <c:pt idx="95">
                  <c:v>1.6705619993444998E-2</c:v>
                </c:pt>
                <c:pt idx="96">
                  <c:v>5.2610750062740408E-3</c:v>
                </c:pt>
                <c:pt idx="102">
                  <c:v>1.8217195000033826E-2</c:v>
                </c:pt>
                <c:pt idx="105">
                  <c:v>1.9466865000140388E-2</c:v>
                </c:pt>
                <c:pt idx="109">
                  <c:v>2.5886039999022614E-2</c:v>
                </c:pt>
                <c:pt idx="110">
                  <c:v>3.4106240003893618E-2</c:v>
                </c:pt>
                <c:pt idx="111">
                  <c:v>3.373926999483956E-2</c:v>
                </c:pt>
                <c:pt idx="112">
                  <c:v>3.4106414997950196E-2</c:v>
                </c:pt>
                <c:pt idx="113">
                  <c:v>3.5340854999958538E-2</c:v>
                </c:pt>
                <c:pt idx="114">
                  <c:v>3.6665294996055309E-2</c:v>
                </c:pt>
                <c:pt idx="115">
                  <c:v>3.4651095003937371E-2</c:v>
                </c:pt>
                <c:pt idx="116">
                  <c:v>3.5016269997868221E-2</c:v>
                </c:pt>
                <c:pt idx="117">
                  <c:v>2.7726960004656576E-2</c:v>
                </c:pt>
                <c:pt idx="118">
                  <c:v>3.8146960003359709E-2</c:v>
                </c:pt>
                <c:pt idx="119">
                  <c:v>3.7607940001180395E-2</c:v>
                </c:pt>
                <c:pt idx="123">
                  <c:v>4.1346215002704412E-2</c:v>
                </c:pt>
                <c:pt idx="124">
                  <c:v>3.0513359997712541E-2</c:v>
                </c:pt>
                <c:pt idx="126">
                  <c:v>1.8933615006972104E-2</c:v>
                </c:pt>
                <c:pt idx="127">
                  <c:v>3.6963349994039163E-2</c:v>
                </c:pt>
                <c:pt idx="129">
                  <c:v>3.3645470000919886E-2</c:v>
                </c:pt>
                <c:pt idx="131">
                  <c:v>4.1224669999792241E-2</c:v>
                </c:pt>
                <c:pt idx="132">
                  <c:v>4.1878005002217833E-2</c:v>
                </c:pt>
                <c:pt idx="133">
                  <c:v>4.4045149996236432E-2</c:v>
                </c:pt>
                <c:pt idx="134">
                  <c:v>4.3301695004629437E-2</c:v>
                </c:pt>
                <c:pt idx="135">
                  <c:v>4.2547734992695041E-2</c:v>
                </c:pt>
                <c:pt idx="136">
                  <c:v>4.2847734992392361E-2</c:v>
                </c:pt>
                <c:pt idx="137">
                  <c:v>4.2847734992392361E-2</c:v>
                </c:pt>
                <c:pt idx="139">
                  <c:v>4.2964430002029985E-2</c:v>
                </c:pt>
                <c:pt idx="140">
                  <c:v>4.397380500449799E-2</c:v>
                </c:pt>
                <c:pt idx="141">
                  <c:v>4.7475464998569805E-2</c:v>
                </c:pt>
                <c:pt idx="142">
                  <c:v>4.4505539997771848E-2</c:v>
                </c:pt>
                <c:pt idx="143">
                  <c:v>4.5587660002638586E-2</c:v>
                </c:pt>
                <c:pt idx="144">
                  <c:v>4.9863924999954179E-2</c:v>
                </c:pt>
                <c:pt idx="145">
                  <c:v>4.8973264994856436E-2</c:v>
                </c:pt>
                <c:pt idx="146">
                  <c:v>4.9073264999606181E-2</c:v>
                </c:pt>
                <c:pt idx="147">
                  <c:v>4.9173264997079968E-2</c:v>
                </c:pt>
                <c:pt idx="148">
                  <c:v>4.9373264999303501E-2</c:v>
                </c:pt>
                <c:pt idx="149">
                  <c:v>4.8040410001704004E-2</c:v>
                </c:pt>
                <c:pt idx="150">
                  <c:v>4.8640410001098644E-2</c:v>
                </c:pt>
                <c:pt idx="151">
                  <c:v>4.5448050004779361E-2</c:v>
                </c:pt>
                <c:pt idx="152">
                  <c:v>5.0015194996376522E-2</c:v>
                </c:pt>
                <c:pt idx="153">
                  <c:v>5.0098125000658911E-2</c:v>
                </c:pt>
                <c:pt idx="154">
                  <c:v>4.9365269995178096E-2</c:v>
                </c:pt>
                <c:pt idx="155">
                  <c:v>5.9223185002338141E-2</c:v>
                </c:pt>
                <c:pt idx="156">
                  <c:v>4.6927319999667816E-2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E5-4058-B86D-D5C0A19E7503}"/>
            </c:ext>
          </c:extLst>
        </c:ser>
        <c:ser>
          <c:idx val="2"/>
          <c:order val="4"/>
          <c:tx>
            <c:strRef>
              <c:f>'A (4)'!$L$20</c:f>
              <c:strCache>
                <c:ptCount val="1"/>
                <c:pt idx="0">
                  <c:v>Xiang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(4)'!$L$21:$L$962</c:f>
              <c:numCache>
                <c:formatCode>0.0000</c:formatCode>
                <c:ptCount val="942"/>
                <c:pt idx="0">
                  <c:v>-1.1800095002399758E-2</c:v>
                </c:pt>
                <c:pt idx="1">
                  <c:v>-1.2264370001503266E-2</c:v>
                </c:pt>
                <c:pt idx="2">
                  <c:v>-1.2461499994969927E-2</c:v>
                </c:pt>
                <c:pt idx="3">
                  <c:v>-1.1639374999504071E-2</c:v>
                </c:pt>
                <c:pt idx="4">
                  <c:v>-1.1789119998866227E-2</c:v>
                </c:pt>
                <c:pt idx="5">
                  <c:v>-2.8947399987373501E-3</c:v>
                </c:pt>
                <c:pt idx="6">
                  <c:v>-2.9918700020061806E-3</c:v>
                </c:pt>
                <c:pt idx="7">
                  <c:v>-4.0890000018407591E-3</c:v>
                </c:pt>
                <c:pt idx="8">
                  <c:v>-2.8549984563142061E-6</c:v>
                </c:pt>
                <c:pt idx="9">
                  <c:v>-4.8117999540409073E-4</c:v>
                </c:pt>
                <c:pt idx="10">
                  <c:v>-5.1403500401647761E-4</c:v>
                </c:pt>
                <c:pt idx="14">
                  <c:v>-3.2705500052543357E-4</c:v>
                </c:pt>
                <c:pt idx="15">
                  <c:v>-7.4812999810092151E-4</c:v>
                </c:pt>
                <c:pt idx="18">
                  <c:v>-1.248700064024888E-4</c:v>
                </c:pt>
                <c:pt idx="19">
                  <c:v>1.3165950003894977E-3</c:v>
                </c:pt>
                <c:pt idx="24">
                  <c:v>8.303499998874031E-4</c:v>
                </c:pt>
                <c:pt idx="25">
                  <c:v>3.0041349964449182E-3</c:v>
                </c:pt>
                <c:pt idx="26">
                  <c:v>1.7342700011795387E-3</c:v>
                </c:pt>
                <c:pt idx="27">
                  <c:v>1.0253400032524951E-3</c:v>
                </c:pt>
                <c:pt idx="28">
                  <c:v>2.7282099981675856E-3</c:v>
                </c:pt>
                <c:pt idx="29">
                  <c:v>4.3112050043419003E-3</c:v>
                </c:pt>
                <c:pt idx="30">
                  <c:v>4.6469299995806068E-3</c:v>
                </c:pt>
                <c:pt idx="32">
                  <c:v>5.8497999998508021E-3</c:v>
                </c:pt>
                <c:pt idx="33">
                  <c:v>5.8526700013317168E-3</c:v>
                </c:pt>
                <c:pt idx="34">
                  <c:v>5.0912649967358448E-3</c:v>
                </c:pt>
                <c:pt idx="35">
                  <c:v>4.0298599997186102E-3</c:v>
                </c:pt>
                <c:pt idx="36">
                  <c:v>4.8970049974741414E-3</c:v>
                </c:pt>
                <c:pt idx="37">
                  <c:v>3.151535005599726E-3</c:v>
                </c:pt>
                <c:pt idx="38">
                  <c:v>4.7344649938168004E-3</c:v>
                </c:pt>
                <c:pt idx="40">
                  <c:v>8.6403349996544421E-3</c:v>
                </c:pt>
                <c:pt idx="41">
                  <c:v>5.203845001233276E-3</c:v>
                </c:pt>
                <c:pt idx="42">
                  <c:v>4.7067149935173802E-3</c:v>
                </c:pt>
                <c:pt idx="43">
                  <c:v>3.3738599959178828E-3</c:v>
                </c:pt>
                <c:pt idx="44">
                  <c:v>4.8754450035630725E-3</c:v>
                </c:pt>
                <c:pt idx="45">
                  <c:v>5.431259996839799E-3</c:v>
                </c:pt>
                <c:pt idx="46">
                  <c:v>5.399839996243827E-3</c:v>
                </c:pt>
                <c:pt idx="47">
                  <c:v>4.8669850002625026E-3</c:v>
                </c:pt>
                <c:pt idx="48">
                  <c:v>9.1027099988423288E-3</c:v>
                </c:pt>
                <c:pt idx="49">
                  <c:v>6.2760450018686242E-3</c:v>
                </c:pt>
                <c:pt idx="50">
                  <c:v>5.7061800034716725E-3</c:v>
                </c:pt>
                <c:pt idx="51">
                  <c:v>5.6090500002028421E-3</c:v>
                </c:pt>
                <c:pt idx="52">
                  <c:v>5.5595749945496209E-3</c:v>
                </c:pt>
                <c:pt idx="53">
                  <c:v>7.0010400013416074E-3</c:v>
                </c:pt>
                <c:pt idx="54">
                  <c:v>6.3986000022850931E-3</c:v>
                </c:pt>
                <c:pt idx="68">
                  <c:v>3.7713000056101009E-3</c:v>
                </c:pt>
                <c:pt idx="71">
                  <c:v>9.9760349985444918E-3</c:v>
                </c:pt>
                <c:pt idx="72">
                  <c:v>8.7532249963260256E-3</c:v>
                </c:pt>
                <c:pt idx="75">
                  <c:v>1.03203700055019E-2</c:v>
                </c:pt>
                <c:pt idx="76">
                  <c:v>6.7975599959027022E-3</c:v>
                </c:pt>
                <c:pt idx="79">
                  <c:v>1.022615499823587E-2</c:v>
                </c:pt>
                <c:pt idx="82">
                  <c:v>9.7932999997283332E-3</c:v>
                </c:pt>
                <c:pt idx="83">
                  <c:v>1.083189500059234E-2</c:v>
                </c:pt>
                <c:pt idx="86">
                  <c:v>1.0411955001472961E-2</c:v>
                </c:pt>
                <c:pt idx="87">
                  <c:v>1.0132089999387972E-2</c:v>
                </c:pt>
                <c:pt idx="89">
                  <c:v>1.0867814999073744E-2</c:v>
                </c:pt>
                <c:pt idx="91">
                  <c:v>1.0234959998342674E-2</c:v>
                </c:pt>
                <c:pt idx="93">
                  <c:v>1.1370684995199554E-2</c:v>
                </c:pt>
                <c:pt idx="102">
                  <c:v>1.8217195000033826E-2</c:v>
                </c:pt>
                <c:pt idx="105">
                  <c:v>1.9466865000140388E-2</c:v>
                </c:pt>
                <c:pt idx="109">
                  <c:v>2.5886039999022614E-2</c:v>
                </c:pt>
                <c:pt idx="111">
                  <c:v>3.373926999483956E-2</c:v>
                </c:pt>
                <c:pt idx="112">
                  <c:v>3.4106414997950196E-2</c:v>
                </c:pt>
                <c:pt idx="113">
                  <c:v>3.5340854999958538E-2</c:v>
                </c:pt>
                <c:pt idx="114">
                  <c:v>3.6665294996055309E-2</c:v>
                </c:pt>
                <c:pt idx="115">
                  <c:v>3.4651095003937371E-2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E5-4058-B86D-D5C0A19E7503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'A (4)'!$D$21:$D$78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(4)'!$M$21:$M$962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E5-4058-B86D-D5C0A19E7503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plus>
            <c:minus>
              <c:numRef>
                <c:f>'A (4)'!$D$21:$D$964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9">
                    <c:v>0</c:v>
                  </c:pt>
                  <c:pt idx="82">
                    <c:v>0</c:v>
                  </c:pt>
                  <c:pt idx="83">
                    <c:v>0</c:v>
                  </c:pt>
                  <c:pt idx="86">
                    <c:v>0</c:v>
                  </c:pt>
                  <c:pt idx="89">
                    <c:v>0</c:v>
                  </c:pt>
                  <c:pt idx="93">
                    <c:v>0</c:v>
                  </c:pt>
                  <c:pt idx="95">
                    <c:v>3.0000000000000001E-3</c:v>
                  </c:pt>
                  <c:pt idx="96">
                    <c:v>5.0000000000000001E-3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1E-3</c:v>
                  </c:pt>
                  <c:pt idx="105">
                    <c:v>1E-4</c:v>
                  </c:pt>
                  <c:pt idx="110">
                    <c:v>0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7">
                    <c:v>0</c:v>
                  </c:pt>
                  <c:pt idx="118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1.6999999999999999E-3</c:v>
                  </c:pt>
                  <c:pt idx="124">
                    <c:v>2.2000000000000001E-3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2.0000000000000001E-4</c:v>
                  </c:pt>
                  <c:pt idx="129">
                    <c:v>0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1.1000000000000001E-3</c:v>
                  </c:pt>
                  <c:pt idx="133">
                    <c:v>8.0000000000000004E-4</c:v>
                  </c:pt>
                  <c:pt idx="134">
                    <c:v>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4.0999999999999999E-4</c:v>
                  </c:pt>
                  <c:pt idx="142">
                    <c:v>1.7000000000000001E-4</c:v>
                  </c:pt>
                  <c:pt idx="143">
                    <c:v>1E-4</c:v>
                  </c:pt>
                  <c:pt idx="144">
                    <c:v>1.1199999999999999E-3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2.9999999999999997E-4</c:v>
                  </c:pt>
                  <c:pt idx="150">
                    <c:v>2.0000000000000001E-4</c:v>
                  </c:pt>
                  <c:pt idx="151">
                    <c:v>1.6999999999999999E-3</c:v>
                  </c:pt>
                  <c:pt idx="152">
                    <c:v>1.2999999999999999E-3</c:v>
                  </c:pt>
                  <c:pt idx="153">
                    <c:v>1.2999999999999999E-3</c:v>
                  </c:pt>
                  <c:pt idx="154">
                    <c:v>2.9999999999999997E-4</c:v>
                  </c:pt>
                  <c:pt idx="155">
                    <c:v>1.6999999999999999E-3</c:v>
                  </c:pt>
                  <c:pt idx="156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(4)'!$N$21:$N$962</c:f>
              <c:numCache>
                <c:formatCode>0.0000</c:formatCode>
                <c:ptCount val="942"/>
                <c:pt idx="23">
                  <c:v>2.8121500508859754E-4</c:v>
                </c:pt>
                <c:pt idx="130">
                  <c:v>4.1237375000491738E-2</c:v>
                </c:pt>
                <c:pt idx="138">
                  <c:v>4.2057960003148764E-2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E5-4058-B86D-D5C0A19E7503}"/>
            </c:ext>
          </c:extLst>
        </c:ser>
        <c:ser>
          <c:idx val="7"/>
          <c:order val="7"/>
          <c:tx>
            <c:strRef>
              <c:f>'A (4)'!$O$20</c:f>
              <c:strCache>
                <c:ptCount val="1"/>
                <c:pt idx="0">
                  <c:v>??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(4)'!$O$21:$O$962</c:f>
              <c:numCache>
                <c:formatCode>0.0000</c:formatCode>
                <c:ptCount val="942"/>
                <c:pt idx="4">
                  <c:v>-1.1789119998866227E-2</c:v>
                </c:pt>
                <c:pt idx="6">
                  <c:v>-2.9918700020061806E-3</c:v>
                </c:pt>
                <c:pt idx="7">
                  <c:v>-4.0890000018407591E-3</c:v>
                </c:pt>
                <c:pt idx="9">
                  <c:v>-4.8117999540409073E-4</c:v>
                </c:pt>
                <c:pt idx="10">
                  <c:v>-5.1403500401647761E-4</c:v>
                </c:pt>
                <c:pt idx="11">
                  <c:v>7.1120950015028939E-3</c:v>
                </c:pt>
                <c:pt idx="12">
                  <c:v>-1.2563510004838463E-2</c:v>
                </c:pt>
                <c:pt idx="13">
                  <c:v>-1.3009515001613181E-2</c:v>
                </c:pt>
                <c:pt idx="16">
                  <c:v>-2.9366499948082492E-3</c:v>
                </c:pt>
                <c:pt idx="17">
                  <c:v>-8.0938499741023406E-4</c:v>
                </c:pt>
                <c:pt idx="20">
                  <c:v>8.7838899999042042E-3</c:v>
                </c:pt>
                <c:pt idx="21">
                  <c:v>1.3422484997136053E-2</c:v>
                </c:pt>
                <c:pt idx="22">
                  <c:v>1.502822499605827E-2</c:v>
                </c:pt>
                <c:pt idx="24">
                  <c:v>8.303499998874031E-4</c:v>
                </c:pt>
                <c:pt idx="25">
                  <c:v>3.0041349964449182E-3</c:v>
                </c:pt>
                <c:pt idx="26">
                  <c:v>1.7342700011795387E-3</c:v>
                </c:pt>
                <c:pt idx="27">
                  <c:v>1.0253400032524951E-3</c:v>
                </c:pt>
                <c:pt idx="28">
                  <c:v>2.7282099981675856E-3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E5-4058-B86D-D5C0A19E7503}"/>
            </c:ext>
          </c:extLst>
        </c:ser>
        <c:ser>
          <c:idx val="8"/>
          <c:order val="8"/>
          <c:tx>
            <c:strRef>
              <c:f>'A (4)'!$P$20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(4)'!$P$21:$P$962</c:f>
              <c:numCache>
                <c:formatCode>0.0000</c:formatCode>
                <c:ptCount val="942"/>
                <c:pt idx="68">
                  <c:v>1.2006348671328541E-3</c:v>
                </c:pt>
                <c:pt idx="71">
                  <c:v>2.7047267214451651E-3</c:v>
                </c:pt>
                <c:pt idx="72">
                  <c:v>2.7261719714742477E-3</c:v>
                </c:pt>
                <c:pt idx="75">
                  <c:v>2.7271467555664772E-3</c:v>
                </c:pt>
                <c:pt idx="76">
                  <c:v>2.7485920055955564E-3</c:v>
                </c:pt>
                <c:pt idx="79">
                  <c:v>4.708882815071945E-3</c:v>
                </c:pt>
                <c:pt idx="82">
                  <c:v>4.7098575991641745E-3</c:v>
                </c:pt>
                <c:pt idx="83">
                  <c:v>4.7205802241787158E-3</c:v>
                </c:pt>
                <c:pt idx="86">
                  <c:v>4.7478741787611821E-3</c:v>
                </c:pt>
                <c:pt idx="89">
                  <c:v>6.7637276814947293E-3</c:v>
                </c:pt>
                <c:pt idx="93">
                  <c:v>6.769576386048113E-3</c:v>
                </c:pt>
                <c:pt idx="102">
                  <c:v>1.7529243196093044E-2</c:v>
                </c:pt>
                <c:pt idx="103">
                  <c:v>1.8978747141240426E-2</c:v>
                </c:pt>
                <c:pt idx="104">
                  <c:v>1.8978747141240426E-2</c:v>
                </c:pt>
                <c:pt idx="105">
                  <c:v>1.9328694630351327E-2</c:v>
                </c:pt>
                <c:pt idx="106">
                  <c:v>2.1573622394759143E-2</c:v>
                </c:pt>
                <c:pt idx="107">
                  <c:v>2.1573622394759143E-2</c:v>
                </c:pt>
                <c:pt idx="109">
                  <c:v>2.4802107308227954E-2</c:v>
                </c:pt>
                <c:pt idx="111">
                  <c:v>3.0820424293661677E-2</c:v>
                </c:pt>
                <c:pt idx="112">
                  <c:v>3.0821399077753907E-2</c:v>
                </c:pt>
                <c:pt idx="113">
                  <c:v>3.0891583532394531E-2</c:v>
                </c:pt>
                <c:pt idx="114">
                  <c:v>3.2911336171497003E-2</c:v>
                </c:pt>
                <c:pt idx="115">
                  <c:v>3.2950327535186244E-2</c:v>
                </c:pt>
                <c:pt idx="123">
                  <c:v>3.5929267721043941E-2</c:v>
                </c:pt>
                <c:pt idx="124">
                  <c:v>3.593024250513617E-2</c:v>
                </c:pt>
                <c:pt idx="128">
                  <c:v>3.9194794430017534E-2</c:v>
                </c:pt>
                <c:pt idx="130">
                  <c:v>4.100594327338259E-2</c:v>
                </c:pt>
                <c:pt idx="132">
                  <c:v>4.129252979649848E-2</c:v>
                </c:pt>
                <c:pt idx="133">
                  <c:v>4.1293504580590716E-2</c:v>
                </c:pt>
                <c:pt idx="134">
                  <c:v>4.2971108003320123E-2</c:v>
                </c:pt>
                <c:pt idx="138">
                  <c:v>4.3221627515023474E-2</c:v>
                </c:pt>
                <c:pt idx="139">
                  <c:v>4.4865113494524815E-2</c:v>
                </c:pt>
                <c:pt idx="141">
                  <c:v>4.5335934211072342E-2</c:v>
                </c:pt>
                <c:pt idx="142">
                  <c:v>4.5370051654300435E-2</c:v>
                </c:pt>
                <c:pt idx="144">
                  <c:v>4.7234813622738188E-2</c:v>
                </c:pt>
                <c:pt idx="151">
                  <c:v>4.9111273000282708E-2</c:v>
                </c:pt>
                <c:pt idx="152">
                  <c:v>4.9112247784374945E-2</c:v>
                </c:pt>
                <c:pt idx="153">
                  <c:v>4.9145390443510788E-2</c:v>
                </c:pt>
                <c:pt idx="154">
                  <c:v>4.9146365227603024E-2</c:v>
                </c:pt>
                <c:pt idx="155">
                  <c:v>5.0147468490324178E-2</c:v>
                </c:pt>
                <c:pt idx="156">
                  <c:v>5.1378620798811843E-2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E5-4058-B86D-D5C0A19E7503}"/>
            </c:ext>
          </c:extLst>
        </c:ser>
        <c:ser>
          <c:idx val="9"/>
          <c:order val="9"/>
          <c:tx>
            <c:strRef>
              <c:f>'A (4)'!$Q$20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(4)'!$Q$21:$Q$962</c:f>
              <c:numCache>
                <c:formatCode>0.0000</c:formatCode>
                <c:ptCount val="942"/>
                <c:pt idx="0">
                  <c:v>-1.4396849284511364E-3</c:v>
                </c:pt>
                <c:pt idx="1">
                  <c:v>-1.4400503176192092E-3</c:v>
                </c:pt>
                <c:pt idx="2">
                  <c:v>-1.4404883879298009E-3</c:v>
                </c:pt>
                <c:pt idx="3">
                  <c:v>-1.4635706199865785E-3</c:v>
                </c:pt>
                <c:pt idx="4">
                  <c:v>-1.6281414032110614E-3</c:v>
                </c:pt>
                <c:pt idx="5">
                  <c:v>-4.1266940690417491E-4</c:v>
                </c:pt>
                <c:pt idx="6">
                  <c:v>-4.1162933406662582E-4</c:v>
                </c:pt>
                <c:pt idx="7">
                  <c:v>-4.1058882847515413E-4</c:v>
                </c:pt>
                <c:pt idx="8">
                  <c:v>2.9981271138378001E-7</c:v>
                </c:pt>
                <c:pt idx="9">
                  <c:v>2.3369153062471473E-5</c:v>
                </c:pt>
                <c:pt idx="10">
                  <c:v>2.3570453236699151E-5</c:v>
                </c:pt>
                <c:pt idx="11">
                  <c:v>6.2850063160345074E-5</c:v>
                </c:pt>
                <c:pt idx="12">
                  <c:v>7.325124701848647E-5</c:v>
                </c:pt>
                <c:pt idx="13">
                  <c:v>1.8340341403616327E-4</c:v>
                </c:pt>
                <c:pt idx="14">
                  <c:v>4.3313297043641333E-4</c:v>
                </c:pt>
                <c:pt idx="15">
                  <c:v>4.7032829432908416E-4</c:v>
                </c:pt>
                <c:pt idx="16">
                  <c:v>4.7576578675604818E-4</c:v>
                </c:pt>
                <c:pt idx="17">
                  <c:v>4.8870758161537154E-4</c:v>
                </c:pt>
                <c:pt idx="18">
                  <c:v>5.1310729985336084E-4</c:v>
                </c:pt>
                <c:pt idx="19">
                  <c:v>5.1699656067462959E-4</c:v>
                </c:pt>
                <c:pt idx="20">
                  <c:v>5.3327749752835843E-4</c:v>
                </c:pt>
                <c:pt idx="21">
                  <c:v>5.3580531764081175E-4</c:v>
                </c:pt>
                <c:pt idx="22">
                  <c:v>5.3856459847170649E-4</c:v>
                </c:pt>
                <c:pt idx="23">
                  <c:v>1.0384053300269941E-3</c:v>
                </c:pt>
                <c:pt idx="24">
                  <c:v>1.645796960734086E-3</c:v>
                </c:pt>
                <c:pt idx="25">
                  <c:v>1.7690310575044438E-3</c:v>
                </c:pt>
                <c:pt idx="26">
                  <c:v>1.7871490068789634E-3</c:v>
                </c:pt>
                <c:pt idx="27">
                  <c:v>2.131087952856249E-3</c:v>
                </c:pt>
                <c:pt idx="28">
                  <c:v>2.1329000586916367E-3</c:v>
                </c:pt>
                <c:pt idx="29">
                  <c:v>2.3569130762684807E-3</c:v>
                </c:pt>
                <c:pt idx="30">
                  <c:v>2.3584674315846317E-3</c:v>
                </c:pt>
                <c:pt idx="31">
                  <c:v>2.3584674315846317E-3</c:v>
                </c:pt>
                <c:pt idx="32">
                  <c:v>2.3603330546551082E-3</c:v>
                </c:pt>
                <c:pt idx="33">
                  <c:v>2.3621991104795076E-3</c:v>
                </c:pt>
                <c:pt idx="34">
                  <c:v>2.3656213367823438E-3</c:v>
                </c:pt>
                <c:pt idx="35">
                  <c:v>2.3690450176191975E-3</c:v>
                </c:pt>
                <c:pt idx="36">
                  <c:v>2.3693563334572926E-3</c:v>
                </c:pt>
                <c:pt idx="37">
                  <c:v>2.4049251362768566E-3</c:v>
                </c:pt>
                <c:pt idx="38">
                  <c:v>2.4155636204050797E-3</c:v>
                </c:pt>
                <c:pt idx="39">
                  <c:v>2.783251639704653E-3</c:v>
                </c:pt>
                <c:pt idx="40">
                  <c:v>2.8676652690685671E-3</c:v>
                </c:pt>
                <c:pt idx="41">
                  <c:v>4.9192738709788516E-3</c:v>
                </c:pt>
                <c:pt idx="42">
                  <c:v>4.9216607461490449E-3</c:v>
                </c:pt>
                <c:pt idx="43">
                  <c:v>4.9220586007507096E-3</c:v>
                </c:pt>
                <c:pt idx="44">
                  <c:v>4.951134455237296E-3</c:v>
                </c:pt>
                <c:pt idx="45">
                  <c:v>4.9698884249914062E-3</c:v>
                </c:pt>
                <c:pt idx="46">
                  <c:v>4.9714857336597851E-3</c:v>
                </c:pt>
                <c:pt idx="47">
                  <c:v>4.9718850908792352E-3</c:v>
                </c:pt>
                <c:pt idx="48">
                  <c:v>4.9738820572906217E-3</c:v>
                </c:pt>
                <c:pt idx="49">
                  <c:v>5.0632523556334297E-3</c:v>
                </c:pt>
                <c:pt idx="50">
                  <c:v>5.0886087634935667E-3</c:v>
                </c:pt>
                <c:pt idx="51">
                  <c:v>5.091026147815301E-3</c:v>
                </c:pt>
                <c:pt idx="52">
                  <c:v>5.1901056215426164E-3</c:v>
                </c:pt>
                <c:pt idx="53">
                  <c:v>5.197007294439733E-3</c:v>
                </c:pt>
                <c:pt idx="54">
                  <c:v>5.8315351735269937E-3</c:v>
                </c:pt>
                <c:pt idx="55">
                  <c:v>7.1502346315847932E-3</c:v>
                </c:pt>
                <c:pt idx="56">
                  <c:v>7.1502346315847932E-3</c:v>
                </c:pt>
                <c:pt idx="57">
                  <c:v>7.1502346315847932E-3</c:v>
                </c:pt>
                <c:pt idx="58">
                  <c:v>7.1502346315847932E-3</c:v>
                </c:pt>
                <c:pt idx="59">
                  <c:v>7.1502346315847932E-3</c:v>
                </c:pt>
                <c:pt idx="60">
                  <c:v>7.1529965601545356E-3</c:v>
                </c:pt>
                <c:pt idx="61">
                  <c:v>7.1529965601545356E-3</c:v>
                </c:pt>
                <c:pt idx="62">
                  <c:v>7.1529965601545356E-3</c:v>
                </c:pt>
                <c:pt idx="63">
                  <c:v>7.1529965601545356E-3</c:v>
                </c:pt>
                <c:pt idx="64">
                  <c:v>8.7726616249843448E-3</c:v>
                </c:pt>
                <c:pt idx="65">
                  <c:v>9.0870352686600146E-3</c:v>
                </c:pt>
                <c:pt idx="66">
                  <c:v>9.0870352686600146E-3</c:v>
                </c:pt>
                <c:pt idx="67">
                  <c:v>9.2298464814322134E-3</c:v>
                </c:pt>
                <c:pt idx="68">
                  <c:v>9.2298464814322134E-3</c:v>
                </c:pt>
                <c:pt idx="69">
                  <c:v>9.2298464814322134E-3</c:v>
                </c:pt>
                <c:pt idx="70">
                  <c:v>1.0033745059989234E-2</c:v>
                </c:pt>
                <c:pt idx="71">
                  <c:v>1.0033745059989234E-2</c:v>
                </c:pt>
                <c:pt idx="72">
                  <c:v>1.0045413937470146E-2</c:v>
                </c:pt>
                <c:pt idx="73">
                  <c:v>1.0045413937470146E-2</c:v>
                </c:pt>
                <c:pt idx="74">
                  <c:v>1.0045944479232842E-2</c:v>
                </c:pt>
                <c:pt idx="75">
                  <c:v>1.0045944479232842E-2</c:v>
                </c:pt>
                <c:pt idx="76">
                  <c:v>1.0057619439310555E-2</c:v>
                </c:pt>
                <c:pt idx="77">
                  <c:v>1.0057619439310555E-2</c:v>
                </c:pt>
                <c:pt idx="78">
                  <c:v>1.0648785566685342E-2</c:v>
                </c:pt>
                <c:pt idx="79">
                  <c:v>1.1149389914262557E-2</c:v>
                </c:pt>
                <c:pt idx="80">
                  <c:v>1.1149389914262557E-2</c:v>
                </c:pt>
                <c:pt idx="81">
                  <c:v>1.1149944906621877E-2</c:v>
                </c:pt>
                <c:pt idx="82">
                  <c:v>1.1149944906621877E-2</c:v>
                </c:pt>
                <c:pt idx="83">
                  <c:v>1.1156050615956595E-2</c:v>
                </c:pt>
                <c:pt idx="84">
                  <c:v>1.1156050615956595E-2</c:v>
                </c:pt>
                <c:pt idx="85">
                  <c:v>1.1171598984970364E-2</c:v>
                </c:pt>
                <c:pt idx="86">
                  <c:v>1.1171598984970364E-2</c:v>
                </c:pt>
                <c:pt idx="87">
                  <c:v>1.2343108169679729E-2</c:v>
                </c:pt>
                <c:pt idx="88">
                  <c:v>1.2346009651893967E-2</c:v>
                </c:pt>
                <c:pt idx="89">
                  <c:v>1.2346009651893967E-2</c:v>
                </c:pt>
                <c:pt idx="90">
                  <c:v>1.2346009651893967E-2</c:v>
                </c:pt>
                <c:pt idx="91">
                  <c:v>1.2346589984399641E-2</c:v>
                </c:pt>
                <c:pt idx="92">
                  <c:v>1.2349491827242147E-2</c:v>
                </c:pt>
                <c:pt idx="93">
                  <c:v>1.2349491827242147E-2</c:v>
                </c:pt>
                <c:pt idx="94">
                  <c:v>1.2349491827242147E-2</c:v>
                </c:pt>
                <c:pt idx="95">
                  <c:v>1.3718028242037557E-2</c:v>
                </c:pt>
                <c:pt idx="96">
                  <c:v>1.6167219022488546E-2</c:v>
                </c:pt>
                <c:pt idx="97">
                  <c:v>1.8145404795420105E-2</c:v>
                </c:pt>
                <c:pt idx="98">
                  <c:v>1.8161279762021164E-2</c:v>
                </c:pt>
                <c:pt idx="99">
                  <c:v>1.8881532115443758E-2</c:v>
                </c:pt>
                <c:pt idx="100">
                  <c:v>1.8918093127143633E-2</c:v>
                </c:pt>
                <c:pt idx="101">
                  <c:v>1.8942015978641952E-2</c:v>
                </c:pt>
                <c:pt idx="102">
                  <c:v>1.9488232245999808E-2</c:v>
                </c:pt>
                <c:pt idx="103">
                  <c:v>2.0561880971144066E-2</c:v>
                </c:pt>
                <c:pt idx="104">
                  <c:v>2.0561880971144066E-2</c:v>
                </c:pt>
                <c:pt idx="105">
                  <c:v>2.0825070578061398E-2</c:v>
                </c:pt>
                <c:pt idx="106">
                  <c:v>2.2550290613481079E-2</c:v>
                </c:pt>
                <c:pt idx="107">
                  <c:v>2.2550290613481079E-2</c:v>
                </c:pt>
                <c:pt idx="108">
                  <c:v>2.4979631512148555E-2</c:v>
                </c:pt>
                <c:pt idx="109">
                  <c:v>2.5143147282978458E-2</c:v>
                </c:pt>
                <c:pt idx="110">
                  <c:v>2.7404588977240192E-2</c:v>
                </c:pt>
                <c:pt idx="111">
                  <c:v>3.0328582956694997E-2</c:v>
                </c:pt>
                <c:pt idx="112">
                  <c:v>3.0329459954035524E-2</c:v>
                </c:pt>
                <c:pt idx="113">
                  <c:v>3.0392635353589905E-2</c:v>
                </c:pt>
                <c:pt idx="114">
                  <c:v>3.223738368767478E-2</c:v>
                </c:pt>
                <c:pt idx="115">
                  <c:v>3.2273504354479648E-2</c:v>
                </c:pt>
                <c:pt idx="116">
                  <c:v>3.2649391199794493E-2</c:v>
                </c:pt>
                <c:pt idx="117">
                  <c:v>3.2942469530651108E-2</c:v>
                </c:pt>
                <c:pt idx="118">
                  <c:v>3.2942469530651108E-2</c:v>
                </c:pt>
                <c:pt idx="119">
                  <c:v>3.397528198799054E-2</c:v>
                </c:pt>
                <c:pt idx="120">
                  <c:v>3.5010134638948941E-2</c:v>
                </c:pt>
                <c:pt idx="121">
                  <c:v>3.5021403160159031E-2</c:v>
                </c:pt>
                <c:pt idx="122">
                  <c:v>3.50805912959882E-2</c:v>
                </c:pt>
                <c:pt idx="123">
                  <c:v>3.5089990625827239E-2</c:v>
                </c:pt>
                <c:pt idx="124">
                  <c:v>3.5090930624926332E-2</c:v>
                </c:pt>
                <c:pt idx="125">
                  <c:v>3.519816931949897E-2</c:v>
                </c:pt>
                <c:pt idx="126">
                  <c:v>3.5202876347245643E-2</c:v>
                </c:pt>
                <c:pt idx="127">
                  <c:v>3.5715848060370925E-2</c:v>
                </c:pt>
                <c:pt idx="128">
                  <c:v>3.830641998513272E-2</c:v>
                </c:pt>
                <c:pt idx="129">
                  <c:v>3.9261938667824729E-2</c:v>
                </c:pt>
                <c:pt idx="130">
                  <c:v>4.0148498227011664E-2</c:v>
                </c:pt>
                <c:pt idx="131">
                  <c:v>4.0219712994878302E-2</c:v>
                </c:pt>
                <c:pt idx="132">
                  <c:v>4.0443781605982831E-2</c:v>
                </c:pt>
                <c:pt idx="133">
                  <c:v>4.0444787744306418E-2</c:v>
                </c:pt>
                <c:pt idx="134">
                  <c:v>4.2194164203086755E-2</c:v>
                </c:pt>
                <c:pt idx="135">
                  <c:v>4.2350381590124879E-2</c:v>
                </c:pt>
                <c:pt idx="136">
                  <c:v>4.2350381590124879E-2</c:v>
                </c:pt>
                <c:pt idx="137">
                  <c:v>4.2350381590124879E-2</c:v>
                </c:pt>
                <c:pt idx="138">
                  <c:v>4.2458457109261161E-2</c:v>
                </c:pt>
                <c:pt idx="139">
                  <c:v>4.4211990534338809E-2</c:v>
                </c:pt>
                <c:pt idx="140">
                  <c:v>4.4606656656825359E-2</c:v>
                </c:pt>
                <c:pt idx="141">
                  <c:v>4.4720634030318375E-2</c:v>
                </c:pt>
                <c:pt idx="142">
                  <c:v>4.4757601224506609E-2</c:v>
                </c:pt>
                <c:pt idx="143">
                  <c:v>4.6523508710694085E-2</c:v>
                </c:pt>
                <c:pt idx="144">
                  <c:v>4.6800520603259711E-2</c:v>
                </c:pt>
                <c:pt idx="145">
                  <c:v>4.8644092830374512E-2</c:v>
                </c:pt>
                <c:pt idx="146">
                  <c:v>4.8644092830374512E-2</c:v>
                </c:pt>
                <c:pt idx="147">
                  <c:v>4.8644092830374512E-2</c:v>
                </c:pt>
                <c:pt idx="148">
                  <c:v>4.8644092830374512E-2</c:v>
                </c:pt>
                <c:pt idx="149">
                  <c:v>4.8645192587796676E-2</c:v>
                </c:pt>
                <c:pt idx="150">
                  <c:v>4.8645192587796676E-2</c:v>
                </c:pt>
                <c:pt idx="151">
                  <c:v>4.8900661211766908E-2</c:v>
                </c:pt>
                <c:pt idx="152">
                  <c:v>4.8901763770068621E-2</c:v>
                </c:pt>
                <c:pt idx="153">
                  <c:v>4.8939257904787696E-2</c:v>
                </c:pt>
                <c:pt idx="154">
                  <c:v>4.8940360883822392E-2</c:v>
                </c:pt>
                <c:pt idx="155">
                  <c:v>5.0079465943433148E-2</c:v>
                </c:pt>
                <c:pt idx="156">
                  <c:v>5.1497716148999749E-2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DE5-4058-B86D-D5C0A19E7503}"/>
            </c:ext>
          </c:extLst>
        </c:ser>
        <c:ser>
          <c:idx val="10"/>
          <c:order val="10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(4)'!$S$21:$S$962</c:f>
              <c:numCache>
                <c:formatCode>General</c:formatCode>
                <c:ptCount val="942"/>
                <c:pt idx="97" formatCode="0.0000">
                  <c:v>-2.2372055500454735E-2</c:v>
                </c:pt>
                <c:pt idx="98" formatCode="0.0000">
                  <c:v>-1.9153285000356846E-2</c:v>
                </c:pt>
                <c:pt idx="99" formatCode="0.0000">
                  <c:v>4.7725354001158848E-2</c:v>
                </c:pt>
                <c:pt idx="100" formatCode="0.0000">
                  <c:v>6.1959095997735858E-2</c:v>
                </c:pt>
                <c:pt idx="101" formatCode="0.0000">
                  <c:v>4.280423499585595E-2</c:v>
                </c:pt>
                <c:pt idx="108" formatCode="0.0000">
                  <c:v>9.9211730048409663E-3</c:v>
                </c:pt>
                <c:pt idx="120" formatCode="0.0000">
                  <c:v>1.2698890001047403E-2</c:v>
                </c:pt>
                <c:pt idx="121" formatCode="0.0000">
                  <c:v>-8.6056035994261038E-2</c:v>
                </c:pt>
                <c:pt idx="122" formatCode="0.0000">
                  <c:v>7.9468040996289346E-2</c:v>
                </c:pt>
                <c:pt idx="125" formatCode="0.0000">
                  <c:v>4.060826200293377E-2</c:v>
                </c:pt>
                <c:pt idx="128" formatCode="0.0000">
                  <c:v>1.8376634499873035E-2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DE5-4058-B86D-D5C0A19E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47584"/>
        <c:axId val="1"/>
      </c:scatterChart>
      <c:valAx>
        <c:axId val="606647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2021863603683"/>
              <c:y val="0.8939415148863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  <c:max val="0.06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4851485148514851E-2"/>
              <c:y val="0.386364696837137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475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016518974732118"/>
          <c:y val="0.89394151488639673"/>
          <c:w val="0.92244363018979059"/>
          <c:h val="0.99242662848962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Residuals</a:t>
            </a:r>
          </a:p>
        </c:rich>
      </c:tx>
      <c:layout>
        <c:manualLayout>
          <c:xMode val="edge"/>
          <c:yMode val="edge"/>
          <c:x val="0.41217016070465357"/>
          <c:y val="1.7006802721088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6907507370471E-2"/>
          <c:y val="9.8639783428277228E-2"/>
          <c:w val="0.89896720889647819"/>
          <c:h val="0.70068259952500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(4)'!$W$20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(4)'!$W$21:$W$962</c:f>
              <c:numCache>
                <c:formatCode>0.0000</c:formatCode>
                <c:ptCount val="942"/>
                <c:pt idx="0">
                  <c:v>-1.0360410073948622E-2</c:v>
                </c:pt>
                <c:pt idx="1">
                  <c:v>-1.0824319683884058E-2</c:v>
                </c:pt>
                <c:pt idx="2">
                  <c:v>-1.1021011607040125E-2</c:v>
                </c:pt>
                <c:pt idx="3">
                  <c:v>-1.0175804379517492E-2</c:v>
                </c:pt>
                <c:pt idx="4">
                  <c:v>-1.0160978595655165E-2</c:v>
                </c:pt>
                <c:pt idx="5">
                  <c:v>-2.4820705918331752E-3</c:v>
                </c:pt>
                <c:pt idx="6">
                  <c:v>-2.5802406679395549E-3</c:v>
                </c:pt>
                <c:pt idx="7">
                  <c:v>-3.6784111733656048E-3</c:v>
                </c:pt>
                <c:pt idx="8">
                  <c:v>-3.1548111676979863E-6</c:v>
                </c:pt>
                <c:pt idx="9">
                  <c:v>-5.0454914846656226E-4</c:v>
                </c:pt>
                <c:pt idx="10">
                  <c:v>-5.3760545725317676E-4</c:v>
                </c:pt>
                <c:pt idx="11">
                  <c:v>7.0492449383425491E-3</c:v>
                </c:pt>
                <c:pt idx="12">
                  <c:v>-1.263676125185695E-2</c:v>
                </c:pt>
                <c:pt idx="13">
                  <c:v>-1.3192918415649344E-2</c:v>
                </c:pt>
                <c:pt idx="14">
                  <c:v>-7.601879709618469E-4</c:v>
                </c:pt>
                <c:pt idx="15">
                  <c:v>-1.2184582924300057E-3</c:v>
                </c:pt>
                <c:pt idx="16">
                  <c:v>-3.4124157815642975E-3</c:v>
                </c:pt>
                <c:pt idx="17">
                  <c:v>-1.2980925790256055E-3</c:v>
                </c:pt>
                <c:pt idx="18">
                  <c:v>-6.3797730625584964E-4</c:v>
                </c:pt>
                <c:pt idx="19">
                  <c:v>7.9959843971486814E-4</c:v>
                </c:pt>
                <c:pt idx="20">
                  <c:v>8.250612502375845E-3</c:v>
                </c:pt>
                <c:pt idx="21">
                  <c:v>1.2886679679495241E-2</c:v>
                </c:pt>
                <c:pt idx="22">
                  <c:v>1.4489660397586564E-2</c:v>
                </c:pt>
                <c:pt idx="23">
                  <c:v>-7.5719032493839654E-4</c:v>
                </c:pt>
                <c:pt idx="24">
                  <c:v>-8.1544696084668287E-4</c:v>
                </c:pt>
                <c:pt idx="25">
                  <c:v>1.2351039389404744E-3</c:v>
                </c:pt>
                <c:pt idx="26">
                  <c:v>-5.287900569942469E-5</c:v>
                </c:pt>
                <c:pt idx="27">
                  <c:v>-1.1057479496037539E-3</c:v>
                </c:pt>
                <c:pt idx="28">
                  <c:v>5.9530993947594889E-4</c:v>
                </c:pt>
                <c:pt idx="29">
                  <c:v>1.9542919280734197E-3</c:v>
                </c:pt>
                <c:pt idx="30">
                  <c:v>2.2884625679959751E-3</c:v>
                </c:pt>
                <c:pt idx="31">
                  <c:v>-2.3584674315846317E-3</c:v>
                </c:pt>
                <c:pt idx="32">
                  <c:v>3.4894669451956939E-3</c:v>
                </c:pt>
                <c:pt idx="33">
                  <c:v>3.4904708908522091E-3</c:v>
                </c:pt>
                <c:pt idx="34">
                  <c:v>2.725643659953501E-3</c:v>
                </c:pt>
                <c:pt idx="35">
                  <c:v>1.6608149820994127E-3</c:v>
                </c:pt>
                <c:pt idx="36">
                  <c:v>2.5276486640168488E-3</c:v>
                </c:pt>
                <c:pt idx="37">
                  <c:v>7.4660986932286941E-4</c:v>
                </c:pt>
                <c:pt idx="38">
                  <c:v>2.3189013734117208E-3</c:v>
                </c:pt>
                <c:pt idx="39">
                  <c:v>-1.5599181639919956E-2</c:v>
                </c:pt>
                <c:pt idx="40">
                  <c:v>5.772669730585875E-3</c:v>
                </c:pt>
                <c:pt idx="41">
                  <c:v>2.8457113025442439E-4</c:v>
                </c:pt>
                <c:pt idx="42">
                  <c:v>-2.149457526316647E-4</c:v>
                </c:pt>
                <c:pt idx="43">
                  <c:v>-1.5481986048328268E-3</c:v>
                </c:pt>
                <c:pt idx="44">
                  <c:v>-7.5689451674223508E-5</c:v>
                </c:pt>
                <c:pt idx="45">
                  <c:v>4.6137157184839277E-4</c:v>
                </c:pt>
                <c:pt idx="46">
                  <c:v>4.283542625840419E-4</c:v>
                </c:pt>
                <c:pt idx="47">
                  <c:v>-1.0490009061673265E-4</c:v>
                </c:pt>
                <c:pt idx="48">
                  <c:v>4.1288279415517071E-3</c:v>
                </c:pt>
                <c:pt idx="49">
                  <c:v>1.2127926462351946E-3</c:v>
                </c:pt>
                <c:pt idx="50">
                  <c:v>6.1757123997810588E-4</c:v>
                </c:pt>
                <c:pt idx="51">
                  <c:v>5.1802385238754103E-4</c:v>
                </c:pt>
                <c:pt idx="52">
                  <c:v>3.694693730070045E-4</c:v>
                </c:pt>
                <c:pt idx="53">
                  <c:v>1.8040327069018744E-3</c:v>
                </c:pt>
                <c:pt idx="54">
                  <c:v>5.6706482875809941E-4</c:v>
                </c:pt>
                <c:pt idx="55">
                  <c:v>-2.2492389630091678E-2</c:v>
                </c:pt>
                <c:pt idx="56">
                  <c:v>-1.7492389632711023E-2</c:v>
                </c:pt>
                <c:pt idx="57">
                  <c:v>-1.3492389631896116E-2</c:v>
                </c:pt>
                <c:pt idx="58">
                  <c:v>-1.1492389631488662E-2</c:v>
                </c:pt>
                <c:pt idx="59">
                  <c:v>-8.4923896345154605E-3</c:v>
                </c:pt>
                <c:pt idx="60">
                  <c:v>-2.0692281558996585E-2</c:v>
                </c:pt>
                <c:pt idx="61">
                  <c:v>-1.1692281560801022E-2</c:v>
                </c:pt>
                <c:pt idx="62">
                  <c:v>-1.0692281556959317E-2</c:v>
                </c:pt>
                <c:pt idx="63">
                  <c:v>-9.6922815603935689E-3</c:v>
                </c:pt>
                <c:pt idx="64">
                  <c:v>-1.0033296624182718E-2</c:v>
                </c:pt>
                <c:pt idx="65">
                  <c:v>4.1836647324978056E-3</c:v>
                </c:pt>
                <c:pt idx="66">
                  <c:v>1.5183664731100822E-2</c:v>
                </c:pt>
                <c:pt idx="67">
                  <c:v>-6.158546479966498E-3</c:v>
                </c:pt>
                <c:pt idx="68">
                  <c:v>-5.4585464758221125E-3</c:v>
                </c:pt>
                <c:pt idx="69">
                  <c:v>-4.7585464789536847E-3</c:v>
                </c:pt>
                <c:pt idx="70">
                  <c:v>-3.5771005386610495E-4</c:v>
                </c:pt>
                <c:pt idx="71">
                  <c:v>-5.7710061444742403E-5</c:v>
                </c:pt>
                <c:pt idx="72">
                  <c:v>-1.2921889411441206E-3</c:v>
                </c:pt>
                <c:pt idx="73">
                  <c:v>-9.218913880569557E-5</c:v>
                </c:pt>
                <c:pt idx="74">
                  <c:v>-8.2557460601367233E-4</c:v>
                </c:pt>
                <c:pt idx="75">
                  <c:v>2.7442552626905786E-4</c:v>
                </c:pt>
                <c:pt idx="76">
                  <c:v>-3.260059443407853E-3</c:v>
                </c:pt>
                <c:pt idx="77">
                  <c:v>-3.2600593852001921E-3</c:v>
                </c:pt>
                <c:pt idx="78">
                  <c:v>-3.0917255646852708E-3</c:v>
                </c:pt>
                <c:pt idx="79">
                  <c:v>-9.23234916026687E-4</c:v>
                </c:pt>
                <c:pt idx="80">
                  <c:v>-8.2323499858843324E-4</c:v>
                </c:pt>
                <c:pt idx="81">
                  <c:v>-1.4566450862662714E-3</c:v>
                </c:pt>
                <c:pt idx="82">
                  <c:v>-1.3566449068935435E-3</c:v>
                </c:pt>
                <c:pt idx="83">
                  <c:v>-3.2415561536425566E-4</c:v>
                </c:pt>
                <c:pt idx="84">
                  <c:v>-1.2415561314072301E-4</c:v>
                </c:pt>
                <c:pt idx="85">
                  <c:v>-8.5964394459140184E-4</c:v>
                </c:pt>
                <c:pt idx="86">
                  <c:v>-7.5964398349740239E-4</c:v>
                </c:pt>
                <c:pt idx="87">
                  <c:v>-2.2110181702917567E-3</c:v>
                </c:pt>
                <c:pt idx="88">
                  <c:v>-1.8781946499913313E-3</c:v>
                </c:pt>
                <c:pt idx="89">
                  <c:v>-1.4781946528202236E-3</c:v>
                </c:pt>
                <c:pt idx="90">
                  <c:v>-1.0781946483731583E-3</c:v>
                </c:pt>
                <c:pt idx="91">
                  <c:v>-2.1116299860569673E-3</c:v>
                </c:pt>
                <c:pt idx="92">
                  <c:v>-1.1788068269901683E-3</c:v>
                </c:pt>
                <c:pt idx="93">
                  <c:v>-9.7880683204259328E-4</c:v>
                </c:pt>
                <c:pt idx="94">
                  <c:v>-6.7880683234527311E-4</c:v>
                </c:pt>
                <c:pt idx="95">
                  <c:v>2.987591751407441E-3</c:v>
                </c:pt>
                <c:pt idx="96">
                  <c:v>-1.0906144016214505E-2</c:v>
                </c:pt>
                <c:pt idx="102">
                  <c:v>-1.2710372459659829E-3</c:v>
                </c:pt>
                <c:pt idx="103">
                  <c:v>-5.70007097186951E-3</c:v>
                </c:pt>
                <c:pt idx="104">
                  <c:v>-5.70007097186951E-3</c:v>
                </c:pt>
                <c:pt idx="105">
                  <c:v>-1.3582055779210109E-3</c:v>
                </c:pt>
                <c:pt idx="106">
                  <c:v>-1.1484906165155143E-3</c:v>
                </c:pt>
                <c:pt idx="107">
                  <c:v>-1.1484906165155143E-3</c:v>
                </c:pt>
                <c:pt idx="109">
                  <c:v>7.4289271604415646E-4</c:v>
                </c:pt>
                <c:pt idx="110">
                  <c:v>6.7016510266534254E-3</c:v>
                </c:pt>
                <c:pt idx="111">
                  <c:v>3.4106870381445629E-3</c:v>
                </c:pt>
                <c:pt idx="112">
                  <c:v>3.7769550439146725E-3</c:v>
                </c:pt>
                <c:pt idx="113">
                  <c:v>4.9482196463686325E-3</c:v>
                </c:pt>
                <c:pt idx="114">
                  <c:v>4.4279113083805291E-3</c:v>
                </c:pt>
                <c:pt idx="115">
                  <c:v>2.3775906494577226E-3</c:v>
                </c:pt>
                <c:pt idx="116">
                  <c:v>2.366878798073728E-3</c:v>
                </c:pt>
                <c:pt idx="117">
                  <c:v>-5.2155095259945328E-3</c:v>
                </c:pt>
                <c:pt idx="118">
                  <c:v>5.2044904727086005E-3</c:v>
                </c:pt>
                <c:pt idx="119">
                  <c:v>3.6326580131898559E-3</c:v>
                </c:pt>
                <c:pt idx="123">
                  <c:v>6.256224376877173E-3</c:v>
                </c:pt>
                <c:pt idx="124">
                  <c:v>-4.5775706272137909E-3</c:v>
                </c:pt>
                <c:pt idx="126">
                  <c:v>-1.6269261340273539E-2</c:v>
                </c:pt>
                <c:pt idx="127">
                  <c:v>1.247501933668238E-3</c:v>
                </c:pt>
                <c:pt idx="129">
                  <c:v>-5.6164686669048433E-3</c:v>
                </c:pt>
                <c:pt idx="130">
                  <c:v>1.0888767734800742E-3</c:v>
                </c:pt>
                <c:pt idx="131">
                  <c:v>1.0049570049139381E-3</c:v>
                </c:pt>
                <c:pt idx="132">
                  <c:v>1.4342233962350015E-3</c:v>
                </c:pt>
                <c:pt idx="133">
                  <c:v>3.6003622519300144E-3</c:v>
                </c:pt>
                <c:pt idx="134">
                  <c:v>1.1075308015426819E-3</c:v>
                </c:pt>
                <c:pt idx="135">
                  <c:v>1.9735340257016204E-4</c:v>
                </c:pt>
                <c:pt idx="136">
                  <c:v>4.973534022674822E-4</c:v>
                </c:pt>
                <c:pt idx="137">
                  <c:v>4.973534022674822E-4</c:v>
                </c:pt>
                <c:pt idx="138">
                  <c:v>-4.0049710611239631E-4</c:v>
                </c:pt>
                <c:pt idx="139">
                  <c:v>-1.2475605323088237E-3</c:v>
                </c:pt>
                <c:pt idx="140">
                  <c:v>-6.3285165232736945E-4</c:v>
                </c:pt>
                <c:pt idx="141">
                  <c:v>2.7548309682514302E-3</c:v>
                </c:pt>
                <c:pt idx="142">
                  <c:v>-2.5206122673476078E-4</c:v>
                </c:pt>
                <c:pt idx="143">
                  <c:v>-9.3584870805549919E-4</c:v>
                </c:pt>
                <c:pt idx="144">
                  <c:v>3.0634043966944677E-3</c:v>
                </c:pt>
                <c:pt idx="145">
                  <c:v>3.2917216448192371E-4</c:v>
                </c:pt>
                <c:pt idx="146">
                  <c:v>4.2917216923166884E-4</c:v>
                </c:pt>
                <c:pt idx="147">
                  <c:v>5.2917216670545636E-4</c:v>
                </c:pt>
                <c:pt idx="148">
                  <c:v>7.2917216892898901E-4</c:v>
                </c:pt>
                <c:pt idx="149">
                  <c:v>-6.0478258609267255E-4</c:v>
                </c:pt>
                <c:pt idx="150">
                  <c:v>-4.7825866980322207E-6</c:v>
                </c:pt>
                <c:pt idx="151">
                  <c:v>-3.4526112069875464E-3</c:v>
                </c:pt>
                <c:pt idx="152">
                  <c:v>1.113431226307901E-3</c:v>
                </c:pt>
                <c:pt idx="153">
                  <c:v>1.1588670958712147E-3</c:v>
                </c:pt>
                <c:pt idx="154">
                  <c:v>4.2490911135570353E-4</c:v>
                </c:pt>
                <c:pt idx="155">
                  <c:v>9.1437190589049935E-3</c:v>
                </c:pt>
                <c:pt idx="156">
                  <c:v>-4.5703961493319331E-3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E8-45B0-922F-B5DED3454C6B}"/>
            </c:ext>
          </c:extLst>
        </c:ser>
        <c:ser>
          <c:idx val="9"/>
          <c:order val="1"/>
          <c:tx>
            <c:strRef>
              <c:f>'A (4)'!$Q$20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(4)'!$F$21:$F$962</c:f>
              <c:numCache>
                <c:formatCode>General</c:formatCode>
                <c:ptCount val="942"/>
                <c:pt idx="0">
                  <c:v>-11355.5</c:v>
                </c:pt>
                <c:pt idx="1">
                  <c:v>-11353</c:v>
                </c:pt>
                <c:pt idx="2">
                  <c:v>-11350</c:v>
                </c:pt>
                <c:pt idx="3">
                  <c:v>-11187.5</c:v>
                </c:pt>
                <c:pt idx="4">
                  <c:v>-7128</c:v>
                </c:pt>
                <c:pt idx="5">
                  <c:v>-1106</c:v>
                </c:pt>
                <c:pt idx="6">
                  <c:v>-1103</c:v>
                </c:pt>
                <c:pt idx="7">
                  <c:v>-1100</c:v>
                </c:pt>
                <c:pt idx="8">
                  <c:v>0.5</c:v>
                </c:pt>
                <c:pt idx="9">
                  <c:v>58</c:v>
                </c:pt>
                <c:pt idx="10">
                  <c:v>58.5</c:v>
                </c:pt>
                <c:pt idx="11">
                  <c:v>155.5</c:v>
                </c:pt>
                <c:pt idx="12">
                  <c:v>181</c:v>
                </c:pt>
                <c:pt idx="13">
                  <c:v>446.5</c:v>
                </c:pt>
                <c:pt idx="14">
                  <c:v>1020.5</c:v>
                </c:pt>
                <c:pt idx="15">
                  <c:v>1103</c:v>
                </c:pt>
                <c:pt idx="16">
                  <c:v>1115</c:v>
                </c:pt>
                <c:pt idx="17">
                  <c:v>1143.5</c:v>
                </c:pt>
                <c:pt idx="18">
                  <c:v>1197</c:v>
                </c:pt>
                <c:pt idx="19">
                  <c:v>1205.5</c:v>
                </c:pt>
                <c:pt idx="20">
                  <c:v>1241</c:v>
                </c:pt>
                <c:pt idx="21">
                  <c:v>1246.5</c:v>
                </c:pt>
                <c:pt idx="22">
                  <c:v>1252.5</c:v>
                </c:pt>
                <c:pt idx="23">
                  <c:v>2283.5</c:v>
                </c:pt>
                <c:pt idx="24">
                  <c:v>3415</c:v>
                </c:pt>
                <c:pt idx="25">
                  <c:v>3631.5</c:v>
                </c:pt>
                <c:pt idx="26">
                  <c:v>3663</c:v>
                </c:pt>
                <c:pt idx="27">
                  <c:v>4246</c:v>
                </c:pt>
                <c:pt idx="28">
                  <c:v>4249</c:v>
                </c:pt>
                <c:pt idx="29">
                  <c:v>4614.5</c:v>
                </c:pt>
                <c:pt idx="30">
                  <c:v>4617</c:v>
                </c:pt>
                <c:pt idx="31">
                  <c:v>4617</c:v>
                </c:pt>
                <c:pt idx="32">
                  <c:v>4620</c:v>
                </c:pt>
                <c:pt idx="33">
                  <c:v>4623</c:v>
                </c:pt>
                <c:pt idx="34">
                  <c:v>4628.5</c:v>
                </c:pt>
                <c:pt idx="35">
                  <c:v>4634</c:v>
                </c:pt>
                <c:pt idx="36">
                  <c:v>4634.5</c:v>
                </c:pt>
                <c:pt idx="37">
                  <c:v>4691.5</c:v>
                </c:pt>
                <c:pt idx="38">
                  <c:v>4708.5</c:v>
                </c:pt>
                <c:pt idx="39">
                  <c:v>5283</c:v>
                </c:pt>
                <c:pt idx="40">
                  <c:v>5411.5</c:v>
                </c:pt>
                <c:pt idx="41">
                  <c:v>8230.5</c:v>
                </c:pt>
                <c:pt idx="42">
                  <c:v>8233.5</c:v>
                </c:pt>
                <c:pt idx="43">
                  <c:v>8234</c:v>
                </c:pt>
                <c:pt idx="44">
                  <c:v>8270.5</c:v>
                </c:pt>
                <c:pt idx="45">
                  <c:v>8294</c:v>
                </c:pt>
                <c:pt idx="46">
                  <c:v>8296</c:v>
                </c:pt>
                <c:pt idx="47">
                  <c:v>8296.5</c:v>
                </c:pt>
                <c:pt idx="48">
                  <c:v>8299</c:v>
                </c:pt>
                <c:pt idx="49">
                  <c:v>8410.5</c:v>
                </c:pt>
                <c:pt idx="50">
                  <c:v>8442</c:v>
                </c:pt>
                <c:pt idx="51">
                  <c:v>8445</c:v>
                </c:pt>
                <c:pt idx="52">
                  <c:v>8567.5</c:v>
                </c:pt>
                <c:pt idx="53">
                  <c:v>8576</c:v>
                </c:pt>
                <c:pt idx="54">
                  <c:v>9340</c:v>
                </c:pt>
                <c:pt idx="55">
                  <c:v>10830.5</c:v>
                </c:pt>
                <c:pt idx="56">
                  <c:v>10830.5</c:v>
                </c:pt>
                <c:pt idx="57">
                  <c:v>10830.5</c:v>
                </c:pt>
                <c:pt idx="58">
                  <c:v>10830.5</c:v>
                </c:pt>
                <c:pt idx="59">
                  <c:v>10830.5</c:v>
                </c:pt>
                <c:pt idx="60">
                  <c:v>10833.5</c:v>
                </c:pt>
                <c:pt idx="61">
                  <c:v>10833.5</c:v>
                </c:pt>
                <c:pt idx="62">
                  <c:v>10833.5</c:v>
                </c:pt>
                <c:pt idx="63">
                  <c:v>10833.5</c:v>
                </c:pt>
                <c:pt idx="64">
                  <c:v>12518.5</c:v>
                </c:pt>
                <c:pt idx="65">
                  <c:v>12830</c:v>
                </c:pt>
                <c:pt idx="66">
                  <c:v>12830</c:v>
                </c:pt>
                <c:pt idx="67">
                  <c:v>12970</c:v>
                </c:pt>
                <c:pt idx="68">
                  <c:v>12970</c:v>
                </c:pt>
                <c:pt idx="69">
                  <c:v>12970</c:v>
                </c:pt>
                <c:pt idx="70">
                  <c:v>13741.5</c:v>
                </c:pt>
                <c:pt idx="71">
                  <c:v>13741.5</c:v>
                </c:pt>
                <c:pt idx="72">
                  <c:v>13752.5</c:v>
                </c:pt>
                <c:pt idx="73">
                  <c:v>13752.5</c:v>
                </c:pt>
                <c:pt idx="74">
                  <c:v>13753</c:v>
                </c:pt>
                <c:pt idx="75">
                  <c:v>13753</c:v>
                </c:pt>
                <c:pt idx="76">
                  <c:v>13764</c:v>
                </c:pt>
                <c:pt idx="77">
                  <c:v>13764</c:v>
                </c:pt>
                <c:pt idx="78">
                  <c:v>14314</c:v>
                </c:pt>
                <c:pt idx="79">
                  <c:v>14769.5</c:v>
                </c:pt>
                <c:pt idx="80">
                  <c:v>14769.5</c:v>
                </c:pt>
                <c:pt idx="81">
                  <c:v>14770</c:v>
                </c:pt>
                <c:pt idx="82">
                  <c:v>14770</c:v>
                </c:pt>
                <c:pt idx="83">
                  <c:v>14775.5</c:v>
                </c:pt>
                <c:pt idx="84">
                  <c:v>14775.5</c:v>
                </c:pt>
                <c:pt idx="85">
                  <c:v>14789.5</c:v>
                </c:pt>
                <c:pt idx="86">
                  <c:v>14789.5</c:v>
                </c:pt>
                <c:pt idx="87">
                  <c:v>15821</c:v>
                </c:pt>
                <c:pt idx="88">
                  <c:v>15823.5</c:v>
                </c:pt>
                <c:pt idx="89">
                  <c:v>15823.5</c:v>
                </c:pt>
                <c:pt idx="90">
                  <c:v>15823.5</c:v>
                </c:pt>
                <c:pt idx="91">
                  <c:v>15824</c:v>
                </c:pt>
                <c:pt idx="92">
                  <c:v>15826.5</c:v>
                </c:pt>
                <c:pt idx="93">
                  <c:v>15826.5</c:v>
                </c:pt>
                <c:pt idx="94">
                  <c:v>15826.5</c:v>
                </c:pt>
                <c:pt idx="95">
                  <c:v>16978</c:v>
                </c:pt>
                <c:pt idx="96">
                  <c:v>18917.5</c:v>
                </c:pt>
                <c:pt idx="97">
                  <c:v>20388.5</c:v>
                </c:pt>
                <c:pt idx="98">
                  <c:v>20400</c:v>
                </c:pt>
                <c:pt idx="99">
                  <c:v>20917</c:v>
                </c:pt>
                <c:pt idx="100">
                  <c:v>20943</c:v>
                </c:pt>
                <c:pt idx="101">
                  <c:v>20960</c:v>
                </c:pt>
                <c:pt idx="102">
                  <c:v>21345.5</c:v>
                </c:pt>
                <c:pt idx="103">
                  <c:v>22089</c:v>
                </c:pt>
                <c:pt idx="104">
                  <c:v>22089</c:v>
                </c:pt>
                <c:pt idx="105">
                  <c:v>22268.5</c:v>
                </c:pt>
                <c:pt idx="106">
                  <c:v>23420</c:v>
                </c:pt>
                <c:pt idx="107">
                  <c:v>23420</c:v>
                </c:pt>
                <c:pt idx="108">
                  <c:v>24974</c:v>
                </c:pt>
                <c:pt idx="109">
                  <c:v>25076</c:v>
                </c:pt>
                <c:pt idx="110">
                  <c:v>26456</c:v>
                </c:pt>
                <c:pt idx="111">
                  <c:v>28163</c:v>
                </c:pt>
                <c:pt idx="112">
                  <c:v>28163.5</c:v>
                </c:pt>
                <c:pt idx="113">
                  <c:v>28199.5</c:v>
                </c:pt>
                <c:pt idx="114">
                  <c:v>29235.5</c:v>
                </c:pt>
                <c:pt idx="115">
                  <c:v>29255.5</c:v>
                </c:pt>
                <c:pt idx="116">
                  <c:v>29463</c:v>
                </c:pt>
                <c:pt idx="117">
                  <c:v>29624</c:v>
                </c:pt>
                <c:pt idx="118">
                  <c:v>29624</c:v>
                </c:pt>
                <c:pt idx="119">
                  <c:v>30186</c:v>
                </c:pt>
                <c:pt idx="120">
                  <c:v>30741</c:v>
                </c:pt>
                <c:pt idx="121">
                  <c:v>30747</c:v>
                </c:pt>
                <c:pt idx="122">
                  <c:v>30778.5</c:v>
                </c:pt>
                <c:pt idx="123">
                  <c:v>30783.5</c:v>
                </c:pt>
                <c:pt idx="124">
                  <c:v>30784</c:v>
                </c:pt>
                <c:pt idx="125">
                  <c:v>30841</c:v>
                </c:pt>
                <c:pt idx="126">
                  <c:v>30843.5</c:v>
                </c:pt>
                <c:pt idx="127">
                  <c:v>31115</c:v>
                </c:pt>
                <c:pt idx="128">
                  <c:v>32458.5</c:v>
                </c:pt>
                <c:pt idx="129">
                  <c:v>32943</c:v>
                </c:pt>
                <c:pt idx="130">
                  <c:v>33387.5</c:v>
                </c:pt>
                <c:pt idx="131">
                  <c:v>33423</c:v>
                </c:pt>
                <c:pt idx="132">
                  <c:v>33534.5</c:v>
                </c:pt>
                <c:pt idx="133">
                  <c:v>33535</c:v>
                </c:pt>
                <c:pt idx="134">
                  <c:v>34395.5</c:v>
                </c:pt>
                <c:pt idx="135">
                  <c:v>34471.5</c:v>
                </c:pt>
                <c:pt idx="136">
                  <c:v>34471.5</c:v>
                </c:pt>
                <c:pt idx="137">
                  <c:v>34471.5</c:v>
                </c:pt>
                <c:pt idx="138">
                  <c:v>34524</c:v>
                </c:pt>
                <c:pt idx="139">
                  <c:v>35367</c:v>
                </c:pt>
                <c:pt idx="140">
                  <c:v>35554.5</c:v>
                </c:pt>
                <c:pt idx="141">
                  <c:v>35608.5</c:v>
                </c:pt>
                <c:pt idx="142">
                  <c:v>35626</c:v>
                </c:pt>
                <c:pt idx="143">
                  <c:v>36454</c:v>
                </c:pt>
                <c:pt idx="144">
                  <c:v>36582.5</c:v>
                </c:pt>
                <c:pt idx="145">
                  <c:v>37428.5</c:v>
                </c:pt>
                <c:pt idx="146">
                  <c:v>37428.5</c:v>
                </c:pt>
                <c:pt idx="147">
                  <c:v>37428.5</c:v>
                </c:pt>
                <c:pt idx="148">
                  <c:v>37428.5</c:v>
                </c:pt>
                <c:pt idx="149">
                  <c:v>37429</c:v>
                </c:pt>
                <c:pt idx="150">
                  <c:v>37429</c:v>
                </c:pt>
                <c:pt idx="151">
                  <c:v>37545</c:v>
                </c:pt>
                <c:pt idx="152">
                  <c:v>37545.5</c:v>
                </c:pt>
                <c:pt idx="153">
                  <c:v>37562.5</c:v>
                </c:pt>
                <c:pt idx="154">
                  <c:v>37563</c:v>
                </c:pt>
                <c:pt idx="155">
                  <c:v>38076.5</c:v>
                </c:pt>
                <c:pt idx="156">
                  <c:v>38708</c:v>
                </c:pt>
              </c:numCache>
            </c:numRef>
          </c:xVal>
          <c:yVal>
            <c:numRef>
              <c:f>'A (4)'!$Q$21:$Q$962</c:f>
              <c:numCache>
                <c:formatCode>0.0000</c:formatCode>
                <c:ptCount val="942"/>
                <c:pt idx="0">
                  <c:v>-1.4396849284511364E-3</c:v>
                </c:pt>
                <c:pt idx="1">
                  <c:v>-1.4400503176192092E-3</c:v>
                </c:pt>
                <c:pt idx="2">
                  <c:v>-1.4404883879298009E-3</c:v>
                </c:pt>
                <c:pt idx="3">
                  <c:v>-1.4635706199865785E-3</c:v>
                </c:pt>
                <c:pt idx="4">
                  <c:v>-1.6281414032110614E-3</c:v>
                </c:pt>
                <c:pt idx="5">
                  <c:v>-4.1266940690417491E-4</c:v>
                </c:pt>
                <c:pt idx="6">
                  <c:v>-4.1162933406662582E-4</c:v>
                </c:pt>
                <c:pt idx="7">
                  <c:v>-4.1058882847515413E-4</c:v>
                </c:pt>
                <c:pt idx="8">
                  <c:v>2.9981271138378001E-7</c:v>
                </c:pt>
                <c:pt idx="9">
                  <c:v>2.3369153062471473E-5</c:v>
                </c:pt>
                <c:pt idx="10">
                  <c:v>2.3570453236699151E-5</c:v>
                </c:pt>
                <c:pt idx="11">
                  <c:v>6.2850063160345074E-5</c:v>
                </c:pt>
                <c:pt idx="12">
                  <c:v>7.325124701848647E-5</c:v>
                </c:pt>
                <c:pt idx="13">
                  <c:v>1.8340341403616327E-4</c:v>
                </c:pt>
                <c:pt idx="14">
                  <c:v>4.3313297043641333E-4</c:v>
                </c:pt>
                <c:pt idx="15">
                  <c:v>4.7032829432908416E-4</c:v>
                </c:pt>
                <c:pt idx="16">
                  <c:v>4.7576578675604818E-4</c:v>
                </c:pt>
                <c:pt idx="17">
                  <c:v>4.8870758161537154E-4</c:v>
                </c:pt>
                <c:pt idx="18">
                  <c:v>5.1310729985336084E-4</c:v>
                </c:pt>
                <c:pt idx="19">
                  <c:v>5.1699656067462959E-4</c:v>
                </c:pt>
                <c:pt idx="20">
                  <c:v>5.3327749752835843E-4</c:v>
                </c:pt>
                <c:pt idx="21">
                  <c:v>5.3580531764081175E-4</c:v>
                </c:pt>
                <c:pt idx="22">
                  <c:v>5.3856459847170649E-4</c:v>
                </c:pt>
                <c:pt idx="23">
                  <c:v>1.0384053300269941E-3</c:v>
                </c:pt>
                <c:pt idx="24">
                  <c:v>1.645796960734086E-3</c:v>
                </c:pt>
                <c:pt idx="25">
                  <c:v>1.7690310575044438E-3</c:v>
                </c:pt>
                <c:pt idx="26">
                  <c:v>1.7871490068789634E-3</c:v>
                </c:pt>
                <c:pt idx="27">
                  <c:v>2.131087952856249E-3</c:v>
                </c:pt>
                <c:pt idx="28">
                  <c:v>2.1329000586916367E-3</c:v>
                </c:pt>
                <c:pt idx="29">
                  <c:v>2.3569130762684807E-3</c:v>
                </c:pt>
                <c:pt idx="30">
                  <c:v>2.3584674315846317E-3</c:v>
                </c:pt>
                <c:pt idx="31">
                  <c:v>2.3584674315846317E-3</c:v>
                </c:pt>
                <c:pt idx="32">
                  <c:v>2.3603330546551082E-3</c:v>
                </c:pt>
                <c:pt idx="33">
                  <c:v>2.3621991104795076E-3</c:v>
                </c:pt>
                <c:pt idx="34">
                  <c:v>2.3656213367823438E-3</c:v>
                </c:pt>
                <c:pt idx="35">
                  <c:v>2.3690450176191975E-3</c:v>
                </c:pt>
                <c:pt idx="36">
                  <c:v>2.3693563334572926E-3</c:v>
                </c:pt>
                <c:pt idx="37">
                  <c:v>2.4049251362768566E-3</c:v>
                </c:pt>
                <c:pt idx="38">
                  <c:v>2.4155636204050797E-3</c:v>
                </c:pt>
                <c:pt idx="39">
                  <c:v>2.783251639704653E-3</c:v>
                </c:pt>
                <c:pt idx="40">
                  <c:v>2.8676652690685671E-3</c:v>
                </c:pt>
                <c:pt idx="41">
                  <c:v>4.9192738709788516E-3</c:v>
                </c:pt>
                <c:pt idx="42">
                  <c:v>4.9216607461490449E-3</c:v>
                </c:pt>
                <c:pt idx="43">
                  <c:v>4.9220586007507096E-3</c:v>
                </c:pt>
                <c:pt idx="44">
                  <c:v>4.951134455237296E-3</c:v>
                </c:pt>
                <c:pt idx="45">
                  <c:v>4.9698884249914062E-3</c:v>
                </c:pt>
                <c:pt idx="46">
                  <c:v>4.9714857336597851E-3</c:v>
                </c:pt>
                <c:pt idx="47">
                  <c:v>4.9718850908792352E-3</c:v>
                </c:pt>
                <c:pt idx="48">
                  <c:v>4.9738820572906217E-3</c:v>
                </c:pt>
                <c:pt idx="49">
                  <c:v>5.0632523556334297E-3</c:v>
                </c:pt>
                <c:pt idx="50">
                  <c:v>5.0886087634935667E-3</c:v>
                </c:pt>
                <c:pt idx="51">
                  <c:v>5.091026147815301E-3</c:v>
                </c:pt>
                <c:pt idx="52">
                  <c:v>5.1901056215426164E-3</c:v>
                </c:pt>
                <c:pt idx="53">
                  <c:v>5.197007294439733E-3</c:v>
                </c:pt>
                <c:pt idx="54">
                  <c:v>5.8315351735269937E-3</c:v>
                </c:pt>
                <c:pt idx="55">
                  <c:v>7.1502346315847932E-3</c:v>
                </c:pt>
                <c:pt idx="56">
                  <c:v>7.1502346315847932E-3</c:v>
                </c:pt>
                <c:pt idx="57">
                  <c:v>7.1502346315847932E-3</c:v>
                </c:pt>
                <c:pt idx="58">
                  <c:v>7.1502346315847932E-3</c:v>
                </c:pt>
                <c:pt idx="59">
                  <c:v>7.1502346315847932E-3</c:v>
                </c:pt>
                <c:pt idx="60">
                  <c:v>7.1529965601545356E-3</c:v>
                </c:pt>
                <c:pt idx="61">
                  <c:v>7.1529965601545356E-3</c:v>
                </c:pt>
                <c:pt idx="62">
                  <c:v>7.1529965601545356E-3</c:v>
                </c:pt>
                <c:pt idx="63">
                  <c:v>7.1529965601545356E-3</c:v>
                </c:pt>
                <c:pt idx="64">
                  <c:v>8.7726616249843448E-3</c:v>
                </c:pt>
                <c:pt idx="65">
                  <c:v>9.0870352686600146E-3</c:v>
                </c:pt>
                <c:pt idx="66">
                  <c:v>9.0870352686600146E-3</c:v>
                </c:pt>
                <c:pt idx="67">
                  <c:v>9.2298464814322134E-3</c:v>
                </c:pt>
                <c:pt idx="68">
                  <c:v>9.2298464814322134E-3</c:v>
                </c:pt>
                <c:pt idx="69">
                  <c:v>9.2298464814322134E-3</c:v>
                </c:pt>
                <c:pt idx="70">
                  <c:v>1.0033745059989234E-2</c:v>
                </c:pt>
                <c:pt idx="71">
                  <c:v>1.0033745059989234E-2</c:v>
                </c:pt>
                <c:pt idx="72">
                  <c:v>1.0045413937470146E-2</c:v>
                </c:pt>
                <c:pt idx="73">
                  <c:v>1.0045413937470146E-2</c:v>
                </c:pt>
                <c:pt idx="74">
                  <c:v>1.0045944479232842E-2</c:v>
                </c:pt>
                <c:pt idx="75">
                  <c:v>1.0045944479232842E-2</c:v>
                </c:pt>
                <c:pt idx="76">
                  <c:v>1.0057619439310555E-2</c:v>
                </c:pt>
                <c:pt idx="77">
                  <c:v>1.0057619439310555E-2</c:v>
                </c:pt>
                <c:pt idx="78">
                  <c:v>1.0648785566685342E-2</c:v>
                </c:pt>
                <c:pt idx="79">
                  <c:v>1.1149389914262557E-2</c:v>
                </c:pt>
                <c:pt idx="80">
                  <c:v>1.1149389914262557E-2</c:v>
                </c:pt>
                <c:pt idx="81">
                  <c:v>1.1149944906621877E-2</c:v>
                </c:pt>
                <c:pt idx="82">
                  <c:v>1.1149944906621877E-2</c:v>
                </c:pt>
                <c:pt idx="83">
                  <c:v>1.1156050615956595E-2</c:v>
                </c:pt>
                <c:pt idx="84">
                  <c:v>1.1156050615956595E-2</c:v>
                </c:pt>
                <c:pt idx="85">
                  <c:v>1.1171598984970364E-2</c:v>
                </c:pt>
                <c:pt idx="86">
                  <c:v>1.1171598984970364E-2</c:v>
                </c:pt>
                <c:pt idx="87">
                  <c:v>1.2343108169679729E-2</c:v>
                </c:pt>
                <c:pt idx="88">
                  <c:v>1.2346009651893967E-2</c:v>
                </c:pt>
                <c:pt idx="89">
                  <c:v>1.2346009651893967E-2</c:v>
                </c:pt>
                <c:pt idx="90">
                  <c:v>1.2346009651893967E-2</c:v>
                </c:pt>
                <c:pt idx="91">
                  <c:v>1.2346589984399641E-2</c:v>
                </c:pt>
                <c:pt idx="92">
                  <c:v>1.2349491827242147E-2</c:v>
                </c:pt>
                <c:pt idx="93">
                  <c:v>1.2349491827242147E-2</c:v>
                </c:pt>
                <c:pt idx="94">
                  <c:v>1.2349491827242147E-2</c:v>
                </c:pt>
                <c:pt idx="95">
                  <c:v>1.3718028242037557E-2</c:v>
                </c:pt>
                <c:pt idx="96">
                  <c:v>1.6167219022488546E-2</c:v>
                </c:pt>
                <c:pt idx="97">
                  <c:v>1.8145404795420105E-2</c:v>
                </c:pt>
                <c:pt idx="98">
                  <c:v>1.8161279762021164E-2</c:v>
                </c:pt>
                <c:pt idx="99">
                  <c:v>1.8881532115443758E-2</c:v>
                </c:pt>
                <c:pt idx="100">
                  <c:v>1.8918093127143633E-2</c:v>
                </c:pt>
                <c:pt idx="101">
                  <c:v>1.8942015978641952E-2</c:v>
                </c:pt>
                <c:pt idx="102">
                  <c:v>1.9488232245999808E-2</c:v>
                </c:pt>
                <c:pt idx="103">
                  <c:v>2.0561880971144066E-2</c:v>
                </c:pt>
                <c:pt idx="104">
                  <c:v>2.0561880971144066E-2</c:v>
                </c:pt>
                <c:pt idx="105">
                  <c:v>2.0825070578061398E-2</c:v>
                </c:pt>
                <c:pt idx="106">
                  <c:v>2.2550290613481079E-2</c:v>
                </c:pt>
                <c:pt idx="107">
                  <c:v>2.2550290613481079E-2</c:v>
                </c:pt>
                <c:pt idx="108">
                  <c:v>2.4979631512148555E-2</c:v>
                </c:pt>
                <c:pt idx="109">
                  <c:v>2.5143147282978458E-2</c:v>
                </c:pt>
                <c:pt idx="110">
                  <c:v>2.7404588977240192E-2</c:v>
                </c:pt>
                <c:pt idx="111">
                  <c:v>3.0328582956694997E-2</c:v>
                </c:pt>
                <c:pt idx="112">
                  <c:v>3.0329459954035524E-2</c:v>
                </c:pt>
                <c:pt idx="113">
                  <c:v>3.0392635353589905E-2</c:v>
                </c:pt>
                <c:pt idx="114">
                  <c:v>3.223738368767478E-2</c:v>
                </c:pt>
                <c:pt idx="115">
                  <c:v>3.2273504354479648E-2</c:v>
                </c:pt>
                <c:pt idx="116">
                  <c:v>3.2649391199794493E-2</c:v>
                </c:pt>
                <c:pt idx="117">
                  <c:v>3.2942469530651108E-2</c:v>
                </c:pt>
                <c:pt idx="118">
                  <c:v>3.2942469530651108E-2</c:v>
                </c:pt>
                <c:pt idx="119">
                  <c:v>3.397528198799054E-2</c:v>
                </c:pt>
                <c:pt idx="120">
                  <c:v>3.5010134638948941E-2</c:v>
                </c:pt>
                <c:pt idx="121">
                  <c:v>3.5021403160159031E-2</c:v>
                </c:pt>
                <c:pt idx="122">
                  <c:v>3.50805912959882E-2</c:v>
                </c:pt>
                <c:pt idx="123">
                  <c:v>3.5089990625827239E-2</c:v>
                </c:pt>
                <c:pt idx="124">
                  <c:v>3.5090930624926332E-2</c:v>
                </c:pt>
                <c:pt idx="125">
                  <c:v>3.519816931949897E-2</c:v>
                </c:pt>
                <c:pt idx="126">
                  <c:v>3.5202876347245643E-2</c:v>
                </c:pt>
                <c:pt idx="127">
                  <c:v>3.5715848060370925E-2</c:v>
                </c:pt>
                <c:pt idx="128">
                  <c:v>3.830641998513272E-2</c:v>
                </c:pt>
                <c:pt idx="129">
                  <c:v>3.9261938667824729E-2</c:v>
                </c:pt>
                <c:pt idx="130">
                  <c:v>4.0148498227011664E-2</c:v>
                </c:pt>
                <c:pt idx="131">
                  <c:v>4.0219712994878302E-2</c:v>
                </c:pt>
                <c:pt idx="132">
                  <c:v>4.0443781605982831E-2</c:v>
                </c:pt>
                <c:pt idx="133">
                  <c:v>4.0444787744306418E-2</c:v>
                </c:pt>
                <c:pt idx="134">
                  <c:v>4.2194164203086755E-2</c:v>
                </c:pt>
                <c:pt idx="135">
                  <c:v>4.2350381590124879E-2</c:v>
                </c:pt>
                <c:pt idx="136">
                  <c:v>4.2350381590124879E-2</c:v>
                </c:pt>
                <c:pt idx="137">
                  <c:v>4.2350381590124879E-2</c:v>
                </c:pt>
                <c:pt idx="138">
                  <c:v>4.2458457109261161E-2</c:v>
                </c:pt>
                <c:pt idx="139">
                  <c:v>4.4211990534338809E-2</c:v>
                </c:pt>
                <c:pt idx="140">
                  <c:v>4.4606656656825359E-2</c:v>
                </c:pt>
                <c:pt idx="141">
                  <c:v>4.4720634030318375E-2</c:v>
                </c:pt>
                <c:pt idx="142">
                  <c:v>4.4757601224506609E-2</c:v>
                </c:pt>
                <c:pt idx="143">
                  <c:v>4.6523508710694085E-2</c:v>
                </c:pt>
                <c:pt idx="144">
                  <c:v>4.6800520603259711E-2</c:v>
                </c:pt>
                <c:pt idx="145">
                  <c:v>4.8644092830374512E-2</c:v>
                </c:pt>
                <c:pt idx="146">
                  <c:v>4.8644092830374512E-2</c:v>
                </c:pt>
                <c:pt idx="147">
                  <c:v>4.8644092830374512E-2</c:v>
                </c:pt>
                <c:pt idx="148">
                  <c:v>4.8644092830374512E-2</c:v>
                </c:pt>
                <c:pt idx="149">
                  <c:v>4.8645192587796676E-2</c:v>
                </c:pt>
                <c:pt idx="150">
                  <c:v>4.8645192587796676E-2</c:v>
                </c:pt>
                <c:pt idx="151">
                  <c:v>4.8900661211766908E-2</c:v>
                </c:pt>
                <c:pt idx="152">
                  <c:v>4.8901763770068621E-2</c:v>
                </c:pt>
                <c:pt idx="153">
                  <c:v>4.8939257904787696E-2</c:v>
                </c:pt>
                <c:pt idx="154">
                  <c:v>4.8940360883822392E-2</c:v>
                </c:pt>
                <c:pt idx="155">
                  <c:v>5.0079465943433148E-2</c:v>
                </c:pt>
                <c:pt idx="156">
                  <c:v>5.1497716148999749E-2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E8-45B0-922F-B5DED3454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39056"/>
        <c:axId val="1"/>
      </c:scatterChart>
      <c:valAx>
        <c:axId val="60663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05535014208181"/>
              <c:y val="0.86734979556126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32950631458095E-2"/>
              <c:y val="0.346939846804863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39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316901259902786"/>
          <c:y val="0.92177192136697195"/>
          <c:w val="0.60964444886409863"/>
          <c:h val="0.989799489349545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Diagr.</a:t>
            </a:r>
          </a:p>
        </c:rich>
      </c:tx>
      <c:layout>
        <c:manualLayout>
          <c:xMode val="edge"/>
          <c:yMode val="edge"/>
          <c:x val="0.40370422215741547"/>
          <c:y val="1.5060240963855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47010328667934E-2"/>
          <c:y val="9.036144578313253E-2"/>
          <c:w val="0.89135909934304991"/>
          <c:h val="0.73192771084337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Active!$H$21:$H$962</c:f>
              <c:numCache>
                <c:formatCode>0.0000</c:formatCode>
                <c:ptCount val="942"/>
                <c:pt idx="31">
                  <c:v>2.5033254001755267E-2</c:v>
                </c:pt>
                <c:pt idx="79">
                  <c:v>6.0869529988849536E-3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09-488F-8345-B73672FD122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plus>
            <c:min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Active!$I$21:$I$962</c:f>
              <c:numCache>
                <c:formatCode>0.0000</c:formatCode>
                <c:ptCount val="942"/>
                <c:pt idx="8">
                  <c:v>3.0345948500325903E-2</c:v>
                </c:pt>
                <c:pt idx="9">
                  <c:v>2.9739801000687294E-2</c:v>
                </c:pt>
                <c:pt idx="10">
                  <c:v>2.9705834502237849E-2</c:v>
                </c:pt>
                <c:pt idx="11">
                  <c:v>3.7116333500307519E-2</c:v>
                </c:pt>
                <c:pt idx="12">
                  <c:v>1.7384041995683219E-2</c:v>
                </c:pt>
                <c:pt idx="13">
                  <c:v>1.634783050394617E-2</c:v>
                </c:pt>
                <c:pt idx="14">
                  <c:v>2.7754288501455449E-2</c:v>
                </c:pt>
                <c:pt idx="15">
                  <c:v>2.71498160000192E-2</c:v>
                </c:pt>
                <c:pt idx="16">
                  <c:v>2.4934620007115882E-2</c:v>
                </c:pt>
                <c:pt idx="17">
                  <c:v>2.6998529501724988E-2</c:v>
                </c:pt>
                <c:pt idx="18">
                  <c:v>2.7564113996049855E-2</c:v>
                </c:pt>
                <c:pt idx="19">
                  <c:v>2.8986683508264832E-2</c:v>
                </c:pt>
                <c:pt idx="20">
                  <c:v>3.6375062001752667E-2</c:v>
                </c:pt>
                <c:pt idx="21">
                  <c:v>4.1001430501637515E-2</c:v>
                </c:pt>
                <c:pt idx="22">
                  <c:v>4.2593832498823758E-2</c:v>
                </c:pt>
                <c:pt idx="55">
                  <c:v>-9.0684414972201921E-3</c:v>
                </c:pt>
                <c:pt idx="57">
                  <c:v>-6.8441499024629593E-5</c:v>
                </c:pt>
                <c:pt idx="60">
                  <c:v>-7.2722405020613223E-3</c:v>
                </c:pt>
                <c:pt idx="64">
                  <c:v>1.2606544987647794E-3</c:v>
                </c:pt>
                <c:pt idx="65">
                  <c:v>1.5099525000550784E-2</c:v>
                </c:pt>
                <c:pt idx="106">
                  <c:v>-3.8921220038901083E-3</c:v>
                </c:pt>
                <c:pt idx="109">
                  <c:v>-3.1094499718165025E-4</c:v>
                </c:pt>
                <c:pt idx="112">
                  <c:v>5.4444670022348873E-3</c:v>
                </c:pt>
                <c:pt idx="120">
                  <c:v>-8.7672769950586371E-3</c:v>
                </c:pt>
                <c:pt idx="122">
                  <c:v>2.232723003544379E-3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09-488F-8345-B73672FD122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Active!$J$21:$J$962</c:f>
              <c:numCache>
                <c:formatCode>0.0000</c:formatCode>
                <c:ptCount val="942"/>
                <c:pt idx="0">
                  <c:v>4.3793096498120576E-2</c:v>
                </c:pt>
                <c:pt idx="1">
                  <c:v>4.3323263998900075E-2</c:v>
                </c:pt>
                <c:pt idx="2">
                  <c:v>4.3119465000927448E-2</c:v>
                </c:pt>
                <c:pt idx="3">
                  <c:v>4.3580352503340691E-2</c:v>
                </c:pt>
                <c:pt idx="4">
                  <c:v>3.4406339000270236E-2</c:v>
                </c:pt>
                <c:pt idx="6">
                  <c:v>2.9810013998940121E-2</c:v>
                </c:pt>
                <c:pt idx="7">
                  <c:v>2.8706215001875535E-2</c:v>
                </c:pt>
                <c:pt idx="24">
                  <c:v>2.3588719996041618E-2</c:v>
                </c:pt>
                <c:pt idx="25">
                  <c:v>2.5281225498474669E-2</c:v>
                </c:pt>
                <c:pt idx="26">
                  <c:v>2.3941336003190372E-2</c:v>
                </c:pt>
                <c:pt idx="27">
                  <c:v>2.1936397002718877E-2</c:v>
                </c:pt>
                <c:pt idx="28">
                  <c:v>2.3632598000403959E-2</c:v>
                </c:pt>
                <c:pt idx="52">
                  <c:v>1.6863937496964354E-2</c:v>
                </c:pt>
                <c:pt idx="53">
                  <c:v>1.8286507001903374E-2</c:v>
                </c:pt>
                <c:pt idx="54">
                  <c:v>1.5985695004928857E-2</c:v>
                </c:pt>
                <c:pt idx="68">
                  <c:v>5.2889050057274289E-3</c:v>
                </c:pt>
                <c:pt idx="71">
                  <c:v>9.7785955003928393E-3</c:v>
                </c:pt>
                <c:pt idx="72">
                  <c:v>8.5313324962044135E-3</c:v>
                </c:pt>
                <c:pt idx="76">
                  <c:v>1.0097366008267272E-2</c:v>
                </c:pt>
                <c:pt idx="77">
                  <c:v>6.5501030039740726E-3</c:v>
                </c:pt>
                <c:pt idx="80">
                  <c:v>7.7434715058188885E-3</c:v>
                </c:pt>
                <c:pt idx="83">
                  <c:v>7.3095050029223785E-3</c:v>
                </c:pt>
                <c:pt idx="84">
                  <c:v>8.3358735064393841E-3</c:v>
                </c:pt>
                <c:pt idx="88">
                  <c:v>7.88481150084408E-3</c:v>
                </c:pt>
                <c:pt idx="89">
                  <c:v>5.3119219955988228E-3</c:v>
                </c:pt>
                <c:pt idx="90">
                  <c:v>5.6420895052724518E-3</c:v>
                </c:pt>
                <c:pt idx="91">
                  <c:v>6.0420895024435595E-3</c:v>
                </c:pt>
                <c:pt idx="92">
                  <c:v>6.4420895068906248E-3</c:v>
                </c:pt>
                <c:pt idx="93">
                  <c:v>5.4081230045994744E-3</c:v>
                </c:pt>
                <c:pt idx="94">
                  <c:v>6.338290506391786E-3</c:v>
                </c:pt>
                <c:pt idx="95">
                  <c:v>6.5382905013393611E-3</c:v>
                </c:pt>
                <c:pt idx="96">
                  <c:v>6.8382905010366812E-3</c:v>
                </c:pt>
                <c:pt idx="105">
                  <c:v>-3.8921220038901083E-3</c:v>
                </c:pt>
                <c:pt idx="108">
                  <c:v>-3.1094499718165025E-4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09-488F-8345-B73672FD122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Active!$K$21:$K$962</c:f>
              <c:numCache>
                <c:formatCode>0.0000</c:formatCode>
                <c:ptCount val="942"/>
                <c:pt idx="5">
                  <c:v>2.9913813006714918E-2</c:v>
                </c:pt>
                <c:pt idx="23">
                  <c:v>2.5554909501806833E-2</c:v>
                </c:pt>
                <c:pt idx="29">
                  <c:v>2.4403086506936233E-2</c:v>
                </c:pt>
                <c:pt idx="30">
                  <c:v>2.4733254002057947E-2</c:v>
                </c:pt>
                <c:pt idx="32">
                  <c:v>2.5929455005098134E-2</c:v>
                </c:pt>
                <c:pt idx="33">
                  <c:v>2.5925656002073083E-2</c:v>
                </c:pt>
                <c:pt idx="34">
                  <c:v>2.515202450013021E-2</c:v>
                </c:pt>
                <c:pt idx="35">
                  <c:v>2.4078392998490017E-2</c:v>
                </c:pt>
                <c:pt idx="36">
                  <c:v>2.4944426499132533E-2</c:v>
                </c:pt>
                <c:pt idx="37">
                  <c:v>2.30722455016803E-2</c:v>
                </c:pt>
                <c:pt idx="38">
                  <c:v>2.4617384500743356E-2</c:v>
                </c:pt>
                <c:pt idx="39">
                  <c:v>5.7898760060197674E-3</c:v>
                </c:pt>
                <c:pt idx="40">
                  <c:v>2.6960485505696852E-2</c:v>
                </c:pt>
                <c:pt idx="41">
                  <c:v>1.7257358500501141E-2</c:v>
                </c:pt>
                <c:pt idx="42">
                  <c:v>1.6753559495555237E-2</c:v>
                </c:pt>
                <c:pt idx="43">
                  <c:v>1.5419593000842724E-2</c:v>
                </c:pt>
                <c:pt idx="44">
                  <c:v>1.6840038500959054E-2</c:v>
                </c:pt>
                <c:pt idx="45">
                  <c:v>1.7343612998956814E-2</c:v>
                </c:pt>
                <c:pt idx="46">
                  <c:v>1.7307747002632823E-2</c:v>
                </c:pt>
                <c:pt idx="47">
                  <c:v>1.6773780502262525E-2</c:v>
                </c:pt>
                <c:pt idx="48">
                  <c:v>2.1003948000725359E-2</c:v>
                </c:pt>
                <c:pt idx="49">
                  <c:v>1.7929418507264927E-2</c:v>
                </c:pt>
                <c:pt idx="50">
                  <c:v>1.7289529001573101E-2</c:v>
                </c:pt>
                <c:pt idx="51">
                  <c:v>1.718573000835022E-2</c:v>
                </c:pt>
                <c:pt idx="56">
                  <c:v>-4.0684414998395368E-3</c:v>
                </c:pt>
                <c:pt idx="58">
                  <c:v>1.931558501382824E-3</c:v>
                </c:pt>
                <c:pt idx="59">
                  <c:v>4.9315584983560257E-3</c:v>
                </c:pt>
                <c:pt idx="61">
                  <c:v>1.7277594961342402E-3</c:v>
                </c:pt>
                <c:pt idx="62">
                  <c:v>2.7277594999759458E-3</c:v>
                </c:pt>
                <c:pt idx="63">
                  <c:v>3.7277594965416938E-3</c:v>
                </c:pt>
                <c:pt idx="66">
                  <c:v>2.60995249991538E-2</c:v>
                </c:pt>
                <c:pt idx="67">
                  <c:v>4.5889050015830435E-3</c:v>
                </c:pt>
                <c:pt idx="69">
                  <c:v>5.9889050025958568E-3</c:v>
                </c:pt>
                <c:pt idx="70">
                  <c:v>9.4785955079714768E-3</c:v>
                </c:pt>
                <c:pt idx="73">
                  <c:v>9.7313322985428385E-3</c:v>
                </c:pt>
                <c:pt idx="74">
                  <c:v>8.9973658759845421E-3</c:v>
                </c:pt>
                <c:pt idx="75">
                  <c:v>9.9973660035175271E-3</c:v>
                </c:pt>
                <c:pt idx="78">
                  <c:v>6.5501030621817335E-3</c:v>
                </c:pt>
                <c:pt idx="81">
                  <c:v>7.8434714232571423E-3</c:v>
                </c:pt>
                <c:pt idx="82">
                  <c:v>7.2095048235496506E-3</c:v>
                </c:pt>
                <c:pt idx="85">
                  <c:v>8.5358735086629167E-3</c:v>
                </c:pt>
                <c:pt idx="86">
                  <c:v>7.7848115033702925E-3</c:v>
                </c:pt>
                <c:pt idx="87">
                  <c:v>7.7848115397500806E-3</c:v>
                </c:pt>
                <c:pt idx="97">
                  <c:v>9.3134409980848432E-3</c:v>
                </c:pt>
                <c:pt idx="98">
                  <c:v>-6.4426124954479747E-3</c:v>
                </c:pt>
                <c:pt idx="104">
                  <c:v>1.1160635040141642E-3</c:v>
                </c:pt>
                <c:pt idx="107">
                  <c:v>3.1390450749313459E-4</c:v>
                </c:pt>
                <c:pt idx="111">
                  <c:v>4.9200699868379161E-4</c:v>
                </c:pt>
                <c:pt idx="113">
                  <c:v>5.64446700445842E-3</c:v>
                </c:pt>
                <c:pt idx="114">
                  <c:v>1.4828359999228269E-3</c:v>
                </c:pt>
                <c:pt idx="115">
                  <c:v>1.8488694986444898E-3</c:v>
                </c:pt>
                <c:pt idx="116">
                  <c:v>3.003281497512944E-3</c:v>
                </c:pt>
                <c:pt idx="117">
                  <c:v>2.0246935018803924E-3</c:v>
                </c:pt>
                <c:pt idx="118">
                  <c:v>-3.3966498449444771E-5</c:v>
                </c:pt>
                <c:pt idx="119">
                  <c:v>-1.3006399967707694E-4</c:v>
                </c:pt>
                <c:pt idx="121">
                  <c:v>-7.7772769946022891E-3</c:v>
                </c:pt>
                <c:pt idx="123">
                  <c:v>2.6427230041008443E-3</c:v>
                </c:pt>
                <c:pt idx="124">
                  <c:v>8.5437700181500986E-4</c:v>
                </c:pt>
                <c:pt idx="128">
                  <c:v>3.2644094972056337E-3</c:v>
                </c:pt>
                <c:pt idx="129">
                  <c:v>-7.5695569976232946E-3</c:v>
                </c:pt>
                <c:pt idx="131">
                  <c:v>-1.9281570494058542E-2</c:v>
                </c:pt>
                <c:pt idx="132">
                  <c:v>-1.8553800036897883E-3</c:v>
                </c:pt>
                <c:pt idx="134">
                  <c:v>-9.2369039921322837E-3</c:v>
                </c:pt>
                <c:pt idx="135">
                  <c:v>-2.6331224944442511E-3</c:v>
                </c:pt>
                <c:pt idx="136">
                  <c:v>-2.7447440006653778E-3</c:v>
                </c:pt>
                <c:pt idx="137">
                  <c:v>-2.7247440011706203E-3</c:v>
                </c:pt>
                <c:pt idx="138">
                  <c:v>-2.3192734952317551E-3</c:v>
                </c:pt>
                <c:pt idx="139">
                  <c:v>-1.5323999832617119E-4</c:v>
                </c:pt>
                <c:pt idx="140">
                  <c:v>-2.8095864981878549E-3</c:v>
                </c:pt>
                <c:pt idx="141">
                  <c:v>-3.7724944995716214E-3</c:v>
                </c:pt>
                <c:pt idx="142">
                  <c:v>-3.7324945005821064E-3</c:v>
                </c:pt>
                <c:pt idx="143">
                  <c:v>-3.4724944998743013E-3</c:v>
                </c:pt>
                <c:pt idx="144">
                  <c:v>-3.4724944998743013E-3</c:v>
                </c:pt>
                <c:pt idx="145">
                  <c:v>-3.4324945008847862E-3</c:v>
                </c:pt>
                <c:pt idx="146">
                  <c:v>-3.4324945008847862E-3</c:v>
                </c:pt>
                <c:pt idx="147">
                  <c:v>-4.3389769998611882E-3</c:v>
                </c:pt>
                <c:pt idx="148">
                  <c:v>-5.3064959938637912E-3</c:v>
                </c:pt>
                <c:pt idx="149">
                  <c:v>-4.7439334957743995E-3</c:v>
                </c:pt>
                <c:pt idx="150">
                  <c:v>-4.7139334928942844E-3</c:v>
                </c:pt>
                <c:pt idx="151">
                  <c:v>-1.332315499894321E-3</c:v>
                </c:pt>
                <c:pt idx="152">
                  <c:v>-4.3411430015112273E-3</c:v>
                </c:pt>
                <c:pt idx="153">
                  <c:v>-3.6500985006568953E-3</c:v>
                </c:pt>
                <c:pt idx="154">
                  <c:v>-5.0861889976658858E-3</c:v>
                </c:pt>
                <c:pt idx="155">
                  <c:v>-5.149666998477187E-3</c:v>
                </c:pt>
                <c:pt idx="156">
                  <c:v>-5.0996669961023144E-3</c:v>
                </c:pt>
                <c:pt idx="157">
                  <c:v>-1.1090574989793822E-3</c:v>
                </c:pt>
                <c:pt idx="158">
                  <c:v>-3.880375501466915E-3</c:v>
                </c:pt>
                <c:pt idx="159">
                  <c:v>-3.7803754967171699E-3</c:v>
                </c:pt>
                <c:pt idx="160">
                  <c:v>-3.6803754992433824E-3</c:v>
                </c:pt>
                <c:pt idx="161">
                  <c:v>-3.4803754970198497E-3</c:v>
                </c:pt>
                <c:pt idx="162">
                  <c:v>-4.8143419990083203E-3</c:v>
                </c:pt>
                <c:pt idx="163">
                  <c:v>-4.2143419996136799E-3</c:v>
                </c:pt>
                <c:pt idx="164">
                  <c:v>-6.3962450003600679E-3</c:v>
                </c:pt>
                <c:pt idx="165">
                  <c:v>-7.6645699955406599E-3</c:v>
                </c:pt>
                <c:pt idx="166">
                  <c:v>-3.0985365010565147E-3</c:v>
                </c:pt>
                <c:pt idx="167">
                  <c:v>-3.0533975004800595E-3</c:v>
                </c:pt>
                <c:pt idx="168">
                  <c:v>-3.7873640030738898E-3</c:v>
                </c:pt>
                <c:pt idx="169">
                  <c:v>1.5041111000755336E-2</c:v>
                </c:pt>
                <c:pt idx="170">
                  <c:v>4.9290405004285276E-3</c:v>
                </c:pt>
                <c:pt idx="171">
                  <c:v>-5.2099501772318035E-5</c:v>
                </c:pt>
                <c:pt idx="172">
                  <c:v>-3.4560659987619147E-3</c:v>
                </c:pt>
                <c:pt idx="173">
                  <c:v>-8.7706490012351424E-3</c:v>
                </c:pt>
                <c:pt idx="174">
                  <c:v>-2.8102849973947741E-3</c:v>
                </c:pt>
                <c:pt idx="175">
                  <c:v>-1.304514599905815E-2</c:v>
                </c:pt>
                <c:pt idx="176">
                  <c:v>4.2815470005734824E-3</c:v>
                </c:pt>
                <c:pt idx="177">
                  <c:v>-4.5424194977385923E-3</c:v>
                </c:pt>
                <c:pt idx="178">
                  <c:v>-2.5886439980240539E-3</c:v>
                </c:pt>
                <c:pt idx="179">
                  <c:v>-1.635578999412246E-3</c:v>
                </c:pt>
                <c:pt idx="180">
                  <c:v>5.1321965001989156E-3</c:v>
                </c:pt>
                <c:pt idx="181">
                  <c:v>4.3205399560974911E-3</c:v>
                </c:pt>
                <c:pt idx="182">
                  <c:v>3.1191579982987605E-3</c:v>
                </c:pt>
                <c:pt idx="183">
                  <c:v>8.1167570024263114E-3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09-488F-8345-B73672FD122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Active!$L$21:$L$962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09-488F-8345-B73672FD122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Active!$D$21:$D$78</c:f>
                <c:numCache>
                  <c:formatCode>General</c:formatCode>
                  <c:ptCount val="5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Active!$M$21:$M$962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09-488F-8345-B73672FD122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plus>
            <c:minus>
              <c:numRef>
                <c:f>Active!$D$21:$D$964</c:f>
                <c:numCache>
                  <c:formatCode>General</c:formatCode>
                  <c:ptCount val="94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31">
                    <c:v>0</c:v>
                  </c:pt>
                  <c:pt idx="68">
                    <c:v>0</c:v>
                  </c:pt>
                  <c:pt idx="71">
                    <c:v>0</c:v>
                  </c:pt>
                  <c:pt idx="72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4">
                    <c:v>0</c:v>
                  </c:pt>
                  <c:pt idx="86">
                    <c:v>0</c:v>
                  </c:pt>
                  <c:pt idx="88">
                    <c:v>0</c:v>
                  </c:pt>
                  <c:pt idx="91">
                    <c:v>0</c:v>
                  </c:pt>
                  <c:pt idx="95">
                    <c:v>0</c:v>
                  </c:pt>
                  <c:pt idx="97">
                    <c:v>3.0000000000000001E-3</c:v>
                  </c:pt>
                  <c:pt idx="98">
                    <c:v>5.0000000000000001E-3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1E-3</c:v>
                  </c:pt>
                  <c:pt idx="107">
                    <c:v>1E-4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1E-4</c:v>
                  </c:pt>
                  <c:pt idx="118">
                    <c:v>2.0000000000000001E-4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1.6999999999999999E-3</c:v>
                  </c:pt>
                  <c:pt idx="129">
                    <c:v>2.2000000000000001E-3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0</c:v>
                  </c:pt>
                  <c:pt idx="135">
                    <c:v>1E-4</c:v>
                  </c:pt>
                  <c:pt idx="136">
                    <c:v>0</c:v>
                  </c:pt>
                  <c:pt idx="137">
                    <c:v>1E-4</c:v>
                  </c:pt>
                  <c:pt idx="138">
                    <c:v>1.1000000000000001E-3</c:v>
                  </c:pt>
                  <c:pt idx="139">
                    <c:v>8.0000000000000004E-4</c:v>
                  </c:pt>
                  <c:pt idx="140">
                    <c:v>1E-4</c:v>
                  </c:pt>
                  <c:pt idx="141">
                    <c:v>0</c:v>
                  </c:pt>
                  <c:pt idx="142">
                    <c:v>2.0000000000000001E-4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0</c:v>
                  </c:pt>
                  <c:pt idx="150">
                    <c:v>1E-4</c:v>
                  </c:pt>
                  <c:pt idx="151">
                    <c:v>4.0999999999999999E-4</c:v>
                  </c:pt>
                  <c:pt idx="152">
                    <c:v>1.7000000000000001E-4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1E-4</c:v>
                  </c:pt>
                  <c:pt idx="157">
                    <c:v>1.1199999999999999E-3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1.07E-3</c:v>
                  </c:pt>
                  <c:pt idx="165">
                    <c:v>1.6999999999999999E-3</c:v>
                  </c:pt>
                  <c:pt idx="166">
                    <c:v>1.2999999999999999E-3</c:v>
                  </c:pt>
                  <c:pt idx="167">
                    <c:v>1.2999999999999999E-3</c:v>
                  </c:pt>
                  <c:pt idx="168">
                    <c:v>2.9999999999999997E-4</c:v>
                  </c:pt>
                  <c:pt idx="169">
                    <c:v>0</c:v>
                  </c:pt>
                  <c:pt idx="170">
                    <c:v>1.6999999999999999E-3</c:v>
                  </c:pt>
                  <c:pt idx="171">
                    <c:v>3.1E-4</c:v>
                  </c:pt>
                  <c:pt idx="172">
                    <c:v>7.2000000000000005E-4</c:v>
                  </c:pt>
                  <c:pt idx="173">
                    <c:v>1.4E-3</c:v>
                  </c:pt>
                  <c:pt idx="174">
                    <c:v>2.5999999999999998E-4</c:v>
                  </c:pt>
                  <c:pt idx="175">
                    <c:v>3.5E-4</c:v>
                  </c:pt>
                  <c:pt idx="176">
                    <c:v>1.9000000000000001E-4</c:v>
                  </c:pt>
                  <c:pt idx="177">
                    <c:v>1.8000000000000001E-4</c:v>
                  </c:pt>
                  <c:pt idx="178">
                    <c:v>2.9999999999999997E-4</c:v>
                  </c:pt>
                  <c:pt idx="179">
                    <c:v>0</c:v>
                  </c:pt>
                  <c:pt idx="180">
                    <c:v>2.9999999999999997E-4</c:v>
                  </c:pt>
                  <c:pt idx="181">
                    <c:v>1E-3</c:v>
                  </c:pt>
                  <c:pt idx="182">
                    <c:v>2.0000000000000001E-4</c:v>
                  </c:pt>
                  <c:pt idx="18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Active!$N$21:$N$962</c:f>
              <c:numCache>
                <c:formatCode>0.0000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09-488F-8345-B73672FD1223}"/>
            </c:ext>
          </c:extLst>
        </c:ser>
        <c:ser>
          <c:idx val="7"/>
          <c:order val="7"/>
          <c:tx>
            <c:strRef>
              <c:f>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09-488F-8345-B73672FD1223}"/>
            </c:ext>
          </c:extLst>
        </c:ser>
        <c:ser>
          <c:idx val="8"/>
          <c:order val="8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Active!$O$21:$O$962</c:f>
              <c:numCache>
                <c:formatCode>0.0000</c:formatCode>
                <c:ptCount val="942"/>
                <c:pt idx="68">
                  <c:v>-1.8774544575314345E-2</c:v>
                </c:pt>
                <c:pt idx="71">
                  <c:v>-1.8268430264229481E-2</c:v>
                </c:pt>
                <c:pt idx="72">
                  <c:v>-1.8261214117214659E-2</c:v>
                </c:pt>
                <c:pt idx="75">
                  <c:v>-1.8260886110532171E-2</c:v>
                </c:pt>
                <c:pt idx="76">
                  <c:v>-1.8260886110532171E-2</c:v>
                </c:pt>
                <c:pt idx="77">
                  <c:v>-1.8253669963517349E-2</c:v>
                </c:pt>
                <c:pt idx="80">
                  <c:v>-1.7594048525026315E-2</c:v>
                </c:pt>
                <c:pt idx="83">
                  <c:v>-1.7593720518343826E-2</c:v>
                </c:pt>
                <c:pt idx="84">
                  <c:v>-1.7590112444836416E-2</c:v>
                </c:pt>
                <c:pt idx="86">
                  <c:v>-1.7580928257726641E-2</c:v>
                </c:pt>
                <c:pt idx="88">
                  <c:v>-1.7580928257726641E-2</c:v>
                </c:pt>
                <c:pt idx="91">
                  <c:v>-1.6902610438333576E-2</c:v>
                </c:pt>
                <c:pt idx="95">
                  <c:v>-1.6900642398238627E-2</c:v>
                </c:pt>
                <c:pt idx="104">
                  <c:v>-1.3280104636894014E-2</c:v>
                </c:pt>
                <c:pt idx="105">
                  <c:v>-1.279235870002869E-2</c:v>
                </c:pt>
                <c:pt idx="106">
                  <c:v>-1.279235870002869E-2</c:v>
                </c:pt>
                <c:pt idx="107">
                  <c:v>-1.2674604301014129E-2</c:v>
                </c:pt>
                <c:pt idx="108">
                  <c:v>-1.1919204911235489E-2</c:v>
                </c:pt>
                <c:pt idx="109">
                  <c:v>-1.1919204911235489E-2</c:v>
                </c:pt>
                <c:pt idx="111">
                  <c:v>-1.0832846778822609E-2</c:v>
                </c:pt>
                <c:pt idx="112">
                  <c:v>-9.9275483351452098E-3</c:v>
                </c:pt>
                <c:pt idx="114">
                  <c:v>-8.8077335211181659E-3</c:v>
                </c:pt>
                <c:pt idx="115">
                  <c:v>-8.8074055144356737E-3</c:v>
                </c:pt>
                <c:pt idx="116">
                  <c:v>-8.7837890332962635E-3</c:v>
                </c:pt>
                <c:pt idx="117">
                  <c:v>-8.1041591871732297E-3</c:v>
                </c:pt>
                <c:pt idx="118">
                  <c:v>-8.0910389198735576E-3</c:v>
                </c:pt>
                <c:pt idx="120">
                  <c:v>-7.8492979948770938E-3</c:v>
                </c:pt>
                <c:pt idx="122">
                  <c:v>-7.8492979948770938E-3</c:v>
                </c:pt>
                <c:pt idx="128">
                  <c:v>-7.0886504981785827E-3</c:v>
                </c:pt>
                <c:pt idx="129">
                  <c:v>-7.0883224914960906E-3</c:v>
                </c:pt>
                <c:pt idx="133">
                  <c:v>-5.9898281118310141E-3</c:v>
                </c:pt>
                <c:pt idx="135">
                  <c:v>-5.380391695761229E-3</c:v>
                </c:pt>
                <c:pt idx="136">
                  <c:v>-5.3571032213043102E-3</c:v>
                </c:pt>
                <c:pt idx="138">
                  <c:v>-5.283957731108636E-3</c:v>
                </c:pt>
                <c:pt idx="139">
                  <c:v>-5.2836297244261447E-3</c:v>
                </c:pt>
                <c:pt idx="140">
                  <c:v>-4.7191302238577381E-3</c:v>
                </c:pt>
                <c:pt idx="141">
                  <c:v>-4.6692732081189819E-3</c:v>
                </c:pt>
                <c:pt idx="143">
                  <c:v>-4.6692732081189819E-3</c:v>
                </c:pt>
                <c:pt idx="144">
                  <c:v>-4.6692732081189819E-3</c:v>
                </c:pt>
                <c:pt idx="147">
                  <c:v>-4.6348325064573415E-3</c:v>
                </c:pt>
                <c:pt idx="148">
                  <c:v>-4.0818132397761478E-3</c:v>
                </c:pt>
                <c:pt idx="149">
                  <c:v>-3.9588107338417193E-3</c:v>
                </c:pt>
                <c:pt idx="151">
                  <c:v>-3.9233860121326031E-3</c:v>
                </c:pt>
                <c:pt idx="152">
                  <c:v>-3.9119057782453902E-3</c:v>
                </c:pt>
                <c:pt idx="153">
                  <c:v>-3.627523984524989E-3</c:v>
                </c:pt>
                <c:pt idx="154">
                  <c:v>-3.6088276036229565E-3</c:v>
                </c:pt>
                <c:pt idx="155">
                  <c:v>-3.3687267120389502E-3</c:v>
                </c:pt>
                <c:pt idx="157">
                  <c:v>-3.2844289946385545E-3</c:v>
                </c:pt>
                <c:pt idx="164">
                  <c:v>-2.6694164649664082E-3</c:v>
                </c:pt>
                <c:pt idx="165">
                  <c:v>-2.6530161308418176E-3</c:v>
                </c:pt>
                <c:pt idx="166">
                  <c:v>-2.6526881241593263E-3</c:v>
                </c:pt>
                <c:pt idx="167">
                  <c:v>-2.6415358969546048E-3</c:v>
                </c:pt>
                <c:pt idx="168">
                  <c:v>-2.6412078902721126E-3</c:v>
                </c:pt>
                <c:pt idx="169">
                  <c:v>-2.3624022101540734E-3</c:v>
                </c:pt>
                <c:pt idx="170">
                  <c:v>-2.3043450273530228E-3</c:v>
                </c:pt>
                <c:pt idx="171">
                  <c:v>-1.9238572756625216E-3</c:v>
                </c:pt>
                <c:pt idx="172">
                  <c:v>-1.9235292689800294E-3</c:v>
                </c:pt>
                <c:pt idx="173">
                  <c:v>-1.8900725873658647E-3</c:v>
                </c:pt>
                <c:pt idx="174">
                  <c:v>-1.4361113387971981E-3</c:v>
                </c:pt>
                <c:pt idx="175">
                  <c:v>-1.4249591115924765E-3</c:v>
                </c:pt>
                <c:pt idx="176">
                  <c:v>-1.241931382762046E-3</c:v>
                </c:pt>
                <c:pt idx="177">
                  <c:v>-1.2416033760795538E-3</c:v>
                </c:pt>
                <c:pt idx="178">
                  <c:v>8.780770805975717E-5</c:v>
                </c:pt>
                <c:pt idx="179">
                  <c:v>2.1573031423156343E-4</c:v>
                </c:pt>
                <c:pt idx="180">
                  <c:v>2.8571681283381199E-3</c:v>
                </c:pt>
                <c:pt idx="181">
                  <c:v>3.4675885644553806E-3</c:v>
                </c:pt>
                <c:pt idx="182">
                  <c:v>4.1590266511481195E-3</c:v>
                </c:pt>
                <c:pt idx="183">
                  <c:v>5.0754773220302411E-3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09-488F-8345-B73672FD1223}"/>
            </c:ext>
          </c:extLst>
        </c:ser>
        <c:ser>
          <c:idx val="9"/>
          <c:order val="9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Active!$P$21:$P$962</c:f>
              <c:numCache>
                <c:formatCode>0.0000</c:formatCode>
                <c:ptCount val="942"/>
                <c:pt idx="0">
                  <c:v>4.4731993028245855E-2</c:v>
                </c:pt>
                <c:pt idx="1">
                  <c:v>4.4727446932231574E-2</c:v>
                </c:pt>
                <c:pt idx="2">
                  <c:v>4.4721991908329359E-2</c:v>
                </c:pt>
                <c:pt idx="3">
                  <c:v>4.4426986268211816E-2</c:v>
                </c:pt>
                <c:pt idx="4">
                  <c:v>3.7359891966856199E-2</c:v>
                </c:pt>
                <c:pt idx="5">
                  <c:v>2.7948200917682606E-2</c:v>
                </c:pt>
                <c:pt idx="6">
                  <c:v>2.7943831386143203E-2</c:v>
                </c:pt>
                <c:pt idx="7">
                  <c:v>2.79394621724019E-2</c:v>
                </c:pt>
                <c:pt idx="8">
                  <c:v>2.6358129740732025E-2</c:v>
                </c:pt>
                <c:pt idx="9">
                  <c:v>2.627668232583728E-2</c:v>
                </c:pt>
                <c:pt idx="10">
                  <c:v>2.6275974599454934E-2</c:v>
                </c:pt>
                <c:pt idx="11">
                  <c:v>2.6138842657696074E-2</c:v>
                </c:pt>
                <c:pt idx="12">
                  <c:v>2.6102847659269655E-2</c:v>
                </c:pt>
                <c:pt idx="13">
                  <c:v>2.5729440273942215E-2</c:v>
                </c:pt>
                <c:pt idx="14">
                  <c:v>2.4930656662150847E-2</c:v>
                </c:pt>
                <c:pt idx="15">
                  <c:v>2.4816805154298235E-2</c:v>
                </c:pt>
                <c:pt idx="16">
                  <c:v>2.4800264956254259E-2</c:v>
                </c:pt>
                <c:pt idx="17">
                  <c:v>2.4761002364702717E-2</c:v>
                </c:pt>
                <c:pt idx="18">
                  <c:v>2.4687376357827258E-2</c:v>
                </c:pt>
                <c:pt idx="19">
                  <c:v>2.4675688072371877E-2</c:v>
                </c:pt>
                <c:pt idx="20">
                  <c:v>2.4626899869753128E-2</c:v>
                </c:pt>
                <c:pt idx="21">
                  <c:v>2.4619345115440061E-2</c:v>
                </c:pt>
                <c:pt idx="22">
                  <c:v>2.4611104783506386E-2</c:v>
                </c:pt>
                <c:pt idx="23">
                  <c:v>2.3214017350726174E-2</c:v>
                </c:pt>
                <c:pt idx="24">
                  <c:v>2.1723944950860344E-2</c:v>
                </c:pt>
                <c:pt idx="25">
                  <c:v>2.1443988693091092E-2</c:v>
                </c:pt>
                <c:pt idx="26">
                  <c:v>2.1403393951784651E-2</c:v>
                </c:pt>
                <c:pt idx="27">
                  <c:v>2.0658394183803386E-2</c:v>
                </c:pt>
                <c:pt idx="28">
                  <c:v>2.0654591604067025E-2</c:v>
                </c:pt>
                <c:pt idx="29">
                  <c:v>2.019368859467003E-2</c:v>
                </c:pt>
                <c:pt idx="30">
                  <c:v>2.0190552286319954E-2</c:v>
                </c:pt>
                <c:pt idx="31">
                  <c:v>2.0190552286319954E-2</c:v>
                </c:pt>
                <c:pt idx="32">
                  <c:v>2.0186789007614787E-2</c:v>
                </c:pt>
                <c:pt idx="33">
                  <c:v>2.0183026046707714E-2</c:v>
                </c:pt>
                <c:pt idx="34">
                  <c:v>2.0176128110437022E-2</c:v>
                </c:pt>
                <c:pt idx="35">
                  <c:v>2.0169231242321041E-2</c:v>
                </c:pt>
                <c:pt idx="36">
                  <c:v>2.0168604307276849E-2</c:v>
                </c:pt>
                <c:pt idx="37">
                  <c:v>2.0097191577975321E-2</c:v>
                </c:pt>
                <c:pt idx="38">
                  <c:v>2.0075915255230677E-2</c:v>
                </c:pt>
                <c:pt idx="39">
                  <c:v>1.9362900318862314E-2</c:v>
                </c:pt>
                <c:pt idx="40">
                  <c:v>1.9205013214775836E-2</c:v>
                </c:pt>
                <c:pt idx="41">
                  <c:v>1.5888025648494085E-2</c:v>
                </c:pt>
                <c:pt idx="42">
                  <c:v>1.5884645157595398E-2</c:v>
                </c:pt>
                <c:pt idx="43">
                  <c:v>1.5884081773342655E-2</c:v>
                </c:pt>
                <c:pt idx="44">
                  <c:v>1.5842978566577248E-2</c:v>
                </c:pt>
                <c:pt idx="45">
                  <c:v>1.5816539752296029E-2</c:v>
                </c:pt>
                <c:pt idx="46">
                  <c:v>1.5814290540870246E-2</c:v>
                </c:pt>
                <c:pt idx="47">
                  <c:v>1.5813728260083114E-2</c:v>
                </c:pt>
                <c:pt idx="48">
                  <c:v>1.5810916988563316E-2</c:v>
                </c:pt>
                <c:pt idx="49">
                  <c:v>1.5685758697202543E-2</c:v>
                </c:pt>
                <c:pt idx="50">
                  <c:v>1.565047960574676E-2</c:v>
                </c:pt>
                <c:pt idx="51">
                  <c:v>1.5647121519613831E-2</c:v>
                </c:pt>
                <c:pt idx="52">
                  <c:v>1.5510271099656844E-2</c:v>
                </c:pt>
                <c:pt idx="53">
                  <c:v>1.5500795015574578E-2</c:v>
                </c:pt>
                <c:pt idx="54">
                  <c:v>1.4659482351492252E-2</c:v>
                </c:pt>
                <c:pt idx="55">
                  <c:v>1.3077479997574415E-2</c:v>
                </c:pt>
                <c:pt idx="56">
                  <c:v>1.3077479997574415E-2</c:v>
                </c:pt>
                <c:pt idx="57">
                  <c:v>1.3077479997574415E-2</c:v>
                </c:pt>
                <c:pt idx="58">
                  <c:v>1.3077479997574415E-2</c:v>
                </c:pt>
                <c:pt idx="59">
                  <c:v>1.3077479997574415E-2</c:v>
                </c:pt>
                <c:pt idx="60">
                  <c:v>1.3074374931692154E-2</c:v>
                </c:pt>
                <c:pt idx="61">
                  <c:v>1.3074374931692154E-2</c:v>
                </c:pt>
                <c:pt idx="62">
                  <c:v>1.3074374931692154E-2</c:v>
                </c:pt>
                <c:pt idx="63">
                  <c:v>1.3074374931692154E-2</c:v>
                </c:pt>
                <c:pt idx="64">
                  <c:v>1.1380579970495824E-2</c:v>
                </c:pt>
                <c:pt idx="65">
                  <c:v>1.1078434173428978E-2</c:v>
                </c:pt>
                <c:pt idx="66">
                  <c:v>1.1078434173428978E-2</c:v>
                </c:pt>
                <c:pt idx="67">
                  <c:v>1.0943754310558725E-2</c:v>
                </c:pt>
                <c:pt idx="68">
                  <c:v>1.0943754310558725E-2</c:v>
                </c:pt>
                <c:pt idx="69">
                  <c:v>1.0943754310558725E-2</c:v>
                </c:pt>
                <c:pt idx="70">
                  <c:v>1.02139877713542E-2</c:v>
                </c:pt>
                <c:pt idx="71">
                  <c:v>1.02139877713542E-2</c:v>
                </c:pt>
                <c:pt idx="72">
                  <c:v>1.0203734773779709E-2</c:v>
                </c:pt>
                <c:pt idx="73">
                  <c:v>1.0203734773779709E-2</c:v>
                </c:pt>
                <c:pt idx="74">
                  <c:v>1.0203268829954251E-2</c:v>
                </c:pt>
                <c:pt idx="75">
                  <c:v>1.0203268829954251E-2</c:v>
                </c:pt>
                <c:pt idx="76">
                  <c:v>1.0203268829954251E-2</c:v>
                </c:pt>
                <c:pt idx="77">
                  <c:v>1.0193020299208554E-2</c:v>
                </c:pt>
                <c:pt idx="78">
                  <c:v>1.0193020299208554E-2</c:v>
                </c:pt>
                <c:pt idx="79">
                  <c:v>9.6860413509504591E-3</c:v>
                </c:pt>
                <c:pt idx="80">
                  <c:v>9.2742568924883244E-3</c:v>
                </c:pt>
                <c:pt idx="81">
                  <c:v>9.2742568924883244E-3</c:v>
                </c:pt>
                <c:pt idx="82">
                  <c:v>9.2738089042552815E-3</c:v>
                </c:pt>
                <c:pt idx="83">
                  <c:v>9.2738089042552815E-3</c:v>
                </c:pt>
                <c:pt idx="84">
                  <c:v>9.2688816163216635E-3</c:v>
                </c:pt>
                <c:pt idx="85">
                  <c:v>9.2688816163216635E-3</c:v>
                </c:pt>
                <c:pt idx="86">
                  <c:v>9.2563442487920596E-3</c:v>
                </c:pt>
                <c:pt idx="87">
                  <c:v>9.2563442487920596E-3</c:v>
                </c:pt>
                <c:pt idx="88">
                  <c:v>9.2563442487920596E-3</c:v>
                </c:pt>
                <c:pt idx="89">
                  <c:v>8.3516491438124854E-3</c:v>
                </c:pt>
                <c:pt idx="90">
                  <c:v>8.3495021144516963E-3</c:v>
                </c:pt>
                <c:pt idx="91">
                  <c:v>8.3495021144516963E-3</c:v>
                </c:pt>
                <c:pt idx="92">
                  <c:v>8.3495021144516963E-3</c:v>
                </c:pt>
                <c:pt idx="93">
                  <c:v>8.3490727350627129E-3</c:v>
                </c:pt>
                <c:pt idx="94">
                  <c:v>8.3469259705336689E-3</c:v>
                </c:pt>
                <c:pt idx="95">
                  <c:v>8.3469259705336689E-3</c:v>
                </c:pt>
                <c:pt idx="96">
                  <c:v>8.3469259705336689E-3</c:v>
                </c:pt>
                <c:pt idx="97">
                  <c:v>7.3815873374306253E-3</c:v>
                </c:pt>
                <c:pt idx="98">
                  <c:v>5.8614878676043307E-3</c:v>
                </c:pt>
                <c:pt idx="99">
                  <c:v>4.797153884720279E-3</c:v>
                </c:pt>
                <c:pt idx="100">
                  <c:v>4.7891341261367473E-3</c:v>
                </c:pt>
                <c:pt idx="101">
                  <c:v>4.4334177530240574E-3</c:v>
                </c:pt>
                <c:pt idx="102">
                  <c:v>4.4157779880973271E-3</c:v>
                </c:pt>
                <c:pt idx="103">
                  <c:v>4.4042572017790162E-3</c:v>
                </c:pt>
                <c:pt idx="104">
                  <c:v>4.1457459154728817E-3</c:v>
                </c:pt>
                <c:pt idx="105">
                  <c:v>3.6619846727794355E-3</c:v>
                </c:pt>
                <c:pt idx="106">
                  <c:v>3.6619846727794355E-3</c:v>
                </c:pt>
                <c:pt idx="107">
                  <c:v>3.5481174097368594E-3</c:v>
                </c:pt>
                <c:pt idx="108">
                  <c:v>2.8447137229308671E-3</c:v>
                </c:pt>
                <c:pt idx="109">
                  <c:v>2.8447137229308671E-3</c:v>
                </c:pt>
                <c:pt idx="110">
                  <c:v>1.9696690837895632E-3</c:v>
                </c:pt>
                <c:pt idx="111">
                  <c:v>1.9152159387065767E-3</c:v>
                </c:pt>
                <c:pt idx="112">
                  <c:v>1.2146051366489371E-3</c:v>
                </c:pt>
                <c:pt idx="113">
                  <c:v>1.2146051366489371E-3</c:v>
                </c:pt>
                <c:pt idx="114">
                  <c:v>4.4101558730939958E-4</c:v>
                </c:pt>
                <c:pt idx="115">
                  <c:v>4.4080406734286359E-4</c:v>
                </c:pt>
                <c:pt idx="116">
                  <c:v>4.2559782901327236E-4</c:v>
                </c:pt>
                <c:pt idx="117">
                  <c:v>7.6040828002766224E-6</c:v>
                </c:pt>
                <c:pt idx="118">
                  <c:v>-9.2411440582244096E-8</c:v>
                </c:pt>
                <c:pt idx="119">
                  <c:v>-7.9110091613747777E-5</c:v>
                </c:pt>
                <c:pt idx="120">
                  <c:v>-1.3937272391444997E-4</c:v>
                </c:pt>
                <c:pt idx="121">
                  <c:v>-1.3937272391444997E-4</c:v>
                </c:pt>
                <c:pt idx="122">
                  <c:v>-1.3937272391444997E-4</c:v>
                </c:pt>
                <c:pt idx="123">
                  <c:v>-1.3937272391444997E-4</c:v>
                </c:pt>
                <c:pt idx="124">
                  <c:v>-3.425566155873478E-4</c:v>
                </c:pt>
                <c:pt idx="125">
                  <c:v>-5.3226451578998739E-4</c:v>
                </c:pt>
                <c:pt idx="126">
                  <c:v>-5.3425598376446559E-4</c:v>
                </c:pt>
                <c:pt idx="127">
                  <c:v>-5.4452498416504927E-4</c:v>
                </c:pt>
                <c:pt idx="128">
                  <c:v>-5.4634335925941781E-4</c:v>
                </c:pt>
                <c:pt idx="129">
                  <c:v>-5.4650861311982923E-4</c:v>
                </c:pt>
                <c:pt idx="130">
                  <c:v>-5.6528968747011194E-4</c:v>
                </c:pt>
                <c:pt idx="131">
                  <c:v>-5.6611079255311123E-4</c:v>
                </c:pt>
                <c:pt idx="132">
                  <c:v>-6.5396939800293542E-4</c:v>
                </c:pt>
                <c:pt idx="133">
                  <c:v>-1.050424006813655E-3</c:v>
                </c:pt>
                <c:pt idx="134">
                  <c:v>-1.1777587107551734E-3</c:v>
                </c:pt>
                <c:pt idx="135">
                  <c:v>-1.2872900953845331E-3</c:v>
                </c:pt>
                <c:pt idx="136">
                  <c:v>-1.2957369724019728E-3</c:v>
                </c:pt>
                <c:pt idx="137">
                  <c:v>-1.2957369724019728E-3</c:v>
                </c:pt>
                <c:pt idx="138">
                  <c:v>-1.3219779227931941E-3</c:v>
                </c:pt>
                <c:pt idx="139">
                  <c:v>-1.3220946065112861E-3</c:v>
                </c:pt>
                <c:pt idx="140">
                  <c:v>-1.509826530338914E-3</c:v>
                </c:pt>
                <c:pt idx="141">
                  <c:v>-1.5251505444956797E-3</c:v>
                </c:pt>
                <c:pt idx="142">
                  <c:v>-1.5251505444956797E-3</c:v>
                </c:pt>
                <c:pt idx="143">
                  <c:v>-1.5251505444956797E-3</c:v>
                </c:pt>
                <c:pt idx="144">
                  <c:v>-1.5251505444956797E-3</c:v>
                </c:pt>
                <c:pt idx="145">
                  <c:v>-1.5251505444956797E-3</c:v>
                </c:pt>
                <c:pt idx="146">
                  <c:v>-1.5251505444956797E-3</c:v>
                </c:pt>
                <c:pt idx="147">
                  <c:v>-1.5356171040917447E-3</c:v>
                </c:pt>
                <c:pt idx="148">
                  <c:v>-1.6903519329561217E-3</c:v>
                </c:pt>
                <c:pt idx="149">
                  <c:v>-1.7213566786435698E-3</c:v>
                </c:pt>
                <c:pt idx="150">
                  <c:v>-1.7213566786435698E-3</c:v>
                </c:pt>
                <c:pt idx="151">
                  <c:v>-1.7300558006810933E-3</c:v>
                </c:pt>
                <c:pt idx="152">
                  <c:v>-1.732852869219135E-3</c:v>
                </c:pt>
                <c:pt idx="153">
                  <c:v>-1.7986884622171084E-3</c:v>
                </c:pt>
                <c:pt idx="154">
                  <c:v>-1.8027842844911572E-3</c:v>
                </c:pt>
                <c:pt idx="155">
                  <c:v>-1.8528340478476157E-3</c:v>
                </c:pt>
                <c:pt idx="156">
                  <c:v>-1.8528340478476157E-3</c:v>
                </c:pt>
                <c:pt idx="157">
                  <c:v>-1.8692842795586496E-3</c:v>
                </c:pt>
                <c:pt idx="158">
                  <c:v>-1.9630313428916982E-3</c:v>
                </c:pt>
                <c:pt idx="159">
                  <c:v>-1.9630313428916982E-3</c:v>
                </c:pt>
                <c:pt idx="160">
                  <c:v>-1.9630313428916982E-3</c:v>
                </c:pt>
                <c:pt idx="161">
                  <c:v>-1.9630313428916982E-3</c:v>
                </c:pt>
                <c:pt idx="162">
                  <c:v>-1.9630792762883823E-3</c:v>
                </c:pt>
                <c:pt idx="163">
                  <c:v>-1.9630792762883823E-3</c:v>
                </c:pt>
                <c:pt idx="164">
                  <c:v>-1.9716561463823832E-3</c:v>
                </c:pt>
                <c:pt idx="165">
                  <c:v>-1.9739612285709046E-3</c:v>
                </c:pt>
                <c:pt idx="166">
                  <c:v>-1.9740071051076906E-3</c:v>
                </c:pt>
                <c:pt idx="167">
                  <c:v>-1.9755616548621027E-3</c:v>
                </c:pt>
                <c:pt idx="168">
                  <c:v>-1.9756072224285178E-3</c:v>
                </c:pt>
                <c:pt idx="169">
                  <c:v>-2.0111468864832194E-3</c:v>
                </c:pt>
                <c:pt idx="170">
                  <c:v>-2.0177451513795188E-3</c:v>
                </c:pt>
                <c:pt idx="171">
                  <c:v>-2.0541424698269136E-3</c:v>
                </c:pt>
                <c:pt idx="172">
                  <c:v>-2.0541687223312793E-3</c:v>
                </c:pt>
                <c:pt idx="173">
                  <c:v>-2.0568001057377425E-3</c:v>
                </c:pt>
                <c:pt idx="174">
                  <c:v>-2.08342671142836E-3</c:v>
                </c:pt>
                <c:pt idx="175">
                  <c:v>-2.0838680321083707E-3</c:v>
                </c:pt>
                <c:pt idx="176">
                  <c:v>-2.089652825604674E-3</c:v>
                </c:pt>
                <c:pt idx="177">
                  <c:v>-2.089660725269003E-3</c:v>
                </c:pt>
                <c:pt idx="178">
                  <c:v>-2.049154500110271E-3</c:v>
                </c:pt>
                <c:pt idx="179">
                  <c:v>-2.0376085794199532E-3</c:v>
                </c:pt>
                <c:pt idx="180">
                  <c:v>-1.499095084044731E-3</c:v>
                </c:pt>
                <c:pt idx="181">
                  <c:v>-1.2932122861104333E-3</c:v>
                </c:pt>
                <c:pt idx="182">
                  <c:v>-1.0230745783082534E-3</c:v>
                </c:pt>
                <c:pt idx="183">
                  <c:v>-6.0457369171286642E-4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809-488F-8345-B73672FD1223}"/>
            </c:ext>
          </c:extLst>
        </c:ser>
        <c:ser>
          <c:idx val="10"/>
          <c:order val="10"/>
          <c:tx>
            <c:strRef>
              <c:f>Active!$V$20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Active!$V$21:$V$962</c:f>
              <c:numCache>
                <c:formatCode>General</c:formatCode>
                <c:ptCount val="942"/>
                <c:pt idx="99" formatCode="0.0000">
                  <c:v>-2.2372055500454735E-2</c:v>
                </c:pt>
                <c:pt idx="100" formatCode="0.0000">
                  <c:v>-1.9153285000356846E-2</c:v>
                </c:pt>
                <c:pt idx="101" formatCode="0.0000">
                  <c:v>4.7725354001158848E-2</c:v>
                </c:pt>
                <c:pt idx="102" formatCode="0.0000">
                  <c:v>6.1959095997735858E-2</c:v>
                </c:pt>
                <c:pt idx="103" formatCode="0.0000">
                  <c:v>4.280423499585595E-2</c:v>
                </c:pt>
                <c:pt idx="110" formatCode="0.0000">
                  <c:v>9.9211730048409663E-3</c:v>
                </c:pt>
                <c:pt idx="125" formatCode="0.0000">
                  <c:v>-2.5288438002462499E-2</c:v>
                </c:pt>
                <c:pt idx="126" formatCode="0.0000">
                  <c:v>-8.6056035994261038E-2</c:v>
                </c:pt>
                <c:pt idx="127" formatCode="0.0000">
                  <c:v>7.9468040996289346E-2</c:v>
                </c:pt>
                <c:pt idx="130" formatCode="0.0000">
                  <c:v>4.060826200293377E-2</c:v>
                </c:pt>
                <c:pt idx="133" formatCode="0.0000">
                  <c:v>1.8376634499873035E-2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809-488F-8345-B73672FD1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856784"/>
        <c:axId val="1"/>
      </c:scatterChart>
      <c:valAx>
        <c:axId val="60385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34632707948546"/>
              <c:y val="0.8795180722891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  <c:max val="0.06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6445783132530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8567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32111726774894"/>
          <c:y val="0.93072289156626509"/>
          <c:w val="0.74814905544214372"/>
          <c:h val="6.0240963855421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Residuals</a:t>
            </a:r>
          </a:p>
        </c:rich>
      </c:tx>
      <c:layout>
        <c:manualLayout>
          <c:xMode val="edge"/>
          <c:yMode val="edge"/>
          <c:x val="0.41217016070465357"/>
          <c:y val="1.7006802721088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6907507370471E-2"/>
          <c:y val="9.8639783428277228E-2"/>
          <c:w val="0.89896720889647819"/>
          <c:h val="0.70068259952500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Active!$U$20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-40610.5</c:v>
                </c:pt>
                <c:pt idx="1">
                  <c:v>-40608</c:v>
                </c:pt>
                <c:pt idx="2">
                  <c:v>-40605</c:v>
                </c:pt>
                <c:pt idx="3">
                  <c:v>-40442.5</c:v>
                </c:pt>
                <c:pt idx="4">
                  <c:v>-36383</c:v>
                </c:pt>
                <c:pt idx="5">
                  <c:v>-30361</c:v>
                </c:pt>
                <c:pt idx="6">
                  <c:v>-30358</c:v>
                </c:pt>
                <c:pt idx="7">
                  <c:v>-30355</c:v>
                </c:pt>
                <c:pt idx="8">
                  <c:v>-29254.5</c:v>
                </c:pt>
                <c:pt idx="9">
                  <c:v>-29197</c:v>
                </c:pt>
                <c:pt idx="10">
                  <c:v>-29196.5</c:v>
                </c:pt>
                <c:pt idx="11">
                  <c:v>-29099.5</c:v>
                </c:pt>
                <c:pt idx="12">
                  <c:v>-29074</c:v>
                </c:pt>
                <c:pt idx="13">
                  <c:v>-28808.5</c:v>
                </c:pt>
                <c:pt idx="14">
                  <c:v>-28234.5</c:v>
                </c:pt>
                <c:pt idx="15">
                  <c:v>-28152</c:v>
                </c:pt>
                <c:pt idx="16">
                  <c:v>-28140</c:v>
                </c:pt>
                <c:pt idx="17">
                  <c:v>-28111.5</c:v>
                </c:pt>
                <c:pt idx="18">
                  <c:v>-28058</c:v>
                </c:pt>
                <c:pt idx="19">
                  <c:v>-28049.5</c:v>
                </c:pt>
                <c:pt idx="20">
                  <c:v>-28014</c:v>
                </c:pt>
                <c:pt idx="21">
                  <c:v>-28008.5</c:v>
                </c:pt>
                <c:pt idx="22">
                  <c:v>-28002.5</c:v>
                </c:pt>
                <c:pt idx="23">
                  <c:v>-26971.5</c:v>
                </c:pt>
                <c:pt idx="24">
                  <c:v>-25840</c:v>
                </c:pt>
                <c:pt idx="25">
                  <c:v>-25623.5</c:v>
                </c:pt>
                <c:pt idx="26">
                  <c:v>-25592</c:v>
                </c:pt>
                <c:pt idx="27">
                  <c:v>-25009</c:v>
                </c:pt>
                <c:pt idx="28">
                  <c:v>-25006</c:v>
                </c:pt>
                <c:pt idx="29">
                  <c:v>-24640.5</c:v>
                </c:pt>
                <c:pt idx="30">
                  <c:v>-24638</c:v>
                </c:pt>
                <c:pt idx="31">
                  <c:v>-24638</c:v>
                </c:pt>
                <c:pt idx="32">
                  <c:v>-24635</c:v>
                </c:pt>
                <c:pt idx="33">
                  <c:v>-24632</c:v>
                </c:pt>
                <c:pt idx="34">
                  <c:v>-24626.5</c:v>
                </c:pt>
                <c:pt idx="35">
                  <c:v>-24621</c:v>
                </c:pt>
                <c:pt idx="36">
                  <c:v>-24620.5</c:v>
                </c:pt>
                <c:pt idx="37">
                  <c:v>-24563.5</c:v>
                </c:pt>
                <c:pt idx="38">
                  <c:v>-24546.5</c:v>
                </c:pt>
                <c:pt idx="39">
                  <c:v>-23972</c:v>
                </c:pt>
                <c:pt idx="40">
                  <c:v>-23843.5</c:v>
                </c:pt>
                <c:pt idx="41">
                  <c:v>-21024.5</c:v>
                </c:pt>
                <c:pt idx="42">
                  <c:v>-21021.5</c:v>
                </c:pt>
                <c:pt idx="43">
                  <c:v>-21021</c:v>
                </c:pt>
                <c:pt idx="44">
                  <c:v>-20984.5</c:v>
                </c:pt>
                <c:pt idx="45">
                  <c:v>-20961</c:v>
                </c:pt>
                <c:pt idx="46">
                  <c:v>-20959</c:v>
                </c:pt>
                <c:pt idx="47">
                  <c:v>-20958.5</c:v>
                </c:pt>
                <c:pt idx="48">
                  <c:v>-20956</c:v>
                </c:pt>
                <c:pt idx="49">
                  <c:v>-20844.5</c:v>
                </c:pt>
                <c:pt idx="50">
                  <c:v>-20813</c:v>
                </c:pt>
                <c:pt idx="51">
                  <c:v>-20810</c:v>
                </c:pt>
                <c:pt idx="52">
                  <c:v>-20687.5</c:v>
                </c:pt>
                <c:pt idx="53">
                  <c:v>-20679</c:v>
                </c:pt>
                <c:pt idx="54">
                  <c:v>-19915</c:v>
                </c:pt>
                <c:pt idx="55">
                  <c:v>-18424.5</c:v>
                </c:pt>
                <c:pt idx="56">
                  <c:v>-18424.5</c:v>
                </c:pt>
                <c:pt idx="57">
                  <c:v>-18424.5</c:v>
                </c:pt>
                <c:pt idx="58">
                  <c:v>-18424.5</c:v>
                </c:pt>
                <c:pt idx="59">
                  <c:v>-18424.5</c:v>
                </c:pt>
                <c:pt idx="60">
                  <c:v>-18421.5</c:v>
                </c:pt>
                <c:pt idx="61">
                  <c:v>-18421.5</c:v>
                </c:pt>
                <c:pt idx="62">
                  <c:v>-18421.5</c:v>
                </c:pt>
                <c:pt idx="63">
                  <c:v>-18421.5</c:v>
                </c:pt>
                <c:pt idx="64">
                  <c:v>-16736.5</c:v>
                </c:pt>
                <c:pt idx="65">
                  <c:v>-16425</c:v>
                </c:pt>
                <c:pt idx="66">
                  <c:v>-16425</c:v>
                </c:pt>
                <c:pt idx="67">
                  <c:v>-16285</c:v>
                </c:pt>
                <c:pt idx="68">
                  <c:v>-16285</c:v>
                </c:pt>
                <c:pt idx="69">
                  <c:v>-16285</c:v>
                </c:pt>
                <c:pt idx="70">
                  <c:v>-15513.5</c:v>
                </c:pt>
                <c:pt idx="71">
                  <c:v>-15513.5</c:v>
                </c:pt>
                <c:pt idx="72">
                  <c:v>-15502.5</c:v>
                </c:pt>
                <c:pt idx="73">
                  <c:v>-15502.5</c:v>
                </c:pt>
                <c:pt idx="74">
                  <c:v>-15502</c:v>
                </c:pt>
                <c:pt idx="75">
                  <c:v>-15502</c:v>
                </c:pt>
                <c:pt idx="76">
                  <c:v>-15502</c:v>
                </c:pt>
                <c:pt idx="77">
                  <c:v>-15491</c:v>
                </c:pt>
                <c:pt idx="78">
                  <c:v>-15491</c:v>
                </c:pt>
                <c:pt idx="79">
                  <c:v>-14941</c:v>
                </c:pt>
                <c:pt idx="80">
                  <c:v>-14485.5</c:v>
                </c:pt>
                <c:pt idx="81">
                  <c:v>-14485.5</c:v>
                </c:pt>
                <c:pt idx="82">
                  <c:v>-14485</c:v>
                </c:pt>
                <c:pt idx="83">
                  <c:v>-14485</c:v>
                </c:pt>
                <c:pt idx="84">
                  <c:v>-14479.5</c:v>
                </c:pt>
                <c:pt idx="85">
                  <c:v>-14479.5</c:v>
                </c:pt>
                <c:pt idx="86">
                  <c:v>-14465.5</c:v>
                </c:pt>
                <c:pt idx="87">
                  <c:v>-14465.5</c:v>
                </c:pt>
                <c:pt idx="88">
                  <c:v>-14465.5</c:v>
                </c:pt>
                <c:pt idx="89">
                  <c:v>-13434</c:v>
                </c:pt>
                <c:pt idx="90">
                  <c:v>-13431.5</c:v>
                </c:pt>
                <c:pt idx="91">
                  <c:v>-13431.5</c:v>
                </c:pt>
                <c:pt idx="92">
                  <c:v>-13431.5</c:v>
                </c:pt>
                <c:pt idx="93">
                  <c:v>-13431</c:v>
                </c:pt>
                <c:pt idx="94">
                  <c:v>-13428.5</c:v>
                </c:pt>
                <c:pt idx="95">
                  <c:v>-13428.5</c:v>
                </c:pt>
                <c:pt idx="96">
                  <c:v>-13428.5</c:v>
                </c:pt>
                <c:pt idx="97">
                  <c:v>-12277</c:v>
                </c:pt>
                <c:pt idx="98">
                  <c:v>-10337.5</c:v>
                </c:pt>
                <c:pt idx="99">
                  <c:v>-8866.5</c:v>
                </c:pt>
                <c:pt idx="100">
                  <c:v>-8855</c:v>
                </c:pt>
                <c:pt idx="101">
                  <c:v>-8338</c:v>
                </c:pt>
                <c:pt idx="102">
                  <c:v>-8312</c:v>
                </c:pt>
                <c:pt idx="103">
                  <c:v>-8295</c:v>
                </c:pt>
                <c:pt idx="104">
                  <c:v>-7909.5</c:v>
                </c:pt>
                <c:pt idx="105">
                  <c:v>-7166</c:v>
                </c:pt>
                <c:pt idx="106">
                  <c:v>-7166</c:v>
                </c:pt>
                <c:pt idx="107">
                  <c:v>-6986.5</c:v>
                </c:pt>
                <c:pt idx="108">
                  <c:v>-5835</c:v>
                </c:pt>
                <c:pt idx="109">
                  <c:v>-5835</c:v>
                </c:pt>
                <c:pt idx="110">
                  <c:v>-4281</c:v>
                </c:pt>
                <c:pt idx="111">
                  <c:v>-4179</c:v>
                </c:pt>
                <c:pt idx="112">
                  <c:v>-2799</c:v>
                </c:pt>
                <c:pt idx="113">
                  <c:v>-2799</c:v>
                </c:pt>
                <c:pt idx="114">
                  <c:v>-1092</c:v>
                </c:pt>
                <c:pt idx="115">
                  <c:v>-1091.5</c:v>
                </c:pt>
                <c:pt idx="116">
                  <c:v>-1055.5</c:v>
                </c:pt>
                <c:pt idx="117">
                  <c:v>-19.5</c:v>
                </c:pt>
                <c:pt idx="118">
                  <c:v>0.5</c:v>
                </c:pt>
                <c:pt idx="119">
                  <c:v>208</c:v>
                </c:pt>
                <c:pt idx="120">
                  <c:v>369</c:v>
                </c:pt>
                <c:pt idx="121">
                  <c:v>369</c:v>
                </c:pt>
                <c:pt idx="122">
                  <c:v>369</c:v>
                </c:pt>
                <c:pt idx="123">
                  <c:v>369</c:v>
                </c:pt>
                <c:pt idx="124">
                  <c:v>931</c:v>
                </c:pt>
                <c:pt idx="125">
                  <c:v>1486</c:v>
                </c:pt>
                <c:pt idx="126">
                  <c:v>1492</c:v>
                </c:pt>
                <c:pt idx="127">
                  <c:v>1523</c:v>
                </c:pt>
                <c:pt idx="128">
                  <c:v>1528.5</c:v>
                </c:pt>
                <c:pt idx="129">
                  <c:v>1529</c:v>
                </c:pt>
                <c:pt idx="130">
                  <c:v>1586</c:v>
                </c:pt>
                <c:pt idx="131">
                  <c:v>1588.5</c:v>
                </c:pt>
                <c:pt idx="132">
                  <c:v>1860</c:v>
                </c:pt>
                <c:pt idx="133">
                  <c:v>3203.5</c:v>
                </c:pt>
                <c:pt idx="134">
                  <c:v>3688</c:v>
                </c:pt>
                <c:pt idx="135">
                  <c:v>4132.5</c:v>
                </c:pt>
                <c:pt idx="136">
                  <c:v>4168</c:v>
                </c:pt>
                <c:pt idx="137">
                  <c:v>4168</c:v>
                </c:pt>
                <c:pt idx="138">
                  <c:v>4279.5</c:v>
                </c:pt>
                <c:pt idx="139">
                  <c:v>4280</c:v>
                </c:pt>
                <c:pt idx="140">
                  <c:v>5140.5</c:v>
                </c:pt>
                <c:pt idx="141">
                  <c:v>5216.5</c:v>
                </c:pt>
                <c:pt idx="142">
                  <c:v>5216.5</c:v>
                </c:pt>
                <c:pt idx="143">
                  <c:v>5216.5</c:v>
                </c:pt>
                <c:pt idx="144">
                  <c:v>5216.5</c:v>
                </c:pt>
                <c:pt idx="145">
                  <c:v>5216.5</c:v>
                </c:pt>
                <c:pt idx="146">
                  <c:v>5216.5</c:v>
                </c:pt>
                <c:pt idx="147">
                  <c:v>5269</c:v>
                </c:pt>
                <c:pt idx="148">
                  <c:v>6112</c:v>
                </c:pt>
                <c:pt idx="149">
                  <c:v>6299.5</c:v>
                </c:pt>
                <c:pt idx="150">
                  <c:v>6299.5</c:v>
                </c:pt>
                <c:pt idx="151">
                  <c:v>6353.5</c:v>
                </c:pt>
                <c:pt idx="152">
                  <c:v>6371</c:v>
                </c:pt>
                <c:pt idx="153">
                  <c:v>6804.5</c:v>
                </c:pt>
                <c:pt idx="154">
                  <c:v>6833</c:v>
                </c:pt>
                <c:pt idx="155">
                  <c:v>7199</c:v>
                </c:pt>
                <c:pt idx="156">
                  <c:v>7199</c:v>
                </c:pt>
                <c:pt idx="157">
                  <c:v>7327.5</c:v>
                </c:pt>
                <c:pt idx="158">
                  <c:v>8173.5</c:v>
                </c:pt>
                <c:pt idx="159">
                  <c:v>8173.5</c:v>
                </c:pt>
                <c:pt idx="160">
                  <c:v>8173.5</c:v>
                </c:pt>
                <c:pt idx="161">
                  <c:v>8173.5</c:v>
                </c:pt>
                <c:pt idx="162">
                  <c:v>8174</c:v>
                </c:pt>
                <c:pt idx="163">
                  <c:v>8174</c:v>
                </c:pt>
                <c:pt idx="164">
                  <c:v>8265</c:v>
                </c:pt>
                <c:pt idx="165">
                  <c:v>8290</c:v>
                </c:pt>
                <c:pt idx="166">
                  <c:v>8290.5</c:v>
                </c:pt>
                <c:pt idx="167">
                  <c:v>8307.5</c:v>
                </c:pt>
                <c:pt idx="168">
                  <c:v>8308</c:v>
                </c:pt>
                <c:pt idx="169">
                  <c:v>8733</c:v>
                </c:pt>
                <c:pt idx="170">
                  <c:v>8821.5</c:v>
                </c:pt>
                <c:pt idx="171">
                  <c:v>9401.5</c:v>
                </c:pt>
                <c:pt idx="172">
                  <c:v>9402</c:v>
                </c:pt>
                <c:pt idx="173">
                  <c:v>9453</c:v>
                </c:pt>
                <c:pt idx="174">
                  <c:v>10145</c:v>
                </c:pt>
                <c:pt idx="175">
                  <c:v>10162</c:v>
                </c:pt>
                <c:pt idx="176">
                  <c:v>10441</c:v>
                </c:pt>
                <c:pt idx="177">
                  <c:v>10441.5</c:v>
                </c:pt>
                <c:pt idx="178">
                  <c:v>12468</c:v>
                </c:pt>
                <c:pt idx="179">
                  <c:v>12663</c:v>
                </c:pt>
                <c:pt idx="180">
                  <c:v>16689.5</c:v>
                </c:pt>
                <c:pt idx="181">
                  <c:v>17620</c:v>
                </c:pt>
                <c:pt idx="182">
                  <c:v>18674</c:v>
                </c:pt>
                <c:pt idx="183">
                  <c:v>20071</c:v>
                </c:pt>
              </c:numCache>
            </c:numRef>
          </c:xVal>
          <c:yVal>
            <c:numRef>
              <c:f>Active!$U$21:$U$962</c:f>
              <c:numCache>
                <c:formatCode>0.0000</c:formatCode>
                <c:ptCount val="942"/>
                <c:pt idx="0">
                  <c:v>-9.3889653012527857E-4</c:v>
                </c:pt>
                <c:pt idx="1">
                  <c:v>-1.4041829333314992E-3</c:v>
                </c:pt>
                <c:pt idx="2">
                  <c:v>-1.6025269074019105E-3</c:v>
                </c:pt>
                <c:pt idx="3">
                  <c:v>-8.4663376487112418E-4</c:v>
                </c:pt>
                <c:pt idx="4">
                  <c:v>-2.9535529665859622E-3</c:v>
                </c:pt>
                <c:pt idx="5">
                  <c:v>1.9656120890323113E-3</c:v>
                </c:pt>
                <c:pt idx="6">
                  <c:v>1.8661826127969183E-3</c:v>
                </c:pt>
                <c:pt idx="7">
                  <c:v>7.6675282947363463E-4</c:v>
                </c:pt>
                <c:pt idx="8">
                  <c:v>3.987818759593878E-3</c:v>
                </c:pt>
                <c:pt idx="9">
                  <c:v>3.4631186748500138E-3</c:v>
                </c:pt>
                <c:pt idx="10">
                  <c:v>3.4298599027829148E-3</c:v>
                </c:pt>
                <c:pt idx="11">
                  <c:v>1.0977490842611445E-2</c:v>
                </c:pt>
                <c:pt idx="12">
                  <c:v>-8.7188056635864354E-3</c:v>
                </c:pt>
                <c:pt idx="13">
                  <c:v>-9.3816097699960452E-3</c:v>
                </c:pt>
                <c:pt idx="14">
                  <c:v>2.8236318393046016E-3</c:v>
                </c:pt>
                <c:pt idx="15">
                  <c:v>2.3330108457209654E-3</c:v>
                </c:pt>
                <c:pt idx="16">
                  <c:v>1.3435505086162314E-4</c:v>
                </c:pt>
                <c:pt idx="17">
                  <c:v>2.2375271370222716E-3</c:v>
                </c:pt>
                <c:pt idx="18">
                  <c:v>2.876737638222597E-3</c:v>
                </c:pt>
                <c:pt idx="19">
                  <c:v>4.3109954358929552E-3</c:v>
                </c:pt>
                <c:pt idx="20">
                  <c:v>1.1748162131999539E-2</c:v>
                </c:pt>
                <c:pt idx="21">
                  <c:v>1.6382085386197454E-2</c:v>
                </c:pt>
                <c:pt idx="22">
                  <c:v>1.7982727715317372E-2</c:v>
                </c:pt>
                <c:pt idx="23">
                  <c:v>2.3408921510806591E-3</c:v>
                </c:pt>
                <c:pt idx="24">
                  <c:v>1.8647750451812745E-3</c:v>
                </c:pt>
                <c:pt idx="25">
                  <c:v>3.8372368053835766E-3</c:v>
                </c:pt>
                <c:pt idx="26">
                  <c:v>2.5379420514057213E-3</c:v>
                </c:pt>
                <c:pt idx="27">
                  <c:v>1.2780028189154913E-3</c:v>
                </c:pt>
                <c:pt idx="28">
                  <c:v>2.9780063963369338E-3</c:v>
                </c:pt>
                <c:pt idx="29">
                  <c:v>4.2093979122662037E-3</c:v>
                </c:pt>
                <c:pt idx="30">
                  <c:v>4.5427017157379929E-3</c:v>
                </c:pt>
                <c:pt idx="31">
                  <c:v>4.842701715435313E-3</c:v>
                </c:pt>
                <c:pt idx="32">
                  <c:v>5.7426659974833469E-3</c:v>
                </c:pt>
                <c:pt idx="33">
                  <c:v>5.7426299553653692E-3</c:v>
                </c:pt>
                <c:pt idx="34">
                  <c:v>4.9758963896931879E-3</c:v>
                </c:pt>
                <c:pt idx="35">
                  <c:v>3.9091617561689759E-3</c:v>
                </c:pt>
                <c:pt idx="36">
                  <c:v>4.7758221918556831E-3</c:v>
                </c:pt>
                <c:pt idx="37">
                  <c:v>2.9750539237049789E-3</c:v>
                </c:pt>
                <c:pt idx="38">
                  <c:v>4.541469245512679E-3</c:v>
                </c:pt>
                <c:pt idx="39">
                  <c:v>-1.3573024312842547E-2</c:v>
                </c:pt>
                <c:pt idx="40">
                  <c:v>7.7554722909210158E-3</c:v>
                </c:pt>
                <c:pt idx="41">
                  <c:v>1.3693328520070561E-3</c:v>
                </c:pt>
                <c:pt idx="42">
                  <c:v>8.6891433795983908E-4</c:v>
                </c:pt>
                <c:pt idx="43">
                  <c:v>-4.6448877249993109E-4</c:v>
                </c:pt>
                <c:pt idx="44">
                  <c:v>9.970599343818061E-4</c:v>
                </c:pt>
                <c:pt idx="45">
                  <c:v>1.5270732466607859E-3</c:v>
                </c:pt>
                <c:pt idx="46">
                  <c:v>1.4934564617625767E-3</c:v>
                </c:pt>
                <c:pt idx="47">
                  <c:v>9.6005224217941137E-4</c:v>
                </c:pt>
                <c:pt idx="48">
                  <c:v>5.1930310121620429E-3</c:v>
                </c:pt>
                <c:pt idx="49">
                  <c:v>2.2436598100623838E-3</c:v>
                </c:pt>
                <c:pt idx="50">
                  <c:v>1.6390493958263405E-3</c:v>
                </c:pt>
                <c:pt idx="51">
                  <c:v>1.5386084887363885E-3</c:v>
                </c:pt>
                <c:pt idx="52">
                  <c:v>1.3536663973075097E-3</c:v>
                </c:pt>
                <c:pt idx="53">
                  <c:v>2.7857119863287962E-3</c:v>
                </c:pt>
                <c:pt idx="54">
                  <c:v>1.3262126534366054E-3</c:v>
                </c:pt>
                <c:pt idx="55">
                  <c:v>-2.2145921494794607E-2</c:v>
                </c:pt>
                <c:pt idx="56">
                  <c:v>-1.7145921497413952E-2</c:v>
                </c:pt>
                <c:pt idx="57">
                  <c:v>-1.3145921496599045E-2</c:v>
                </c:pt>
                <c:pt idx="58">
                  <c:v>-1.1145921496191591E-2</c:v>
                </c:pt>
                <c:pt idx="59">
                  <c:v>-8.1459214992183893E-3</c:v>
                </c:pt>
                <c:pt idx="60">
                  <c:v>-2.0346615433753476E-2</c:v>
                </c:pt>
                <c:pt idx="61">
                  <c:v>-1.1346615435557914E-2</c:v>
                </c:pt>
                <c:pt idx="62">
                  <c:v>-1.0346615431716208E-2</c:v>
                </c:pt>
                <c:pt idx="63">
                  <c:v>-9.3466154351504599E-3</c:v>
                </c:pt>
                <c:pt idx="64">
                  <c:v>-1.0119925471731045E-2</c:v>
                </c:pt>
                <c:pt idx="65">
                  <c:v>4.0210908271218065E-3</c:v>
                </c:pt>
                <c:pt idx="66">
                  <c:v>1.5021090825724823E-2</c:v>
                </c:pt>
                <c:pt idx="67">
                  <c:v>-6.3548493089756811E-3</c:v>
                </c:pt>
                <c:pt idx="68">
                  <c:v>-5.6548493048312956E-3</c:v>
                </c:pt>
                <c:pt idx="69">
                  <c:v>-4.9548493079628678E-3</c:v>
                </c:pt>
                <c:pt idx="70">
                  <c:v>-7.3539226338272326E-4</c:v>
                </c:pt>
                <c:pt idx="71">
                  <c:v>-4.3539227096136071E-4</c:v>
                </c:pt>
                <c:pt idx="72">
                  <c:v>-1.672402277575296E-3</c:v>
                </c:pt>
                <c:pt idx="73">
                  <c:v>-4.7240247523687093E-4</c:v>
                </c:pt>
                <c:pt idx="74">
                  <c:v>-1.2059029539697088E-3</c:v>
                </c:pt>
                <c:pt idx="75">
                  <c:v>-2.0590282643672374E-4</c:v>
                </c:pt>
                <c:pt idx="76">
                  <c:v>-1.0590282168697861E-4</c:v>
                </c:pt>
                <c:pt idx="77">
                  <c:v>-3.6429172952344817E-3</c:v>
                </c:pt>
                <c:pt idx="78">
                  <c:v>-3.6429172370268208E-3</c:v>
                </c:pt>
                <c:pt idx="79">
                  <c:v>-3.5990883520655055E-3</c:v>
                </c:pt>
                <c:pt idx="80">
                  <c:v>-1.5307853866694358E-3</c:v>
                </c:pt>
                <c:pt idx="81">
                  <c:v>-1.4307854692311821E-3</c:v>
                </c:pt>
                <c:pt idx="82">
                  <c:v>-2.0643040807056309E-3</c:v>
                </c:pt>
                <c:pt idx="83">
                  <c:v>-1.964303901332903E-3</c:v>
                </c:pt>
                <c:pt idx="84">
                  <c:v>-9.3300810988227942E-4</c:v>
                </c:pt>
                <c:pt idx="85">
                  <c:v>-7.3300810765874677E-4</c:v>
                </c:pt>
                <c:pt idx="86">
                  <c:v>-1.4715327454217671E-3</c:v>
                </c:pt>
                <c:pt idx="87">
                  <c:v>-1.471532709041979E-3</c:v>
                </c:pt>
                <c:pt idx="88">
                  <c:v>-1.3715327479479796E-3</c:v>
                </c:pt>
                <c:pt idx="89">
                  <c:v>-3.0397271482136626E-3</c:v>
                </c:pt>
                <c:pt idx="90">
                  <c:v>-2.7074126091792446E-3</c:v>
                </c:pt>
                <c:pt idx="91">
                  <c:v>-2.3074126120081369E-3</c:v>
                </c:pt>
                <c:pt idx="92">
                  <c:v>-1.9074126075610716E-3</c:v>
                </c:pt>
                <c:pt idx="93">
                  <c:v>-2.9409497304632385E-3</c:v>
                </c:pt>
                <c:pt idx="94">
                  <c:v>-2.0086354641418828E-3</c:v>
                </c:pt>
                <c:pt idx="95">
                  <c:v>-1.8086354691943078E-3</c:v>
                </c:pt>
                <c:pt idx="96">
                  <c:v>-1.5086354694969877E-3</c:v>
                </c:pt>
                <c:pt idx="97">
                  <c:v>1.9318536606542178E-3</c:v>
                </c:pt>
                <c:pt idx="98">
                  <c:v>-1.2304100363052305E-2</c:v>
                </c:pt>
                <c:pt idx="104">
                  <c:v>-3.0296824114587175E-3</c:v>
                </c:pt>
                <c:pt idx="105">
                  <c:v>-7.5541066766695439E-3</c:v>
                </c:pt>
                <c:pt idx="106">
                  <c:v>-7.5541066766695439E-3</c:v>
                </c:pt>
                <c:pt idx="107">
                  <c:v>-3.2342129022437248E-3</c:v>
                </c:pt>
                <c:pt idx="108">
                  <c:v>-3.1556587201125173E-3</c:v>
                </c:pt>
                <c:pt idx="109">
                  <c:v>-3.1556587201125173E-3</c:v>
                </c:pt>
                <c:pt idx="111">
                  <c:v>-1.4232089400227851E-3</c:v>
                </c:pt>
                <c:pt idx="112">
                  <c:v>4.2298618655859498E-3</c:v>
                </c:pt>
                <c:pt idx="113">
                  <c:v>4.4298618678094825E-3</c:v>
                </c:pt>
                <c:pt idx="114">
                  <c:v>1.0418204126134273E-3</c:v>
                </c:pt>
                <c:pt idx="115">
                  <c:v>1.4080654313016262E-3</c:v>
                </c:pt>
                <c:pt idx="116">
                  <c:v>2.5776836684996717E-3</c:v>
                </c:pt>
                <c:pt idx="117">
                  <c:v>2.0170894190801158E-3</c:v>
                </c:pt>
                <c:pt idx="118">
                  <c:v>-3.3874087008862525E-5</c:v>
                </c:pt>
                <c:pt idx="119">
                  <c:v>-5.0953908063329159E-5</c:v>
                </c:pt>
                <c:pt idx="120">
                  <c:v>-8.6279042711441874E-3</c:v>
                </c:pt>
                <c:pt idx="121">
                  <c:v>-7.6379042706878394E-3</c:v>
                </c:pt>
                <c:pt idx="122">
                  <c:v>2.3720957274588291E-3</c:v>
                </c:pt>
                <c:pt idx="123">
                  <c:v>2.7820957280152944E-3</c:v>
                </c:pt>
                <c:pt idx="124">
                  <c:v>1.1969336174023576E-3</c:v>
                </c:pt>
                <c:pt idx="128">
                  <c:v>3.8107528564650514E-3</c:v>
                </c:pt>
                <c:pt idx="129">
                  <c:v>-7.0230483845034651E-3</c:v>
                </c:pt>
                <c:pt idx="131">
                  <c:v>-1.871545970150543E-2</c:v>
                </c:pt>
                <c:pt idx="132">
                  <c:v>-1.2014106056868529E-3</c:v>
                </c:pt>
                <c:pt idx="134">
                  <c:v>-8.059145281377111E-3</c:v>
                </c:pt>
                <c:pt idx="135">
                  <c:v>-1.3458323990597179E-3</c:v>
                </c:pt>
                <c:pt idx="136">
                  <c:v>-1.4490070282634051E-3</c:v>
                </c:pt>
                <c:pt idx="137">
                  <c:v>-1.4290070287686476E-3</c:v>
                </c:pt>
                <c:pt idx="138">
                  <c:v>-9.97295572438561E-4</c:v>
                </c:pt>
                <c:pt idx="139">
                  <c:v>1.1688546081851149E-3</c:v>
                </c:pt>
                <c:pt idx="140">
                  <c:v>-1.2997599678489409E-3</c:v>
                </c:pt>
                <c:pt idx="141">
                  <c:v>-2.2473439550759417E-3</c:v>
                </c:pt>
                <c:pt idx="142">
                  <c:v>-2.2073439560864267E-3</c:v>
                </c:pt>
                <c:pt idx="143">
                  <c:v>-1.9473439553786215E-3</c:v>
                </c:pt>
                <c:pt idx="144">
                  <c:v>-1.9473439553786215E-3</c:v>
                </c:pt>
                <c:pt idx="145">
                  <c:v>-1.9073439563891065E-3</c:v>
                </c:pt>
                <c:pt idx="146">
                  <c:v>-1.9073439563891065E-3</c:v>
                </c:pt>
                <c:pt idx="147">
                  <c:v>-2.8033598957694435E-3</c:v>
                </c:pt>
                <c:pt idx="148">
                  <c:v>-3.6161440609076695E-3</c:v>
                </c:pt>
                <c:pt idx="149">
                  <c:v>-3.0225768171308299E-3</c:v>
                </c:pt>
                <c:pt idx="150">
                  <c:v>-2.9925768142507149E-3</c:v>
                </c:pt>
                <c:pt idx="151">
                  <c:v>3.9774030078677238E-4</c:v>
                </c:pt>
                <c:pt idx="152">
                  <c:v>-2.6082901322920923E-3</c:v>
                </c:pt>
                <c:pt idx="153">
                  <c:v>-1.8514100384397869E-3</c:v>
                </c:pt>
                <c:pt idx="154">
                  <c:v>-3.2834047131747287E-3</c:v>
                </c:pt>
                <c:pt idx="155">
                  <c:v>-3.2968329506295711E-3</c:v>
                </c:pt>
                <c:pt idx="156">
                  <c:v>-3.2468329482546986E-3</c:v>
                </c:pt>
                <c:pt idx="157">
                  <c:v>7.6022678057926737E-4</c:v>
                </c:pt>
                <c:pt idx="158">
                  <c:v>-1.9173441585752168E-3</c:v>
                </c:pt>
                <c:pt idx="159">
                  <c:v>-1.8173441538254717E-3</c:v>
                </c:pt>
                <c:pt idx="160">
                  <c:v>-1.7173441563516842E-3</c:v>
                </c:pt>
                <c:pt idx="161">
                  <c:v>-1.5173441541281515E-3</c:v>
                </c:pt>
                <c:pt idx="162">
                  <c:v>-2.851262722719938E-3</c:v>
                </c:pt>
                <c:pt idx="163">
                  <c:v>-2.2512627233252976E-3</c:v>
                </c:pt>
                <c:pt idx="164">
                  <c:v>-4.4245888539776847E-3</c:v>
                </c:pt>
                <c:pt idx="165">
                  <c:v>-5.6906087669697548E-3</c:v>
                </c:pt>
                <c:pt idx="166">
                  <c:v>-1.1245293959488241E-3</c:v>
                </c:pt>
                <c:pt idx="167">
                  <c:v>-1.0778358456179568E-3</c:v>
                </c:pt>
                <c:pt idx="168">
                  <c:v>-1.811756780645372E-3</c:v>
                </c:pt>
                <c:pt idx="169">
                  <c:v>1.7052257887238555E-2</c:v>
                </c:pt>
                <c:pt idx="170">
                  <c:v>6.9467856518080464E-3</c:v>
                </c:pt>
                <c:pt idx="171">
                  <c:v>2.0020429680545956E-3</c:v>
                </c:pt>
                <c:pt idx="172">
                  <c:v>-1.4018972764306354E-3</c:v>
                </c:pt>
                <c:pt idx="173">
                  <c:v>-6.7138488954973999E-3</c:v>
                </c:pt>
                <c:pt idx="174">
                  <c:v>-7.2685828596641411E-4</c:v>
                </c:pt>
                <c:pt idx="175">
                  <c:v>-1.0961277966949779E-2</c:v>
                </c:pt>
                <c:pt idx="176">
                  <c:v>6.3711998261781564E-3</c:v>
                </c:pt>
                <c:pt idx="177">
                  <c:v>-2.4527587724695894E-3</c:v>
                </c:pt>
                <c:pt idx="178">
                  <c:v>-5.3948949791378289E-4</c:v>
                </c:pt>
                <c:pt idx="179">
                  <c:v>4.0202958000770716E-4</c:v>
                </c:pt>
                <c:pt idx="180">
                  <c:v>6.6312915842436466E-3</c:v>
                </c:pt>
                <c:pt idx="181">
                  <c:v>5.6137522422079244E-3</c:v>
                </c:pt>
                <c:pt idx="182">
                  <c:v>4.1422325766070139E-3</c:v>
                </c:pt>
                <c:pt idx="183">
                  <c:v>8.7213306941391778E-3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25-410F-B2BF-2DCA0EFF1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852848"/>
        <c:axId val="1"/>
      </c:scatterChart>
      <c:valAx>
        <c:axId val="603852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05535014208181"/>
              <c:y val="0.86734979556126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32950631458095E-2"/>
              <c:y val="0.346939846804863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852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909323762773049"/>
          <c:y val="0.92177192136697195"/>
          <c:w val="7.4626865671641784E-2"/>
          <c:h val="6.8027567982573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/ HIP 74368 - O-C Diagr.</a:t>
            </a:r>
          </a:p>
        </c:rich>
      </c:tx>
      <c:layout>
        <c:manualLayout>
          <c:xMode val="edge"/>
          <c:yMode val="edge"/>
          <c:x val="0.36363636363636365"/>
          <c:y val="1.4534883720930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98619102416572E-2"/>
          <c:y val="8.7209302325581398E-2"/>
          <c:w val="0.90103567318757194"/>
          <c:h val="0.74127906976744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(old)'!$H$21:$H$962</c:f>
              <c:numCache>
                <c:formatCode>0.0000</c:formatCode>
                <c:ptCount val="942"/>
                <c:pt idx="42">
                  <c:v>2.5033254001755267E-2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A-4CCB-9D20-EBA587AA33BC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(old)'!$I$21:$I$962</c:f>
              <c:numCache>
                <c:formatCode>0.0000</c:formatCode>
                <c:ptCount val="942"/>
                <c:pt idx="20">
                  <c:v>9.3134409980848432E-3</c:v>
                </c:pt>
                <c:pt idx="21">
                  <c:v>-6.4426124954479747E-3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CA-4CCB-9D20-EBA587AA33BC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(old)'!$D$21:$D$28</c:f>
                <c:numCache>
                  <c:formatCode>General</c:formatCode>
                  <c:ptCount val="8"/>
                </c:numCache>
              </c:numRef>
            </c:plus>
            <c:minus>
              <c:numRef>
                <c:f>'A (old)'!$D$21:$D$28</c:f>
                <c:numCache>
                  <c:formatCode>General</c:formatCode>
                  <c:ptCount val="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(old)'!$J$21:$J$962</c:f>
              <c:numCache>
                <c:formatCode>0.0000</c:formatCode>
                <c:ptCount val="942"/>
                <c:pt idx="2">
                  <c:v>5.3119219955988228E-3</c:v>
                </c:pt>
                <c:pt idx="3">
                  <c:v>5.6420895052724518E-3</c:v>
                </c:pt>
                <c:pt idx="4">
                  <c:v>6.4420895068906248E-3</c:v>
                </c:pt>
                <c:pt idx="5">
                  <c:v>5.4081230045994744E-3</c:v>
                </c:pt>
                <c:pt idx="6">
                  <c:v>6.338290506391786E-3</c:v>
                </c:pt>
                <c:pt idx="7">
                  <c:v>6.8382905010366812E-3</c:v>
                </c:pt>
                <c:pt idx="19">
                  <c:v>1.5985695004928857E-2</c:v>
                </c:pt>
                <c:pt idx="49">
                  <c:v>9.4785955079714768E-3</c:v>
                </c:pt>
                <c:pt idx="50">
                  <c:v>9.7313322985428385E-3</c:v>
                </c:pt>
                <c:pt idx="51">
                  <c:v>8.9973658759845421E-3</c:v>
                </c:pt>
                <c:pt idx="52">
                  <c:v>6.5501030621817335E-3</c:v>
                </c:pt>
                <c:pt idx="53">
                  <c:v>4.5889050015830435E-3</c:v>
                </c:pt>
                <c:pt idx="54">
                  <c:v>5.9889050025958568E-3</c:v>
                </c:pt>
                <c:pt idx="55">
                  <c:v>7.8434714232571423E-3</c:v>
                </c:pt>
                <c:pt idx="56">
                  <c:v>7.2095048235496506E-3</c:v>
                </c:pt>
                <c:pt idx="57">
                  <c:v>8.5358735086629167E-3</c:v>
                </c:pt>
                <c:pt idx="58">
                  <c:v>7.7848115397500806E-3</c:v>
                </c:pt>
                <c:pt idx="60">
                  <c:v>1.1160635040141642E-3</c:v>
                </c:pt>
                <c:pt idx="61">
                  <c:v>3.1390450749313459E-4</c:v>
                </c:pt>
                <c:pt idx="70">
                  <c:v>-2.3192734952317551E-3</c:v>
                </c:pt>
                <c:pt idx="71">
                  <c:v>-1.5323999832617119E-4</c:v>
                </c:pt>
                <c:pt idx="74">
                  <c:v>-2.8095864981878549E-3</c:v>
                </c:pt>
                <c:pt idx="76">
                  <c:v>-1.332315499894321E-3</c:v>
                </c:pt>
                <c:pt idx="77">
                  <c:v>-4.3411430015112273E-3</c:v>
                </c:pt>
                <c:pt idx="78">
                  <c:v>-1.1090574989793822E-3</c:v>
                </c:pt>
                <c:pt idx="79">
                  <c:v>-7.6645699955406599E-3</c:v>
                </c:pt>
                <c:pt idx="80">
                  <c:v>-3.0985365010565147E-3</c:v>
                </c:pt>
                <c:pt idx="81">
                  <c:v>-3.0533975004800595E-3</c:v>
                </c:pt>
                <c:pt idx="82">
                  <c:v>-3.7873640030738898E-3</c:v>
                </c:pt>
                <c:pt idx="83">
                  <c:v>4.9290405004285276E-3</c:v>
                </c:pt>
                <c:pt idx="84">
                  <c:v>-8.7706490012351424E-3</c:v>
                </c:pt>
                <c:pt idx="86">
                  <c:v>-3.8921220038901083E-3</c:v>
                </c:pt>
                <c:pt idx="87">
                  <c:v>-3.1094499718165025E-4</c:v>
                </c:pt>
                <c:pt idx="92">
                  <c:v>1.6863937496964354E-2</c:v>
                </c:pt>
                <c:pt idx="93">
                  <c:v>1.8286507001903374E-2</c:v>
                </c:pt>
                <c:pt idx="129">
                  <c:v>2.4403086506936233E-2</c:v>
                </c:pt>
                <c:pt idx="130">
                  <c:v>2.4733254002057947E-2</c:v>
                </c:pt>
                <c:pt idx="131">
                  <c:v>2.5929455005098134E-2</c:v>
                </c:pt>
                <c:pt idx="132">
                  <c:v>2.5925656002073083E-2</c:v>
                </c:pt>
                <c:pt idx="133">
                  <c:v>2.515202450013021E-2</c:v>
                </c:pt>
                <c:pt idx="134">
                  <c:v>2.4078392998490017E-2</c:v>
                </c:pt>
                <c:pt idx="135">
                  <c:v>2.4944426499132533E-2</c:v>
                </c:pt>
                <c:pt idx="136">
                  <c:v>2.30722455016803E-2</c:v>
                </c:pt>
                <c:pt idx="137">
                  <c:v>2.4617384500743356E-2</c:v>
                </c:pt>
                <c:pt idx="138">
                  <c:v>2.6960485505696852E-2</c:v>
                </c:pt>
                <c:pt idx="142">
                  <c:v>1.7257358500501141E-2</c:v>
                </c:pt>
                <c:pt idx="143">
                  <c:v>1.6753559495555237E-2</c:v>
                </c:pt>
                <c:pt idx="144">
                  <c:v>1.5419593000842724E-2</c:v>
                </c:pt>
                <c:pt idx="145">
                  <c:v>1.6840038500959054E-2</c:v>
                </c:pt>
                <c:pt idx="146">
                  <c:v>1.7343612998956814E-2</c:v>
                </c:pt>
                <c:pt idx="147">
                  <c:v>1.7307747002632823E-2</c:v>
                </c:pt>
                <c:pt idx="148">
                  <c:v>1.6773780502262525E-2</c:v>
                </c:pt>
                <c:pt idx="149">
                  <c:v>2.1003948000725359E-2</c:v>
                </c:pt>
                <c:pt idx="150">
                  <c:v>1.7929418507264927E-2</c:v>
                </c:pt>
                <c:pt idx="151">
                  <c:v>1.7289529001573101E-2</c:v>
                </c:pt>
                <c:pt idx="152">
                  <c:v>1.718573000835022E-2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CA-4CCB-9D20-EBA587AA33BC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(old)'!$K$21:$K$962</c:f>
              <c:numCache>
                <c:formatCode>0.0000</c:formatCode>
                <c:ptCount val="942"/>
                <c:pt idx="8">
                  <c:v>1.5099525000550784E-2</c:v>
                </c:pt>
                <c:pt idx="22">
                  <c:v>-6.8441499024629593E-5</c:v>
                </c:pt>
                <c:pt idx="41">
                  <c:v>1.2606544987647794E-3</c:v>
                </c:pt>
                <c:pt idx="65">
                  <c:v>1.4828359999228269E-3</c:v>
                </c:pt>
                <c:pt idx="66">
                  <c:v>1.8488694986444898E-3</c:v>
                </c:pt>
                <c:pt idx="88">
                  <c:v>5.7898760060197674E-3</c:v>
                </c:pt>
                <c:pt idx="89">
                  <c:v>-4.0684414998395368E-3</c:v>
                </c:pt>
                <c:pt idx="90">
                  <c:v>3.7277594965416938E-3</c:v>
                </c:pt>
                <c:pt idx="122">
                  <c:v>1.931558501382824E-3</c:v>
                </c:pt>
                <c:pt idx="123">
                  <c:v>2.7277594999759458E-3</c:v>
                </c:pt>
                <c:pt idx="124">
                  <c:v>4.9315584983560257E-3</c:v>
                </c:pt>
                <c:pt idx="125">
                  <c:v>1.7277594961342402E-3</c:v>
                </c:pt>
                <c:pt idx="128">
                  <c:v>2.60995249991538E-2</c:v>
                </c:pt>
                <c:pt idx="153">
                  <c:v>-9.0684414972201921E-3</c:v>
                </c:pt>
                <c:pt idx="154">
                  <c:v>-7.2722405020613223E-3</c:v>
                </c:pt>
                <c:pt idx="155">
                  <c:v>-1.3006399967707694E-4</c:v>
                </c:pt>
                <c:pt idx="156">
                  <c:v>8.5437700181500986E-4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CA-4CCB-9D20-EBA587AA33BC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Dvorak/Krajci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(old)'!$L$21:$L$962</c:f>
              <c:numCache>
                <c:formatCode>0.0000</c:formatCode>
                <c:ptCount val="942"/>
                <c:pt idx="62">
                  <c:v>3.003281497512944E-3</c:v>
                </c:pt>
                <c:pt idx="63">
                  <c:v>2.0246935018803924E-3</c:v>
                </c:pt>
                <c:pt idx="64">
                  <c:v>-3.3966498449444771E-5</c:v>
                </c:pt>
                <c:pt idx="67">
                  <c:v>3.2644094972056337E-3</c:v>
                </c:pt>
                <c:pt idx="68">
                  <c:v>-7.5695569976232946E-3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CA-4CCB-9D20-EBA587AA33BC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(old)'!$M$21:$M$962</c:f>
              <c:numCache>
                <c:formatCode>0.0000</c:formatCode>
                <c:ptCount val="942"/>
                <c:pt idx="23">
                  <c:v>1.0097366008267272E-2</c:v>
                </c:pt>
                <c:pt idx="24">
                  <c:v>6.5501030039740726E-3</c:v>
                </c:pt>
                <c:pt idx="25">
                  <c:v>9.7785955003928393E-3</c:v>
                </c:pt>
                <c:pt idx="26">
                  <c:v>8.5313324962044135E-3</c:v>
                </c:pt>
                <c:pt idx="27">
                  <c:v>7.3095050029223785E-3</c:v>
                </c:pt>
                <c:pt idx="28">
                  <c:v>7.7434715058188885E-3</c:v>
                </c:pt>
                <c:pt idx="29">
                  <c:v>8.3358735064393841E-3</c:v>
                </c:pt>
                <c:pt idx="30">
                  <c:v>7.88481150084408E-3</c:v>
                </c:pt>
                <c:pt idx="31">
                  <c:v>6.0420895024435595E-3</c:v>
                </c:pt>
                <c:pt idx="32">
                  <c:v>6.5382905013393611E-3</c:v>
                </c:pt>
                <c:pt idx="43">
                  <c:v>5.2889050057274289E-3</c:v>
                </c:pt>
                <c:pt idx="116">
                  <c:v>-3.880375501466915E-3</c:v>
                </c:pt>
                <c:pt idx="117">
                  <c:v>-3.7803754967171699E-3</c:v>
                </c:pt>
                <c:pt idx="118">
                  <c:v>-3.6803754992433824E-3</c:v>
                </c:pt>
                <c:pt idx="119">
                  <c:v>-3.4803754970198497E-3</c:v>
                </c:pt>
                <c:pt idx="120">
                  <c:v>-4.8143419990083203E-3</c:v>
                </c:pt>
                <c:pt idx="121">
                  <c:v>-4.2143419996136799E-3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CA-4CCB-9D20-EBA587AA33BC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(old)'!$N$21:$N$962</c:f>
              <c:numCache>
                <c:formatCode>0.0000</c:formatCode>
                <c:ptCount val="942"/>
                <c:pt idx="72">
                  <c:v>-2.6331224944442511E-3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CA-4CCB-9D20-EBA587AA33BC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(old)'!$O$21:$O$962</c:f>
              <c:numCache>
                <c:formatCode>0.0000</c:formatCode>
                <c:ptCount val="942"/>
                <c:pt idx="0">
                  <c:v>-3.8921220038901083E-3</c:v>
                </c:pt>
                <c:pt idx="1">
                  <c:v>-3.1094499718165025E-4</c:v>
                </c:pt>
                <c:pt idx="9">
                  <c:v>2.4934620007115882E-2</c:v>
                </c:pt>
                <c:pt idx="10">
                  <c:v>2.6998529501724988E-2</c:v>
                </c:pt>
                <c:pt idx="11">
                  <c:v>3.6375062001752667E-2</c:v>
                </c:pt>
                <c:pt idx="12">
                  <c:v>4.1001430501637515E-2</c:v>
                </c:pt>
                <c:pt idx="13">
                  <c:v>4.2593832498823758E-2</c:v>
                </c:pt>
                <c:pt idx="14">
                  <c:v>3.0345948500325903E-2</c:v>
                </c:pt>
                <c:pt idx="15">
                  <c:v>2.7754288501455449E-2</c:v>
                </c:pt>
                <c:pt idx="16">
                  <c:v>2.71498160000192E-2</c:v>
                </c:pt>
                <c:pt idx="17">
                  <c:v>2.7564113996049855E-2</c:v>
                </c:pt>
                <c:pt idx="18">
                  <c:v>2.8986683508264832E-2</c:v>
                </c:pt>
                <c:pt idx="33">
                  <c:v>2.9739801000687294E-2</c:v>
                </c:pt>
                <c:pt idx="34">
                  <c:v>2.9705834502237849E-2</c:v>
                </c:pt>
                <c:pt idx="35">
                  <c:v>2.3588719996041618E-2</c:v>
                </c:pt>
                <c:pt idx="36">
                  <c:v>2.5281225498474669E-2</c:v>
                </c:pt>
                <c:pt idx="37">
                  <c:v>2.3941336003190372E-2</c:v>
                </c:pt>
                <c:pt idx="38">
                  <c:v>2.1936397002718877E-2</c:v>
                </c:pt>
                <c:pt idx="39">
                  <c:v>2.3632598000403959E-2</c:v>
                </c:pt>
                <c:pt idx="40">
                  <c:v>3.4406339000270236E-2</c:v>
                </c:pt>
                <c:pt idx="44">
                  <c:v>4.3793096498120576E-2</c:v>
                </c:pt>
                <c:pt idx="45">
                  <c:v>4.3323263998900075E-2</c:v>
                </c:pt>
                <c:pt idx="46">
                  <c:v>4.3119465000927448E-2</c:v>
                </c:pt>
                <c:pt idx="47">
                  <c:v>4.3580352503340691E-2</c:v>
                </c:pt>
                <c:pt idx="48">
                  <c:v>6.0869529988849536E-3</c:v>
                </c:pt>
                <c:pt idx="59">
                  <c:v>4.9200699868379161E-4</c:v>
                </c:pt>
                <c:pt idx="73">
                  <c:v>-4.3389769998611882E-3</c:v>
                </c:pt>
                <c:pt idx="75">
                  <c:v>-5.3064959938637912E-3</c:v>
                </c:pt>
                <c:pt idx="85">
                  <c:v>2.5554909501806833E-2</c:v>
                </c:pt>
                <c:pt idx="94">
                  <c:v>1.634783050394617E-2</c:v>
                </c:pt>
                <c:pt idx="100">
                  <c:v>5.64446700445842E-3</c:v>
                </c:pt>
                <c:pt idx="101">
                  <c:v>-7.7772769946022891E-3</c:v>
                </c:pt>
                <c:pt idx="102">
                  <c:v>2.6427230041008443E-3</c:v>
                </c:pt>
                <c:pt idx="103">
                  <c:v>-2.5288438002462499E-2</c:v>
                </c:pt>
                <c:pt idx="107">
                  <c:v>-1.9281570494058542E-2</c:v>
                </c:pt>
                <c:pt idx="108">
                  <c:v>-1.8553800036897883E-3</c:v>
                </c:pt>
                <c:pt idx="109">
                  <c:v>-2.7247440011706203E-3</c:v>
                </c:pt>
                <c:pt idx="110">
                  <c:v>-3.7324945005821064E-3</c:v>
                </c:pt>
                <c:pt idx="111">
                  <c:v>-3.4324945008847862E-3</c:v>
                </c:pt>
                <c:pt idx="112">
                  <c:v>-3.4324945008847862E-3</c:v>
                </c:pt>
                <c:pt idx="113">
                  <c:v>-9.2369039921322837E-3</c:v>
                </c:pt>
                <c:pt idx="114">
                  <c:v>-4.7139334928942844E-3</c:v>
                </c:pt>
                <c:pt idx="115">
                  <c:v>-5.0996669961023144E-3</c:v>
                </c:pt>
                <c:pt idx="126">
                  <c:v>3.7116333500307519E-2</c:v>
                </c:pt>
                <c:pt idx="127">
                  <c:v>1.7384041995683219E-2</c:v>
                </c:pt>
                <c:pt idx="139">
                  <c:v>2.9913813006714918E-2</c:v>
                </c:pt>
                <c:pt idx="140">
                  <c:v>2.9810013998940121E-2</c:v>
                </c:pt>
                <c:pt idx="141">
                  <c:v>2.8706215001875535E-2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CA-4CCB-9D20-EBA587AA33BC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(old)'!$P$21:$P$962</c:f>
              <c:numCache>
                <c:formatCode>0.0000</c:formatCode>
                <c:ptCount val="942"/>
                <c:pt idx="0">
                  <c:v>4.7881516705216877E-3</c:v>
                </c:pt>
                <c:pt idx="1">
                  <c:v>3.6021779992613783E-3</c:v>
                </c:pt>
                <c:pt idx="23">
                  <c:v>1.2215857548527654E-2</c:v>
                </c:pt>
                <c:pt idx="24">
                  <c:v>1.2206056113227982E-2</c:v>
                </c:pt>
                <c:pt idx="25">
                  <c:v>1.2226104503613675E-2</c:v>
                </c:pt>
                <c:pt idx="26">
                  <c:v>1.2216303068314003E-2</c:v>
                </c:pt>
                <c:pt idx="27">
                  <c:v>1.1309670303094346E-2</c:v>
                </c:pt>
                <c:pt idx="28">
                  <c:v>1.1310115822880693E-2</c:v>
                </c:pt>
                <c:pt idx="29">
                  <c:v>1.1304769585444508E-2</c:v>
                </c:pt>
                <c:pt idx="30">
                  <c:v>1.1292295031426744E-2</c:v>
                </c:pt>
                <c:pt idx="31">
                  <c:v>1.0370960113257579E-2</c:v>
                </c:pt>
                <c:pt idx="32">
                  <c:v>1.0368286994539486E-2</c:v>
                </c:pt>
                <c:pt idx="43">
                  <c:v>1.291354153394976E-2</c:v>
                </c:pt>
                <c:pt idx="59">
                  <c:v>2.1266164668743968E-3</c:v>
                </c:pt>
                <c:pt idx="60">
                  <c:v>5.4506395928222446E-3</c:v>
                </c:pt>
                <c:pt idx="61">
                  <c:v>4.6282100672224956E-3</c:v>
                </c:pt>
                <c:pt idx="62">
                  <c:v>-6.5654563844609701E-4</c:v>
                </c:pt>
                <c:pt idx="63">
                  <c:v>-1.579662635760658E-3</c:v>
                </c:pt>
                <c:pt idx="64">
                  <c:v>-1.597483427214607E-3</c:v>
                </c:pt>
                <c:pt idx="65">
                  <c:v>-6.2402269404263988E-4</c:v>
                </c:pt>
                <c:pt idx="66">
                  <c:v>-6.2446821382898868E-4</c:v>
                </c:pt>
                <c:pt idx="67">
                  <c:v>-2.9589918942963152E-3</c:v>
                </c:pt>
                <c:pt idx="68">
                  <c:v>-2.9594374140826636E-3</c:v>
                </c:pt>
                <c:pt idx="69">
                  <c:v>-4.4514831785645477E-3</c:v>
                </c:pt>
                <c:pt idx="70">
                  <c:v>-5.4102417587870068E-3</c:v>
                </c:pt>
                <c:pt idx="71">
                  <c:v>-5.4106872785733562E-3</c:v>
                </c:pt>
                <c:pt idx="72">
                  <c:v>-5.2792589416004818E-3</c:v>
                </c:pt>
                <c:pt idx="73">
                  <c:v>-6.2919254159711372E-3</c:v>
                </c:pt>
                <c:pt idx="74">
                  <c:v>-6.1774268308795142E-3</c:v>
                </c:pt>
                <c:pt idx="75">
                  <c:v>-7.0430717757550892E-3</c:v>
                </c:pt>
                <c:pt idx="76">
                  <c:v>-7.2582578325615247E-3</c:v>
                </c:pt>
                <c:pt idx="77">
                  <c:v>-7.2738510250837298E-3</c:v>
                </c:pt>
                <c:pt idx="78">
                  <c:v>-8.1261303763688446E-3</c:v>
                </c:pt>
                <c:pt idx="79">
                  <c:v>-8.9837559650901427E-3</c:v>
                </c:pt>
                <c:pt idx="80">
                  <c:v>-8.9842014848764903E-3</c:v>
                </c:pt>
                <c:pt idx="81">
                  <c:v>-8.999349157612347E-3</c:v>
                </c:pt>
                <c:pt idx="82">
                  <c:v>-8.9997946773986946E-3</c:v>
                </c:pt>
                <c:pt idx="83">
                  <c:v>-9.457343497978837E-3</c:v>
                </c:pt>
                <c:pt idx="84">
                  <c:v>-1.0020034988137279E-2</c:v>
                </c:pt>
                <c:pt idx="86">
                  <c:v>4.7881516705216877E-3</c:v>
                </c:pt>
                <c:pt idx="87">
                  <c:v>3.6021779992613783E-3</c:v>
                </c:pt>
                <c:pt idx="91">
                  <c:v>2.2175025032895369E-3</c:v>
                </c:pt>
                <c:pt idx="100">
                  <c:v>8.9698185655191212E-4</c:v>
                </c:pt>
                <c:pt idx="101">
                  <c:v>-1.9258315097536185E-3</c:v>
                </c:pt>
                <c:pt idx="102">
                  <c:v>-1.9258315097536185E-3</c:v>
                </c:pt>
                <c:pt idx="103">
                  <c:v>-2.921122712456673E-3</c:v>
                </c:pt>
                <c:pt idx="104">
                  <c:v>-2.9264689498928577E-3</c:v>
                </c:pt>
                <c:pt idx="105">
                  <c:v>-2.954091176646479E-3</c:v>
                </c:pt>
                <c:pt idx="106">
                  <c:v>-3.0102266697264184E-3</c:v>
                </c:pt>
                <c:pt idx="107">
                  <c:v>-3.012454268658162E-3</c:v>
                </c:pt>
                <c:pt idx="108">
                  <c:v>-3.2543715126455205E-3</c:v>
                </c:pt>
                <c:pt idx="109">
                  <c:v>-5.3108908464312415E-3</c:v>
                </c:pt>
                <c:pt idx="110">
                  <c:v>-6.2451458384045208E-3</c:v>
                </c:pt>
                <c:pt idx="111">
                  <c:v>-6.2451458384045208E-3</c:v>
                </c:pt>
                <c:pt idx="112">
                  <c:v>-6.2451458384045208E-3</c:v>
                </c:pt>
                <c:pt idx="113">
                  <c:v>-4.883191851536464E-3</c:v>
                </c:pt>
                <c:pt idx="114">
                  <c:v>-7.2101416956358621E-3</c:v>
                </c:pt>
                <c:pt idx="115">
                  <c:v>-8.0116317912772208E-3</c:v>
                </c:pt>
                <c:pt idx="116">
                  <c:v>-8.8799498548708874E-3</c:v>
                </c:pt>
                <c:pt idx="117">
                  <c:v>-8.8799498548708874E-3</c:v>
                </c:pt>
                <c:pt idx="118">
                  <c:v>-8.8799498548708874E-3</c:v>
                </c:pt>
                <c:pt idx="119">
                  <c:v>-8.8799498548708874E-3</c:v>
                </c:pt>
                <c:pt idx="120">
                  <c:v>-8.8803953746572368E-3</c:v>
                </c:pt>
                <c:pt idx="121">
                  <c:v>-8.8803953746572368E-3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BCA-4CCB-9D20-EBA587AA33BC}"/>
            </c:ext>
          </c:extLst>
        </c:ser>
        <c:ser>
          <c:idx val="9"/>
          <c:order val="9"/>
          <c:tx>
            <c:strRef>
              <c:f>'A (old)'!$Q$20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(old)'!$Q$21:$Q$962</c:f>
              <c:numCache>
                <c:formatCode>0.0000</c:formatCode>
                <c:ptCount val="942"/>
                <c:pt idx="0">
                  <c:v>2.994984077208199E-3</c:v>
                </c:pt>
                <c:pt idx="1">
                  <c:v>2.262118859328156E-3</c:v>
                </c:pt>
                <c:pt idx="2">
                  <c:v>7.5292997665223262E-3</c:v>
                </c:pt>
                <c:pt idx="3">
                  <c:v>7.5271350688049521E-3</c:v>
                </c:pt>
                <c:pt idx="4">
                  <c:v>7.5271350688049521E-3</c:v>
                </c:pt>
                <c:pt idx="5">
                  <c:v>7.5267021633701652E-3</c:v>
                </c:pt>
                <c:pt idx="6">
                  <c:v>7.5245378067396694E-3</c:v>
                </c:pt>
                <c:pt idx="7">
                  <c:v>7.5245378067396694E-3</c:v>
                </c:pt>
                <c:pt idx="8">
                  <c:v>1.0322740203533961E-2</c:v>
                </c:pt>
                <c:pt idx="9">
                  <c:v>2.5181463193433493E-2</c:v>
                </c:pt>
                <c:pt idx="10">
                  <c:v>2.5137741599339881E-2</c:v>
                </c:pt>
                <c:pt idx="11">
                  <c:v>2.4988447074962512E-2</c:v>
                </c:pt>
                <c:pt idx="12">
                  <c:v>2.4980038214276176E-2</c:v>
                </c:pt>
                <c:pt idx="13">
                  <c:v>2.4970866480708908E-2</c:v>
                </c:pt>
                <c:pt idx="14">
                  <c:v>2.69201744051848E-2</c:v>
                </c:pt>
                <c:pt idx="15">
                  <c:v>2.5326699103123837E-2</c:v>
                </c:pt>
                <c:pt idx="16">
                  <c:v>2.5199883336898293E-2</c:v>
                </c:pt>
                <c:pt idx="17">
                  <c:v>2.5055767486267928E-2</c:v>
                </c:pt>
                <c:pt idx="18">
                  <c:v>2.5042755545280161E-2</c:v>
                </c:pt>
                <c:pt idx="19">
                  <c:v>1.4096550245392046E-2</c:v>
                </c:pt>
                <c:pt idx="20">
                  <c:v>6.5578515972463053E-3</c:v>
                </c:pt>
                <c:pt idx="21">
                  <c:v>5.0659589774852418E-3</c:v>
                </c:pt>
                <c:pt idx="22">
                  <c:v>1.2417073014903445E-2</c:v>
                </c:pt>
                <c:pt idx="23">
                  <c:v>9.4173019682897586E-3</c:v>
                </c:pt>
                <c:pt idx="24">
                  <c:v>9.4067448852002619E-3</c:v>
                </c:pt>
                <c:pt idx="25">
                  <c:v>9.4283448025410665E-3</c:v>
                </c:pt>
                <c:pt idx="26">
                  <c:v>9.4177819664528883E-3</c:v>
                </c:pt>
                <c:pt idx="27">
                  <c:v>8.4645160944209381E-3</c:v>
                </c:pt>
                <c:pt idx="28">
                  <c:v>8.4649729668937138E-3</c:v>
                </c:pt>
                <c:pt idx="29">
                  <c:v>8.4594912476115506E-3</c:v>
                </c:pt>
                <c:pt idx="30">
                  <c:v>8.4467069362415669E-3</c:v>
                </c:pt>
                <c:pt idx="31">
                  <c:v>7.5271350688049521E-3</c:v>
                </c:pt>
                <c:pt idx="32">
                  <c:v>7.5245378067396694E-3</c:v>
                </c:pt>
                <c:pt idx="33">
                  <c:v>2.6829087672146132E-2</c:v>
                </c:pt>
                <c:pt idx="34">
                  <c:v>2.6828296273032598E-2</c:v>
                </c:pt>
                <c:pt idx="35">
                  <c:v>2.1771853268312977E-2</c:v>
                </c:pt>
                <c:pt idx="36">
                  <c:v>2.1463293984990722E-2</c:v>
                </c:pt>
                <c:pt idx="37">
                  <c:v>2.1418577316225661E-2</c:v>
                </c:pt>
                <c:pt idx="38">
                  <c:v>2.0599110421074523E-2</c:v>
                </c:pt>
                <c:pt idx="39">
                  <c:v>2.0594933585675448E-2</c:v>
                </c:pt>
                <c:pt idx="40">
                  <c:v>3.9377373934405144E-2</c:v>
                </c:pt>
                <c:pt idx="41">
                  <c:v>1.0637057602467605E-2</c:v>
                </c:pt>
                <c:pt idx="42">
                  <c:v>2.0085679637344121E-2</c:v>
                </c:pt>
                <c:pt idx="43">
                  <c:v>1.018291129692772E-2</c:v>
                </c:pt>
                <c:pt idx="44">
                  <c:v>4.7856664964483667E-2</c:v>
                </c:pt>
                <c:pt idx="45">
                  <c:v>4.7851410417582826E-2</c:v>
                </c:pt>
                <c:pt idx="46">
                  <c:v>4.7845105336497391E-2</c:v>
                </c:pt>
                <c:pt idx="47">
                  <c:v>4.7504191651385058E-2</c:v>
                </c:pt>
                <c:pt idx="48">
                  <c:v>8.8859068878137364E-3</c:v>
                </c:pt>
                <c:pt idx="49">
                  <c:v>9.4283448025410665E-3</c:v>
                </c:pt>
                <c:pt idx="50">
                  <c:v>9.4177819664528883E-3</c:v>
                </c:pt>
                <c:pt idx="51">
                  <c:v>9.4173019682897586E-3</c:v>
                </c:pt>
                <c:pt idx="52">
                  <c:v>9.4067448852002619E-3</c:v>
                </c:pt>
                <c:pt idx="53">
                  <c:v>1.018291129692772E-2</c:v>
                </c:pt>
                <c:pt idx="54">
                  <c:v>1.018291129692772E-2</c:v>
                </c:pt>
                <c:pt idx="55">
                  <c:v>8.4649729668937138E-3</c:v>
                </c:pt>
                <c:pt idx="56">
                  <c:v>8.4645160944209381E-3</c:v>
                </c:pt>
                <c:pt idx="57">
                  <c:v>8.4594912476115506E-3</c:v>
                </c:pt>
                <c:pt idx="58">
                  <c:v>8.4467069362415669E-3</c:v>
                </c:pt>
                <c:pt idx="59">
                  <c:v>1.4627830299717109E-3</c:v>
                </c:pt>
                <c:pt idx="60">
                  <c:v>3.4394370764094752E-3</c:v>
                </c:pt>
                <c:pt idx="61">
                  <c:v>2.8914490896700079E-3</c:v>
                </c:pt>
                <c:pt idx="62">
                  <c:v>2.945657023419719E-4</c:v>
                </c:pt>
                <c:pt idx="63">
                  <c:v>5.0807001215820491E-6</c:v>
                </c:pt>
                <c:pt idx="64">
                  <c:v>-2.7563110031777823E-8</c:v>
                </c:pt>
                <c:pt idx="65">
                  <c:v>3.0565489106322411E-4</c:v>
                </c:pt>
                <c:pt idx="66">
                  <c:v>3.0550257506415838E-4</c:v>
                </c:pt>
                <c:pt idx="67">
                  <c:v>-3.3651302058774194E-4</c:v>
                </c:pt>
                <c:pt idx="68">
                  <c:v>-3.3660574870915405E-4</c:v>
                </c:pt>
                <c:pt idx="69">
                  <c:v>-5.833738131245862E-4</c:v>
                </c:pt>
                <c:pt idx="70">
                  <c:v>-6.7464469981745362E-4</c:v>
                </c:pt>
                <c:pt idx="71">
                  <c:v>-6.7467487260537012E-4</c:v>
                </c:pt>
                <c:pt idx="72">
                  <c:v>-6.6528085908729737E-4</c:v>
                </c:pt>
                <c:pt idx="73">
                  <c:v>-7.121037867020187E-4</c:v>
                </c:pt>
                <c:pt idx="74">
                  <c:v>-7.09755038751729E-4</c:v>
                </c:pt>
                <c:pt idx="75">
                  <c:v>-7.0888954067162442E-4</c:v>
                </c:pt>
                <c:pt idx="76">
                  <c:v>-7.0201320314912732E-4</c:v>
                </c:pt>
                <c:pt idx="77">
                  <c:v>-7.0141185273632511E-4</c:v>
                </c:pt>
                <c:pt idx="78">
                  <c:v>-6.4735928334355925E-4</c:v>
                </c:pt>
                <c:pt idx="79">
                  <c:v>-5.509676322097343E-4</c:v>
                </c:pt>
                <c:pt idx="80">
                  <c:v>-5.5090660973593371E-4</c:v>
                </c:pt>
                <c:pt idx="81">
                  <c:v>-5.4882508073695485E-4</c:v>
                </c:pt>
                <c:pt idx="82">
                  <c:v>-5.4876366032846277E-4</c:v>
                </c:pt>
                <c:pt idx="83">
                  <c:v>-4.796831588341076E-4</c:v>
                </c:pt>
                <c:pt idx="84">
                  <c:v>-3.7828634508337185E-4</c:v>
                </c:pt>
                <c:pt idx="85">
                  <c:v>2.3419168396917257E-2</c:v>
                </c:pt>
                <c:pt idx="86">
                  <c:v>2.994984077208199E-3</c:v>
                </c:pt>
                <c:pt idx="87">
                  <c:v>2.262118859328156E-3</c:v>
                </c:pt>
                <c:pt idx="88">
                  <c:v>1.9179699860396335E-2</c:v>
                </c:pt>
                <c:pt idx="89">
                  <c:v>1.2417073014903445E-2</c:v>
                </c:pt>
                <c:pt idx="90">
                  <c:v>1.2413794534124657E-2</c:v>
                </c:pt>
                <c:pt idx="91">
                  <c:v>1.5084131499679162E-3</c:v>
                </c:pt>
                <c:pt idx="92">
                  <c:v>1.500674562815086E-2</c:v>
                </c:pt>
                <c:pt idx="93">
                  <c:v>1.4996582865445172E-2</c:v>
                </c:pt>
                <c:pt idx="94">
                  <c:v>2.6217598211190952E-2</c:v>
                </c:pt>
                <c:pt idx="95">
                  <c:v>4.0485222940269041E-3</c:v>
                </c:pt>
                <c:pt idx="96">
                  <c:v>4.0409558399792083E-3</c:v>
                </c:pt>
                <c:pt idx="97">
                  <c:v>3.7070074976072809E-3</c:v>
                </c:pt>
                <c:pt idx="98">
                  <c:v>3.6905342212238887E-3</c:v>
                </c:pt>
                <c:pt idx="99">
                  <c:v>3.679779855119903E-3</c:v>
                </c:pt>
                <c:pt idx="100">
                  <c:v>8.9193949701646933E-4</c:v>
                </c:pt>
                <c:pt idx="101">
                  <c:v>-9.0891928822190026E-5</c:v>
                </c:pt>
                <c:pt idx="102">
                  <c:v>-9.0891928822190026E-5</c:v>
                </c:pt>
                <c:pt idx="103">
                  <c:v>-3.2858957451636461E-4</c:v>
                </c:pt>
                <c:pt idx="104">
                  <c:v>-3.2971315853604229E-4</c:v>
                </c:pt>
                <c:pt idx="105">
                  <c:v>-3.3549226086107656E-4</c:v>
                </c:pt>
                <c:pt idx="106">
                  <c:v>-3.4710222706720544E-4</c:v>
                </c:pt>
                <c:pt idx="107">
                  <c:v>-3.4755921648013742E-4</c:v>
                </c:pt>
                <c:pt idx="108">
                  <c:v>-3.9549668045989216E-4</c:v>
                </c:pt>
                <c:pt idx="109">
                  <c:v>-6.6763220191625589E-4</c:v>
                </c:pt>
                <c:pt idx="110">
                  <c:v>-7.1123491061797072E-4</c:v>
                </c:pt>
                <c:pt idx="111">
                  <c:v>-7.1123491061797072E-4</c:v>
                </c:pt>
                <c:pt idx="112">
                  <c:v>-7.1123491061797072E-4</c:v>
                </c:pt>
                <c:pt idx="113">
                  <c:v>-6.3098777771023536E-4</c:v>
                </c:pt>
                <c:pt idx="114">
                  <c:v>-7.0378100294613498E-4</c:v>
                </c:pt>
                <c:pt idx="115">
                  <c:v>-6.5704031713742441E-4</c:v>
                </c:pt>
                <c:pt idx="116">
                  <c:v>-5.6487592295891074E-4</c:v>
                </c:pt>
                <c:pt idx="117">
                  <c:v>-5.6487592295891074E-4</c:v>
                </c:pt>
                <c:pt idx="118">
                  <c:v>-5.6487592295891074E-4</c:v>
                </c:pt>
                <c:pt idx="119">
                  <c:v>-5.6487592295891074E-4</c:v>
                </c:pt>
                <c:pt idx="120">
                  <c:v>-5.6481754959319865E-4</c:v>
                </c:pt>
                <c:pt idx="121">
                  <c:v>-5.6481754959319865E-4</c:v>
                </c:pt>
                <c:pt idx="122">
                  <c:v>1.2417073014903445E-2</c:v>
                </c:pt>
                <c:pt idx="123">
                  <c:v>1.2413794534124657E-2</c:v>
                </c:pt>
                <c:pt idx="124">
                  <c:v>1.2417073014903445E-2</c:v>
                </c:pt>
                <c:pt idx="125">
                  <c:v>1.2413794534124657E-2</c:v>
                </c:pt>
                <c:pt idx="126">
                  <c:v>2.6674979900284446E-2</c:v>
                </c:pt>
                <c:pt idx="127">
                  <c:v>2.6634746111986893E-2</c:v>
                </c:pt>
                <c:pt idx="128">
                  <c:v>1.0322740203533961E-2</c:v>
                </c:pt>
                <c:pt idx="129">
                  <c:v>2.0089118465095694E-2</c:v>
                </c:pt>
                <c:pt idx="130">
                  <c:v>2.0085679637344121E-2</c:v>
                </c:pt>
                <c:pt idx="131">
                  <c:v>2.0081553419237792E-2</c:v>
                </c:pt>
                <c:pt idx="132">
                  <c:v>2.0077427610435725E-2</c:v>
                </c:pt>
                <c:pt idx="133">
                  <c:v>2.0069864690686029E-2</c:v>
                </c:pt>
                <c:pt idx="134">
                  <c:v>2.0062303146653415E-2</c:v>
                </c:pt>
                <c:pt idx="135">
                  <c:v>2.0061615801776914E-2</c:v>
                </c:pt>
                <c:pt idx="136">
                  <c:v>1.9983333013339009E-2</c:v>
                </c:pt>
                <c:pt idx="137">
                  <c:v>1.9960014120852503E-2</c:v>
                </c:pt>
                <c:pt idx="138">
                  <c:v>1.9007218967181674E-2</c:v>
                </c:pt>
                <c:pt idx="139">
                  <c:v>2.8702287192428361E-2</c:v>
                </c:pt>
                <c:pt idx="140">
                  <c:v>2.8697380158240044E-2</c:v>
                </c:pt>
                <c:pt idx="141">
                  <c:v>2.8692473533355974E-2</c:v>
                </c:pt>
                <c:pt idx="142">
                  <c:v>1.5412316874889767E-2</c:v>
                </c:pt>
                <c:pt idx="143">
                  <c:v>1.540868366375746E-2</c:v>
                </c:pt>
                <c:pt idx="144">
                  <c:v>1.5408078168362212E-2</c:v>
                </c:pt>
                <c:pt idx="145">
                  <c:v>1.5363907713697649E-2</c:v>
                </c:pt>
                <c:pt idx="146">
                  <c:v>1.5335501263956896E-2</c:v>
                </c:pt>
                <c:pt idx="147">
                  <c:v>1.5333084853461579E-2</c:v>
                </c:pt>
                <c:pt idx="148">
                  <c:v>1.5332480779261658E-2</c:v>
                </c:pt>
                <c:pt idx="149">
                  <c:v>1.5329460578805482E-2</c:v>
                </c:pt>
                <c:pt idx="150">
                  <c:v>1.519504867548091E-2</c:v>
                </c:pt>
                <c:pt idx="151">
                  <c:v>1.5157178234321396E-2</c:v>
                </c:pt>
                <c:pt idx="152">
                  <c:v>1.5153573879138998E-2</c:v>
                </c:pt>
                <c:pt idx="153">
                  <c:v>1.2417073014903445E-2</c:v>
                </c:pt>
                <c:pt idx="154">
                  <c:v>1.2413794534124657E-2</c:v>
                </c:pt>
                <c:pt idx="155">
                  <c:v>-5.1952365307844955E-5</c:v>
                </c:pt>
                <c:pt idx="156">
                  <c:v>-2.1757811236156735E-4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BCA-4CCB-9D20-EBA587AA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46600"/>
        <c:axId val="1"/>
      </c:scatterChart>
      <c:valAx>
        <c:axId val="606646600"/>
        <c:scaling>
          <c:orientation val="minMax"/>
          <c:max val="10000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23360184119682"/>
              <c:y val="0.8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56731875719217E-2"/>
              <c:y val="0.369186046511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46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924050632911392"/>
          <c:y val="0.93313953488372092"/>
          <c:w val="0.91599539700805521"/>
          <c:h val="0.991279069767441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Diagr.</a:t>
            </a:r>
          </a:p>
        </c:rich>
      </c:tx>
      <c:layout>
        <c:manualLayout>
          <c:xMode val="edge"/>
          <c:yMode val="edge"/>
          <c:x val="0.41034531028449028"/>
          <c:y val="1.5060240963855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1272754212413E-2"/>
          <c:y val="9.036144578313253E-2"/>
          <c:w val="0.89885158366063178"/>
          <c:h val="0.73192771084337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(old)'!$H$21:$H$962</c:f>
              <c:numCache>
                <c:formatCode>0.0000</c:formatCode>
                <c:ptCount val="942"/>
                <c:pt idx="42">
                  <c:v>2.5033254001755267E-2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75-489C-AECA-4D3095D0225C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(old)'!$I$21:$I$962</c:f>
              <c:numCache>
                <c:formatCode>0.0000</c:formatCode>
                <c:ptCount val="942"/>
                <c:pt idx="20">
                  <c:v>9.3134409980848432E-3</c:v>
                </c:pt>
                <c:pt idx="21">
                  <c:v>-6.4426124954479747E-3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75-489C-AECA-4D3095D0225C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(old)'!$D$21:$D$28</c:f>
                <c:numCache>
                  <c:formatCode>General</c:formatCode>
                  <c:ptCount val="8"/>
                </c:numCache>
              </c:numRef>
            </c:plus>
            <c:minus>
              <c:numRef>
                <c:f>'A (old)'!$D$21:$D$28</c:f>
                <c:numCache>
                  <c:formatCode>General</c:formatCode>
                  <c:ptCount val="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(old)'!$J$21:$J$962</c:f>
              <c:numCache>
                <c:formatCode>0.0000</c:formatCode>
                <c:ptCount val="942"/>
                <c:pt idx="2">
                  <c:v>5.3119219955988228E-3</c:v>
                </c:pt>
                <c:pt idx="3">
                  <c:v>5.6420895052724518E-3</c:v>
                </c:pt>
                <c:pt idx="4">
                  <c:v>6.4420895068906248E-3</c:v>
                </c:pt>
                <c:pt idx="5">
                  <c:v>5.4081230045994744E-3</c:v>
                </c:pt>
                <c:pt idx="6">
                  <c:v>6.338290506391786E-3</c:v>
                </c:pt>
                <c:pt idx="7">
                  <c:v>6.8382905010366812E-3</c:v>
                </c:pt>
                <c:pt idx="19">
                  <c:v>1.5985695004928857E-2</c:v>
                </c:pt>
                <c:pt idx="49">
                  <c:v>9.4785955079714768E-3</c:v>
                </c:pt>
                <c:pt idx="50">
                  <c:v>9.7313322985428385E-3</c:v>
                </c:pt>
                <c:pt idx="51">
                  <c:v>8.9973658759845421E-3</c:v>
                </c:pt>
                <c:pt idx="52">
                  <c:v>6.5501030621817335E-3</c:v>
                </c:pt>
                <c:pt idx="53">
                  <c:v>4.5889050015830435E-3</c:v>
                </c:pt>
                <c:pt idx="54">
                  <c:v>5.9889050025958568E-3</c:v>
                </c:pt>
                <c:pt idx="55">
                  <c:v>7.8434714232571423E-3</c:v>
                </c:pt>
                <c:pt idx="56">
                  <c:v>7.2095048235496506E-3</c:v>
                </c:pt>
                <c:pt idx="57">
                  <c:v>8.5358735086629167E-3</c:v>
                </c:pt>
                <c:pt idx="58">
                  <c:v>7.7848115397500806E-3</c:v>
                </c:pt>
                <c:pt idx="60">
                  <c:v>1.1160635040141642E-3</c:v>
                </c:pt>
                <c:pt idx="61">
                  <c:v>3.1390450749313459E-4</c:v>
                </c:pt>
                <c:pt idx="70">
                  <c:v>-2.3192734952317551E-3</c:v>
                </c:pt>
                <c:pt idx="71">
                  <c:v>-1.5323999832617119E-4</c:v>
                </c:pt>
                <c:pt idx="74">
                  <c:v>-2.8095864981878549E-3</c:v>
                </c:pt>
                <c:pt idx="76">
                  <c:v>-1.332315499894321E-3</c:v>
                </c:pt>
                <c:pt idx="77">
                  <c:v>-4.3411430015112273E-3</c:v>
                </c:pt>
                <c:pt idx="78">
                  <c:v>-1.1090574989793822E-3</c:v>
                </c:pt>
                <c:pt idx="79">
                  <c:v>-7.6645699955406599E-3</c:v>
                </c:pt>
                <c:pt idx="80">
                  <c:v>-3.0985365010565147E-3</c:v>
                </c:pt>
                <c:pt idx="81">
                  <c:v>-3.0533975004800595E-3</c:v>
                </c:pt>
                <c:pt idx="82">
                  <c:v>-3.7873640030738898E-3</c:v>
                </c:pt>
                <c:pt idx="83">
                  <c:v>4.9290405004285276E-3</c:v>
                </c:pt>
                <c:pt idx="84">
                  <c:v>-8.7706490012351424E-3</c:v>
                </c:pt>
                <c:pt idx="86">
                  <c:v>-3.8921220038901083E-3</c:v>
                </c:pt>
                <c:pt idx="87">
                  <c:v>-3.1094499718165025E-4</c:v>
                </c:pt>
                <c:pt idx="92">
                  <c:v>1.6863937496964354E-2</c:v>
                </c:pt>
                <c:pt idx="93">
                  <c:v>1.8286507001903374E-2</c:v>
                </c:pt>
                <c:pt idx="129">
                  <c:v>2.4403086506936233E-2</c:v>
                </c:pt>
                <c:pt idx="130">
                  <c:v>2.4733254002057947E-2</c:v>
                </c:pt>
                <c:pt idx="131">
                  <c:v>2.5929455005098134E-2</c:v>
                </c:pt>
                <c:pt idx="132">
                  <c:v>2.5925656002073083E-2</c:v>
                </c:pt>
                <c:pt idx="133">
                  <c:v>2.515202450013021E-2</c:v>
                </c:pt>
                <c:pt idx="134">
                  <c:v>2.4078392998490017E-2</c:v>
                </c:pt>
                <c:pt idx="135">
                  <c:v>2.4944426499132533E-2</c:v>
                </c:pt>
                <c:pt idx="136">
                  <c:v>2.30722455016803E-2</c:v>
                </c:pt>
                <c:pt idx="137">
                  <c:v>2.4617384500743356E-2</c:v>
                </c:pt>
                <c:pt idx="138">
                  <c:v>2.6960485505696852E-2</c:v>
                </c:pt>
                <c:pt idx="142">
                  <c:v>1.7257358500501141E-2</c:v>
                </c:pt>
                <c:pt idx="143">
                  <c:v>1.6753559495555237E-2</c:v>
                </c:pt>
                <c:pt idx="144">
                  <c:v>1.5419593000842724E-2</c:v>
                </c:pt>
                <c:pt idx="145">
                  <c:v>1.6840038500959054E-2</c:v>
                </c:pt>
                <c:pt idx="146">
                  <c:v>1.7343612998956814E-2</c:v>
                </c:pt>
                <c:pt idx="147">
                  <c:v>1.7307747002632823E-2</c:v>
                </c:pt>
                <c:pt idx="148">
                  <c:v>1.6773780502262525E-2</c:v>
                </c:pt>
                <c:pt idx="149">
                  <c:v>2.1003948000725359E-2</c:v>
                </c:pt>
                <c:pt idx="150">
                  <c:v>1.7929418507264927E-2</c:v>
                </c:pt>
                <c:pt idx="151">
                  <c:v>1.7289529001573101E-2</c:v>
                </c:pt>
                <c:pt idx="152">
                  <c:v>1.718573000835022E-2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75-489C-AECA-4D3095D0225C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(old)'!$K$21:$K$962</c:f>
              <c:numCache>
                <c:formatCode>0.0000</c:formatCode>
                <c:ptCount val="942"/>
                <c:pt idx="8">
                  <c:v>1.5099525000550784E-2</c:v>
                </c:pt>
                <c:pt idx="22">
                  <c:v>-6.8441499024629593E-5</c:v>
                </c:pt>
                <c:pt idx="41">
                  <c:v>1.2606544987647794E-3</c:v>
                </c:pt>
                <c:pt idx="65">
                  <c:v>1.4828359999228269E-3</c:v>
                </c:pt>
                <c:pt idx="66">
                  <c:v>1.8488694986444898E-3</c:v>
                </c:pt>
                <c:pt idx="88">
                  <c:v>5.7898760060197674E-3</c:v>
                </c:pt>
                <c:pt idx="89">
                  <c:v>-4.0684414998395368E-3</c:v>
                </c:pt>
                <c:pt idx="90">
                  <c:v>3.7277594965416938E-3</c:v>
                </c:pt>
                <c:pt idx="122">
                  <c:v>1.931558501382824E-3</c:v>
                </c:pt>
                <c:pt idx="123">
                  <c:v>2.7277594999759458E-3</c:v>
                </c:pt>
                <c:pt idx="124">
                  <c:v>4.9315584983560257E-3</c:v>
                </c:pt>
                <c:pt idx="125">
                  <c:v>1.7277594961342402E-3</c:v>
                </c:pt>
                <c:pt idx="128">
                  <c:v>2.60995249991538E-2</c:v>
                </c:pt>
                <c:pt idx="153">
                  <c:v>-9.0684414972201921E-3</c:v>
                </c:pt>
                <c:pt idx="154">
                  <c:v>-7.2722405020613223E-3</c:v>
                </c:pt>
                <c:pt idx="155">
                  <c:v>-1.3006399967707694E-4</c:v>
                </c:pt>
                <c:pt idx="156">
                  <c:v>8.5437700181500986E-4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75-489C-AECA-4D3095D0225C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Dvorak/Krajci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(old)'!$L$21:$L$962</c:f>
              <c:numCache>
                <c:formatCode>0.0000</c:formatCode>
                <c:ptCount val="942"/>
                <c:pt idx="62">
                  <c:v>3.003281497512944E-3</c:v>
                </c:pt>
                <c:pt idx="63">
                  <c:v>2.0246935018803924E-3</c:v>
                </c:pt>
                <c:pt idx="64">
                  <c:v>-3.3966498449444771E-5</c:v>
                </c:pt>
                <c:pt idx="67">
                  <c:v>3.2644094972056337E-3</c:v>
                </c:pt>
                <c:pt idx="68">
                  <c:v>-7.5695569976232946E-3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75-489C-AECA-4D3095D0225C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(old)'!$M$21:$M$962</c:f>
              <c:numCache>
                <c:formatCode>0.0000</c:formatCode>
                <c:ptCount val="942"/>
                <c:pt idx="23">
                  <c:v>1.0097366008267272E-2</c:v>
                </c:pt>
                <c:pt idx="24">
                  <c:v>6.5501030039740726E-3</c:v>
                </c:pt>
                <c:pt idx="25">
                  <c:v>9.7785955003928393E-3</c:v>
                </c:pt>
                <c:pt idx="26">
                  <c:v>8.5313324962044135E-3</c:v>
                </c:pt>
                <c:pt idx="27">
                  <c:v>7.3095050029223785E-3</c:v>
                </c:pt>
                <c:pt idx="28">
                  <c:v>7.7434715058188885E-3</c:v>
                </c:pt>
                <c:pt idx="29">
                  <c:v>8.3358735064393841E-3</c:v>
                </c:pt>
                <c:pt idx="30">
                  <c:v>7.88481150084408E-3</c:v>
                </c:pt>
                <c:pt idx="31">
                  <c:v>6.0420895024435595E-3</c:v>
                </c:pt>
                <c:pt idx="32">
                  <c:v>6.5382905013393611E-3</c:v>
                </c:pt>
                <c:pt idx="43">
                  <c:v>5.2889050057274289E-3</c:v>
                </c:pt>
                <c:pt idx="116">
                  <c:v>-3.880375501466915E-3</c:v>
                </c:pt>
                <c:pt idx="117">
                  <c:v>-3.7803754967171699E-3</c:v>
                </c:pt>
                <c:pt idx="118">
                  <c:v>-3.6803754992433824E-3</c:v>
                </c:pt>
                <c:pt idx="119">
                  <c:v>-3.4803754970198497E-3</c:v>
                </c:pt>
                <c:pt idx="120">
                  <c:v>-4.8143419990083203E-3</c:v>
                </c:pt>
                <c:pt idx="121">
                  <c:v>-4.2143419996136799E-3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75-489C-AECA-4D3095D0225C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(old)'!$N$21:$N$962</c:f>
              <c:numCache>
                <c:formatCode>0.0000</c:formatCode>
                <c:ptCount val="942"/>
                <c:pt idx="72">
                  <c:v>-2.6331224944442511E-3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C75-489C-AECA-4D3095D0225C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(old)'!$O$21:$O$962</c:f>
              <c:numCache>
                <c:formatCode>0.0000</c:formatCode>
                <c:ptCount val="942"/>
                <c:pt idx="0">
                  <c:v>-3.8921220038901083E-3</c:v>
                </c:pt>
                <c:pt idx="1">
                  <c:v>-3.1094499718165025E-4</c:v>
                </c:pt>
                <c:pt idx="9">
                  <c:v>2.4934620007115882E-2</c:v>
                </c:pt>
                <c:pt idx="10">
                  <c:v>2.6998529501724988E-2</c:v>
                </c:pt>
                <c:pt idx="11">
                  <c:v>3.6375062001752667E-2</c:v>
                </c:pt>
                <c:pt idx="12">
                  <c:v>4.1001430501637515E-2</c:v>
                </c:pt>
                <c:pt idx="13">
                  <c:v>4.2593832498823758E-2</c:v>
                </c:pt>
                <c:pt idx="14">
                  <c:v>3.0345948500325903E-2</c:v>
                </c:pt>
                <c:pt idx="15">
                  <c:v>2.7754288501455449E-2</c:v>
                </c:pt>
                <c:pt idx="16">
                  <c:v>2.71498160000192E-2</c:v>
                </c:pt>
                <c:pt idx="17">
                  <c:v>2.7564113996049855E-2</c:v>
                </c:pt>
                <c:pt idx="18">
                  <c:v>2.8986683508264832E-2</c:v>
                </c:pt>
                <c:pt idx="33">
                  <c:v>2.9739801000687294E-2</c:v>
                </c:pt>
                <c:pt idx="34">
                  <c:v>2.9705834502237849E-2</c:v>
                </c:pt>
                <c:pt idx="35">
                  <c:v>2.3588719996041618E-2</c:v>
                </c:pt>
                <c:pt idx="36">
                  <c:v>2.5281225498474669E-2</c:v>
                </c:pt>
                <c:pt idx="37">
                  <c:v>2.3941336003190372E-2</c:v>
                </c:pt>
                <c:pt idx="38">
                  <c:v>2.1936397002718877E-2</c:v>
                </c:pt>
                <c:pt idx="39">
                  <c:v>2.3632598000403959E-2</c:v>
                </c:pt>
                <c:pt idx="40">
                  <c:v>3.4406339000270236E-2</c:v>
                </c:pt>
                <c:pt idx="44">
                  <c:v>4.3793096498120576E-2</c:v>
                </c:pt>
                <c:pt idx="45">
                  <c:v>4.3323263998900075E-2</c:v>
                </c:pt>
                <c:pt idx="46">
                  <c:v>4.3119465000927448E-2</c:v>
                </c:pt>
                <c:pt idx="47">
                  <c:v>4.3580352503340691E-2</c:v>
                </c:pt>
                <c:pt idx="48">
                  <c:v>6.0869529988849536E-3</c:v>
                </c:pt>
                <c:pt idx="59">
                  <c:v>4.9200699868379161E-4</c:v>
                </c:pt>
                <c:pt idx="73">
                  <c:v>-4.3389769998611882E-3</c:v>
                </c:pt>
                <c:pt idx="75">
                  <c:v>-5.3064959938637912E-3</c:v>
                </c:pt>
                <c:pt idx="85">
                  <c:v>2.5554909501806833E-2</c:v>
                </c:pt>
                <c:pt idx="94">
                  <c:v>1.634783050394617E-2</c:v>
                </c:pt>
                <c:pt idx="100">
                  <c:v>5.64446700445842E-3</c:v>
                </c:pt>
                <c:pt idx="101">
                  <c:v>-7.7772769946022891E-3</c:v>
                </c:pt>
                <c:pt idx="102">
                  <c:v>2.6427230041008443E-3</c:v>
                </c:pt>
                <c:pt idx="103">
                  <c:v>-2.5288438002462499E-2</c:v>
                </c:pt>
                <c:pt idx="107">
                  <c:v>-1.9281570494058542E-2</c:v>
                </c:pt>
                <c:pt idx="108">
                  <c:v>-1.8553800036897883E-3</c:v>
                </c:pt>
                <c:pt idx="109">
                  <c:v>-2.7247440011706203E-3</c:v>
                </c:pt>
                <c:pt idx="110">
                  <c:v>-3.7324945005821064E-3</c:v>
                </c:pt>
                <c:pt idx="111">
                  <c:v>-3.4324945008847862E-3</c:v>
                </c:pt>
                <c:pt idx="112">
                  <c:v>-3.4324945008847862E-3</c:v>
                </c:pt>
                <c:pt idx="113">
                  <c:v>-9.2369039921322837E-3</c:v>
                </c:pt>
                <c:pt idx="114">
                  <c:v>-4.7139334928942844E-3</c:v>
                </c:pt>
                <c:pt idx="115">
                  <c:v>-5.0996669961023144E-3</c:v>
                </c:pt>
                <c:pt idx="126">
                  <c:v>3.7116333500307519E-2</c:v>
                </c:pt>
                <c:pt idx="127">
                  <c:v>1.7384041995683219E-2</c:v>
                </c:pt>
                <c:pt idx="139">
                  <c:v>2.9913813006714918E-2</c:v>
                </c:pt>
                <c:pt idx="140">
                  <c:v>2.9810013998940121E-2</c:v>
                </c:pt>
                <c:pt idx="141">
                  <c:v>2.8706215001875535E-2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C75-489C-AECA-4D3095D0225C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(old)'!$P$21:$P$962</c:f>
              <c:numCache>
                <c:formatCode>0.0000</c:formatCode>
                <c:ptCount val="942"/>
                <c:pt idx="0">
                  <c:v>4.7881516705216877E-3</c:v>
                </c:pt>
                <c:pt idx="1">
                  <c:v>3.6021779992613783E-3</c:v>
                </c:pt>
                <c:pt idx="23">
                  <c:v>1.2215857548527654E-2</c:v>
                </c:pt>
                <c:pt idx="24">
                  <c:v>1.2206056113227982E-2</c:v>
                </c:pt>
                <c:pt idx="25">
                  <c:v>1.2226104503613675E-2</c:v>
                </c:pt>
                <c:pt idx="26">
                  <c:v>1.2216303068314003E-2</c:v>
                </c:pt>
                <c:pt idx="27">
                  <c:v>1.1309670303094346E-2</c:v>
                </c:pt>
                <c:pt idx="28">
                  <c:v>1.1310115822880693E-2</c:v>
                </c:pt>
                <c:pt idx="29">
                  <c:v>1.1304769585444508E-2</c:v>
                </c:pt>
                <c:pt idx="30">
                  <c:v>1.1292295031426744E-2</c:v>
                </c:pt>
                <c:pt idx="31">
                  <c:v>1.0370960113257579E-2</c:v>
                </c:pt>
                <c:pt idx="32">
                  <c:v>1.0368286994539486E-2</c:v>
                </c:pt>
                <c:pt idx="43">
                  <c:v>1.291354153394976E-2</c:v>
                </c:pt>
                <c:pt idx="59">
                  <c:v>2.1266164668743968E-3</c:v>
                </c:pt>
                <c:pt idx="60">
                  <c:v>5.4506395928222446E-3</c:v>
                </c:pt>
                <c:pt idx="61">
                  <c:v>4.6282100672224956E-3</c:v>
                </c:pt>
                <c:pt idx="62">
                  <c:v>-6.5654563844609701E-4</c:v>
                </c:pt>
                <c:pt idx="63">
                  <c:v>-1.579662635760658E-3</c:v>
                </c:pt>
                <c:pt idx="64">
                  <c:v>-1.597483427214607E-3</c:v>
                </c:pt>
                <c:pt idx="65">
                  <c:v>-6.2402269404263988E-4</c:v>
                </c:pt>
                <c:pt idx="66">
                  <c:v>-6.2446821382898868E-4</c:v>
                </c:pt>
                <c:pt idx="67">
                  <c:v>-2.9589918942963152E-3</c:v>
                </c:pt>
                <c:pt idx="68">
                  <c:v>-2.9594374140826636E-3</c:v>
                </c:pt>
                <c:pt idx="69">
                  <c:v>-4.4514831785645477E-3</c:v>
                </c:pt>
                <c:pt idx="70">
                  <c:v>-5.4102417587870068E-3</c:v>
                </c:pt>
                <c:pt idx="71">
                  <c:v>-5.4106872785733562E-3</c:v>
                </c:pt>
                <c:pt idx="72">
                  <c:v>-5.2792589416004818E-3</c:v>
                </c:pt>
                <c:pt idx="73">
                  <c:v>-6.2919254159711372E-3</c:v>
                </c:pt>
                <c:pt idx="74">
                  <c:v>-6.1774268308795142E-3</c:v>
                </c:pt>
                <c:pt idx="75">
                  <c:v>-7.0430717757550892E-3</c:v>
                </c:pt>
                <c:pt idx="76">
                  <c:v>-7.2582578325615247E-3</c:v>
                </c:pt>
                <c:pt idx="77">
                  <c:v>-7.2738510250837298E-3</c:v>
                </c:pt>
                <c:pt idx="78">
                  <c:v>-8.1261303763688446E-3</c:v>
                </c:pt>
                <c:pt idx="79">
                  <c:v>-8.9837559650901427E-3</c:v>
                </c:pt>
                <c:pt idx="80">
                  <c:v>-8.9842014848764903E-3</c:v>
                </c:pt>
                <c:pt idx="81">
                  <c:v>-8.999349157612347E-3</c:v>
                </c:pt>
                <c:pt idx="82">
                  <c:v>-8.9997946773986946E-3</c:v>
                </c:pt>
                <c:pt idx="83">
                  <c:v>-9.457343497978837E-3</c:v>
                </c:pt>
                <c:pt idx="84">
                  <c:v>-1.0020034988137279E-2</c:v>
                </c:pt>
                <c:pt idx="86">
                  <c:v>4.7881516705216877E-3</c:v>
                </c:pt>
                <c:pt idx="87">
                  <c:v>3.6021779992613783E-3</c:v>
                </c:pt>
                <c:pt idx="91">
                  <c:v>2.2175025032895369E-3</c:v>
                </c:pt>
                <c:pt idx="100">
                  <c:v>8.9698185655191212E-4</c:v>
                </c:pt>
                <c:pt idx="101">
                  <c:v>-1.9258315097536185E-3</c:v>
                </c:pt>
                <c:pt idx="102">
                  <c:v>-1.9258315097536185E-3</c:v>
                </c:pt>
                <c:pt idx="103">
                  <c:v>-2.921122712456673E-3</c:v>
                </c:pt>
                <c:pt idx="104">
                  <c:v>-2.9264689498928577E-3</c:v>
                </c:pt>
                <c:pt idx="105">
                  <c:v>-2.954091176646479E-3</c:v>
                </c:pt>
                <c:pt idx="106">
                  <c:v>-3.0102266697264184E-3</c:v>
                </c:pt>
                <c:pt idx="107">
                  <c:v>-3.012454268658162E-3</c:v>
                </c:pt>
                <c:pt idx="108">
                  <c:v>-3.2543715126455205E-3</c:v>
                </c:pt>
                <c:pt idx="109">
                  <c:v>-5.3108908464312415E-3</c:v>
                </c:pt>
                <c:pt idx="110">
                  <c:v>-6.2451458384045208E-3</c:v>
                </c:pt>
                <c:pt idx="111">
                  <c:v>-6.2451458384045208E-3</c:v>
                </c:pt>
                <c:pt idx="112">
                  <c:v>-6.2451458384045208E-3</c:v>
                </c:pt>
                <c:pt idx="113">
                  <c:v>-4.883191851536464E-3</c:v>
                </c:pt>
                <c:pt idx="114">
                  <c:v>-7.2101416956358621E-3</c:v>
                </c:pt>
                <c:pt idx="115">
                  <c:v>-8.0116317912772208E-3</c:v>
                </c:pt>
                <c:pt idx="116">
                  <c:v>-8.8799498548708874E-3</c:v>
                </c:pt>
                <c:pt idx="117">
                  <c:v>-8.8799498548708874E-3</c:v>
                </c:pt>
                <c:pt idx="118">
                  <c:v>-8.8799498548708874E-3</c:v>
                </c:pt>
                <c:pt idx="119">
                  <c:v>-8.8799498548708874E-3</c:v>
                </c:pt>
                <c:pt idx="120">
                  <c:v>-8.8803953746572368E-3</c:v>
                </c:pt>
                <c:pt idx="121">
                  <c:v>-8.8803953746572368E-3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C75-489C-AECA-4D3095D0225C}"/>
            </c:ext>
          </c:extLst>
        </c:ser>
        <c:ser>
          <c:idx val="9"/>
          <c:order val="9"/>
          <c:tx>
            <c:strRef>
              <c:f>'A (old)'!$Q$20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(old)'!$Q$21:$Q$962</c:f>
              <c:numCache>
                <c:formatCode>0.0000</c:formatCode>
                <c:ptCount val="942"/>
                <c:pt idx="0">
                  <c:v>2.994984077208199E-3</c:v>
                </c:pt>
                <c:pt idx="1">
                  <c:v>2.262118859328156E-3</c:v>
                </c:pt>
                <c:pt idx="2">
                  <c:v>7.5292997665223262E-3</c:v>
                </c:pt>
                <c:pt idx="3">
                  <c:v>7.5271350688049521E-3</c:v>
                </c:pt>
                <c:pt idx="4">
                  <c:v>7.5271350688049521E-3</c:v>
                </c:pt>
                <c:pt idx="5">
                  <c:v>7.5267021633701652E-3</c:v>
                </c:pt>
                <c:pt idx="6">
                  <c:v>7.5245378067396694E-3</c:v>
                </c:pt>
                <c:pt idx="7">
                  <c:v>7.5245378067396694E-3</c:v>
                </c:pt>
                <c:pt idx="8">
                  <c:v>1.0322740203533961E-2</c:v>
                </c:pt>
                <c:pt idx="9">
                  <c:v>2.5181463193433493E-2</c:v>
                </c:pt>
                <c:pt idx="10">
                  <c:v>2.5137741599339881E-2</c:v>
                </c:pt>
                <c:pt idx="11">
                  <c:v>2.4988447074962512E-2</c:v>
                </c:pt>
                <c:pt idx="12">
                  <c:v>2.4980038214276176E-2</c:v>
                </c:pt>
                <c:pt idx="13">
                  <c:v>2.4970866480708908E-2</c:v>
                </c:pt>
                <c:pt idx="14">
                  <c:v>2.69201744051848E-2</c:v>
                </c:pt>
                <c:pt idx="15">
                  <c:v>2.5326699103123837E-2</c:v>
                </c:pt>
                <c:pt idx="16">
                  <c:v>2.5199883336898293E-2</c:v>
                </c:pt>
                <c:pt idx="17">
                  <c:v>2.5055767486267928E-2</c:v>
                </c:pt>
                <c:pt idx="18">
                  <c:v>2.5042755545280161E-2</c:v>
                </c:pt>
                <c:pt idx="19">
                  <c:v>1.4096550245392046E-2</c:v>
                </c:pt>
                <c:pt idx="20">
                  <c:v>6.5578515972463053E-3</c:v>
                </c:pt>
                <c:pt idx="21">
                  <c:v>5.0659589774852418E-3</c:v>
                </c:pt>
                <c:pt idx="22">
                  <c:v>1.2417073014903445E-2</c:v>
                </c:pt>
                <c:pt idx="23">
                  <c:v>9.4173019682897586E-3</c:v>
                </c:pt>
                <c:pt idx="24">
                  <c:v>9.4067448852002619E-3</c:v>
                </c:pt>
                <c:pt idx="25">
                  <c:v>9.4283448025410665E-3</c:v>
                </c:pt>
                <c:pt idx="26">
                  <c:v>9.4177819664528883E-3</c:v>
                </c:pt>
                <c:pt idx="27">
                  <c:v>8.4645160944209381E-3</c:v>
                </c:pt>
                <c:pt idx="28">
                  <c:v>8.4649729668937138E-3</c:v>
                </c:pt>
                <c:pt idx="29">
                  <c:v>8.4594912476115506E-3</c:v>
                </c:pt>
                <c:pt idx="30">
                  <c:v>8.4467069362415669E-3</c:v>
                </c:pt>
                <c:pt idx="31">
                  <c:v>7.5271350688049521E-3</c:v>
                </c:pt>
                <c:pt idx="32">
                  <c:v>7.5245378067396694E-3</c:v>
                </c:pt>
                <c:pt idx="33">
                  <c:v>2.6829087672146132E-2</c:v>
                </c:pt>
                <c:pt idx="34">
                  <c:v>2.6828296273032598E-2</c:v>
                </c:pt>
                <c:pt idx="35">
                  <c:v>2.1771853268312977E-2</c:v>
                </c:pt>
                <c:pt idx="36">
                  <c:v>2.1463293984990722E-2</c:v>
                </c:pt>
                <c:pt idx="37">
                  <c:v>2.1418577316225661E-2</c:v>
                </c:pt>
                <c:pt idx="38">
                  <c:v>2.0599110421074523E-2</c:v>
                </c:pt>
                <c:pt idx="39">
                  <c:v>2.0594933585675448E-2</c:v>
                </c:pt>
                <c:pt idx="40">
                  <c:v>3.9377373934405144E-2</c:v>
                </c:pt>
                <c:pt idx="41">
                  <c:v>1.0637057602467605E-2</c:v>
                </c:pt>
                <c:pt idx="42">
                  <c:v>2.0085679637344121E-2</c:v>
                </c:pt>
                <c:pt idx="43">
                  <c:v>1.018291129692772E-2</c:v>
                </c:pt>
                <c:pt idx="44">
                  <c:v>4.7856664964483667E-2</c:v>
                </c:pt>
                <c:pt idx="45">
                  <c:v>4.7851410417582826E-2</c:v>
                </c:pt>
                <c:pt idx="46">
                  <c:v>4.7845105336497391E-2</c:v>
                </c:pt>
                <c:pt idx="47">
                  <c:v>4.7504191651385058E-2</c:v>
                </c:pt>
                <c:pt idx="48">
                  <c:v>8.8859068878137364E-3</c:v>
                </c:pt>
                <c:pt idx="49">
                  <c:v>9.4283448025410665E-3</c:v>
                </c:pt>
                <c:pt idx="50">
                  <c:v>9.4177819664528883E-3</c:v>
                </c:pt>
                <c:pt idx="51">
                  <c:v>9.4173019682897586E-3</c:v>
                </c:pt>
                <c:pt idx="52">
                  <c:v>9.4067448852002619E-3</c:v>
                </c:pt>
                <c:pt idx="53">
                  <c:v>1.018291129692772E-2</c:v>
                </c:pt>
                <c:pt idx="54">
                  <c:v>1.018291129692772E-2</c:v>
                </c:pt>
                <c:pt idx="55">
                  <c:v>8.4649729668937138E-3</c:v>
                </c:pt>
                <c:pt idx="56">
                  <c:v>8.4645160944209381E-3</c:v>
                </c:pt>
                <c:pt idx="57">
                  <c:v>8.4594912476115506E-3</c:v>
                </c:pt>
                <c:pt idx="58">
                  <c:v>8.4467069362415669E-3</c:v>
                </c:pt>
                <c:pt idx="59">
                  <c:v>1.4627830299717109E-3</c:v>
                </c:pt>
                <c:pt idx="60">
                  <c:v>3.4394370764094752E-3</c:v>
                </c:pt>
                <c:pt idx="61">
                  <c:v>2.8914490896700079E-3</c:v>
                </c:pt>
                <c:pt idx="62">
                  <c:v>2.945657023419719E-4</c:v>
                </c:pt>
                <c:pt idx="63">
                  <c:v>5.0807001215820491E-6</c:v>
                </c:pt>
                <c:pt idx="64">
                  <c:v>-2.7563110031777823E-8</c:v>
                </c:pt>
                <c:pt idx="65">
                  <c:v>3.0565489106322411E-4</c:v>
                </c:pt>
                <c:pt idx="66">
                  <c:v>3.0550257506415838E-4</c:v>
                </c:pt>
                <c:pt idx="67">
                  <c:v>-3.3651302058774194E-4</c:v>
                </c:pt>
                <c:pt idx="68">
                  <c:v>-3.3660574870915405E-4</c:v>
                </c:pt>
                <c:pt idx="69">
                  <c:v>-5.833738131245862E-4</c:v>
                </c:pt>
                <c:pt idx="70">
                  <c:v>-6.7464469981745362E-4</c:v>
                </c:pt>
                <c:pt idx="71">
                  <c:v>-6.7467487260537012E-4</c:v>
                </c:pt>
                <c:pt idx="72">
                  <c:v>-6.6528085908729737E-4</c:v>
                </c:pt>
                <c:pt idx="73">
                  <c:v>-7.121037867020187E-4</c:v>
                </c:pt>
                <c:pt idx="74">
                  <c:v>-7.09755038751729E-4</c:v>
                </c:pt>
                <c:pt idx="75">
                  <c:v>-7.0888954067162442E-4</c:v>
                </c:pt>
                <c:pt idx="76">
                  <c:v>-7.0201320314912732E-4</c:v>
                </c:pt>
                <c:pt idx="77">
                  <c:v>-7.0141185273632511E-4</c:v>
                </c:pt>
                <c:pt idx="78">
                  <c:v>-6.4735928334355925E-4</c:v>
                </c:pt>
                <c:pt idx="79">
                  <c:v>-5.509676322097343E-4</c:v>
                </c:pt>
                <c:pt idx="80">
                  <c:v>-5.5090660973593371E-4</c:v>
                </c:pt>
                <c:pt idx="81">
                  <c:v>-5.4882508073695485E-4</c:v>
                </c:pt>
                <c:pt idx="82">
                  <c:v>-5.4876366032846277E-4</c:v>
                </c:pt>
                <c:pt idx="83">
                  <c:v>-4.796831588341076E-4</c:v>
                </c:pt>
                <c:pt idx="84">
                  <c:v>-3.7828634508337185E-4</c:v>
                </c:pt>
                <c:pt idx="85">
                  <c:v>2.3419168396917257E-2</c:v>
                </c:pt>
                <c:pt idx="86">
                  <c:v>2.994984077208199E-3</c:v>
                </c:pt>
                <c:pt idx="87">
                  <c:v>2.262118859328156E-3</c:v>
                </c:pt>
                <c:pt idx="88">
                  <c:v>1.9179699860396335E-2</c:v>
                </c:pt>
                <c:pt idx="89">
                  <c:v>1.2417073014903445E-2</c:v>
                </c:pt>
                <c:pt idx="90">
                  <c:v>1.2413794534124657E-2</c:v>
                </c:pt>
                <c:pt idx="91">
                  <c:v>1.5084131499679162E-3</c:v>
                </c:pt>
                <c:pt idx="92">
                  <c:v>1.500674562815086E-2</c:v>
                </c:pt>
                <c:pt idx="93">
                  <c:v>1.4996582865445172E-2</c:v>
                </c:pt>
                <c:pt idx="94">
                  <c:v>2.6217598211190952E-2</c:v>
                </c:pt>
                <c:pt idx="95">
                  <c:v>4.0485222940269041E-3</c:v>
                </c:pt>
                <c:pt idx="96">
                  <c:v>4.0409558399792083E-3</c:v>
                </c:pt>
                <c:pt idx="97">
                  <c:v>3.7070074976072809E-3</c:v>
                </c:pt>
                <c:pt idx="98">
                  <c:v>3.6905342212238887E-3</c:v>
                </c:pt>
                <c:pt idx="99">
                  <c:v>3.679779855119903E-3</c:v>
                </c:pt>
                <c:pt idx="100">
                  <c:v>8.9193949701646933E-4</c:v>
                </c:pt>
                <c:pt idx="101">
                  <c:v>-9.0891928822190026E-5</c:v>
                </c:pt>
                <c:pt idx="102">
                  <c:v>-9.0891928822190026E-5</c:v>
                </c:pt>
                <c:pt idx="103">
                  <c:v>-3.2858957451636461E-4</c:v>
                </c:pt>
                <c:pt idx="104">
                  <c:v>-3.2971315853604229E-4</c:v>
                </c:pt>
                <c:pt idx="105">
                  <c:v>-3.3549226086107656E-4</c:v>
                </c:pt>
                <c:pt idx="106">
                  <c:v>-3.4710222706720544E-4</c:v>
                </c:pt>
                <c:pt idx="107">
                  <c:v>-3.4755921648013742E-4</c:v>
                </c:pt>
                <c:pt idx="108">
                  <c:v>-3.9549668045989216E-4</c:v>
                </c:pt>
                <c:pt idx="109">
                  <c:v>-6.6763220191625589E-4</c:v>
                </c:pt>
                <c:pt idx="110">
                  <c:v>-7.1123491061797072E-4</c:v>
                </c:pt>
                <c:pt idx="111">
                  <c:v>-7.1123491061797072E-4</c:v>
                </c:pt>
                <c:pt idx="112">
                  <c:v>-7.1123491061797072E-4</c:v>
                </c:pt>
                <c:pt idx="113">
                  <c:v>-6.3098777771023536E-4</c:v>
                </c:pt>
                <c:pt idx="114">
                  <c:v>-7.0378100294613498E-4</c:v>
                </c:pt>
                <c:pt idx="115">
                  <c:v>-6.5704031713742441E-4</c:v>
                </c:pt>
                <c:pt idx="116">
                  <c:v>-5.6487592295891074E-4</c:v>
                </c:pt>
                <c:pt idx="117">
                  <c:v>-5.6487592295891074E-4</c:v>
                </c:pt>
                <c:pt idx="118">
                  <c:v>-5.6487592295891074E-4</c:v>
                </c:pt>
                <c:pt idx="119">
                  <c:v>-5.6487592295891074E-4</c:v>
                </c:pt>
                <c:pt idx="120">
                  <c:v>-5.6481754959319865E-4</c:v>
                </c:pt>
                <c:pt idx="121">
                  <c:v>-5.6481754959319865E-4</c:v>
                </c:pt>
                <c:pt idx="122">
                  <c:v>1.2417073014903445E-2</c:v>
                </c:pt>
                <c:pt idx="123">
                  <c:v>1.2413794534124657E-2</c:v>
                </c:pt>
                <c:pt idx="124">
                  <c:v>1.2417073014903445E-2</c:v>
                </c:pt>
                <c:pt idx="125">
                  <c:v>1.2413794534124657E-2</c:v>
                </c:pt>
                <c:pt idx="126">
                  <c:v>2.6674979900284446E-2</c:v>
                </c:pt>
                <c:pt idx="127">
                  <c:v>2.6634746111986893E-2</c:v>
                </c:pt>
                <c:pt idx="128">
                  <c:v>1.0322740203533961E-2</c:v>
                </c:pt>
                <c:pt idx="129">
                  <c:v>2.0089118465095694E-2</c:v>
                </c:pt>
                <c:pt idx="130">
                  <c:v>2.0085679637344121E-2</c:v>
                </c:pt>
                <c:pt idx="131">
                  <c:v>2.0081553419237792E-2</c:v>
                </c:pt>
                <c:pt idx="132">
                  <c:v>2.0077427610435725E-2</c:v>
                </c:pt>
                <c:pt idx="133">
                  <c:v>2.0069864690686029E-2</c:v>
                </c:pt>
                <c:pt idx="134">
                  <c:v>2.0062303146653415E-2</c:v>
                </c:pt>
                <c:pt idx="135">
                  <c:v>2.0061615801776914E-2</c:v>
                </c:pt>
                <c:pt idx="136">
                  <c:v>1.9983333013339009E-2</c:v>
                </c:pt>
                <c:pt idx="137">
                  <c:v>1.9960014120852503E-2</c:v>
                </c:pt>
                <c:pt idx="138">
                  <c:v>1.9007218967181674E-2</c:v>
                </c:pt>
                <c:pt idx="139">
                  <c:v>2.8702287192428361E-2</c:v>
                </c:pt>
                <c:pt idx="140">
                  <c:v>2.8697380158240044E-2</c:v>
                </c:pt>
                <c:pt idx="141">
                  <c:v>2.8692473533355974E-2</c:v>
                </c:pt>
                <c:pt idx="142">
                  <c:v>1.5412316874889767E-2</c:v>
                </c:pt>
                <c:pt idx="143">
                  <c:v>1.540868366375746E-2</c:v>
                </c:pt>
                <c:pt idx="144">
                  <c:v>1.5408078168362212E-2</c:v>
                </c:pt>
                <c:pt idx="145">
                  <c:v>1.5363907713697649E-2</c:v>
                </c:pt>
                <c:pt idx="146">
                  <c:v>1.5335501263956896E-2</c:v>
                </c:pt>
                <c:pt idx="147">
                  <c:v>1.5333084853461579E-2</c:v>
                </c:pt>
                <c:pt idx="148">
                  <c:v>1.5332480779261658E-2</c:v>
                </c:pt>
                <c:pt idx="149">
                  <c:v>1.5329460578805482E-2</c:v>
                </c:pt>
                <c:pt idx="150">
                  <c:v>1.519504867548091E-2</c:v>
                </c:pt>
                <c:pt idx="151">
                  <c:v>1.5157178234321396E-2</c:v>
                </c:pt>
                <c:pt idx="152">
                  <c:v>1.5153573879138998E-2</c:v>
                </c:pt>
                <c:pt idx="153">
                  <c:v>1.2417073014903445E-2</c:v>
                </c:pt>
                <c:pt idx="154">
                  <c:v>1.2413794534124657E-2</c:v>
                </c:pt>
                <c:pt idx="155">
                  <c:v>-5.1952365307844955E-5</c:v>
                </c:pt>
                <c:pt idx="156">
                  <c:v>-2.1757811236156735E-4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C75-489C-AECA-4D3095D0225C}"/>
            </c:ext>
          </c:extLst>
        </c:ser>
        <c:ser>
          <c:idx val="10"/>
          <c:order val="10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(old)'!$S$21:$S$962</c:f>
              <c:numCache>
                <c:formatCode>General</c:formatCode>
                <c:ptCount val="942"/>
                <c:pt idx="69" formatCode="0.0000">
                  <c:v>1.8376634499873035E-2</c:v>
                </c:pt>
                <c:pt idx="91" formatCode="0.0000">
                  <c:v>9.9211730048409663E-3</c:v>
                </c:pt>
                <c:pt idx="95" formatCode="0.0000">
                  <c:v>-2.2372055500454735E-2</c:v>
                </c:pt>
                <c:pt idx="96" formatCode="0.0000">
                  <c:v>-1.9153285000356846E-2</c:v>
                </c:pt>
                <c:pt idx="97" formatCode="0.0000">
                  <c:v>4.7725354001158848E-2</c:v>
                </c:pt>
                <c:pt idx="98" formatCode="0.0000">
                  <c:v>6.1959095997735858E-2</c:v>
                </c:pt>
                <c:pt idx="99" formatCode="0.0000">
                  <c:v>4.280423499585595E-2</c:v>
                </c:pt>
                <c:pt idx="104" formatCode="0.0000">
                  <c:v>-8.6056035994261038E-2</c:v>
                </c:pt>
                <c:pt idx="105" formatCode="0.0000">
                  <c:v>7.9468040996289346E-2</c:v>
                </c:pt>
                <c:pt idx="106" formatCode="0.0000">
                  <c:v>4.060826200293377E-2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C75-489C-AECA-4D3095D0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38072"/>
        <c:axId val="1"/>
      </c:scatterChart>
      <c:valAx>
        <c:axId val="60663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64428153377384"/>
              <c:y val="0.8795180722891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  <c:max val="0.06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44827586206896E-2"/>
              <c:y val="0.36445783132530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38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4252994237789239E-2"/>
          <c:y val="0.93072289156626509"/>
          <c:w val="0.95977120101366631"/>
          <c:h val="0.990963855421686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Diagr.</a:t>
            </a:r>
          </a:p>
        </c:rich>
      </c:tx>
      <c:layout>
        <c:manualLayout>
          <c:xMode val="edge"/>
          <c:yMode val="edge"/>
          <c:x val="0.41102205507893602"/>
          <c:y val="1.7006802721088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6907507370471E-2"/>
          <c:y val="9.8639783428277228E-2"/>
          <c:w val="0.89896720889647819"/>
          <c:h val="0.70068259952500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(old)'!$H$21:$H$962</c:f>
              <c:numCache>
                <c:formatCode>0.0000</c:formatCode>
                <c:ptCount val="942"/>
                <c:pt idx="42">
                  <c:v>2.5033254001755267E-2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57-41A1-98C5-AF4E4EB90FDC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(old)'!$D$21:$D$962</c:f>
                <c:numCache>
                  <c:formatCode>General</c:formatCode>
                  <c:ptCount val="942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(old)'!$I$21:$I$962</c:f>
              <c:numCache>
                <c:formatCode>0.0000</c:formatCode>
                <c:ptCount val="942"/>
                <c:pt idx="20">
                  <c:v>9.3134409980848432E-3</c:v>
                </c:pt>
                <c:pt idx="21">
                  <c:v>-6.4426124954479747E-3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57-41A1-98C5-AF4E4EB90FDC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(old)'!$D$21:$D$28</c:f>
                <c:numCache>
                  <c:formatCode>General</c:formatCode>
                  <c:ptCount val="8"/>
                </c:numCache>
              </c:numRef>
            </c:plus>
            <c:minus>
              <c:numRef>
                <c:f>'A (old)'!$D$21:$D$28</c:f>
                <c:numCache>
                  <c:formatCode>General</c:formatCode>
                  <c:ptCount val="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(old)'!$J$21:$J$962</c:f>
              <c:numCache>
                <c:formatCode>0.0000</c:formatCode>
                <c:ptCount val="942"/>
                <c:pt idx="2">
                  <c:v>5.3119219955988228E-3</c:v>
                </c:pt>
                <c:pt idx="3">
                  <c:v>5.6420895052724518E-3</c:v>
                </c:pt>
                <c:pt idx="4">
                  <c:v>6.4420895068906248E-3</c:v>
                </c:pt>
                <c:pt idx="5">
                  <c:v>5.4081230045994744E-3</c:v>
                </c:pt>
                <c:pt idx="6">
                  <c:v>6.338290506391786E-3</c:v>
                </c:pt>
                <c:pt idx="7">
                  <c:v>6.8382905010366812E-3</c:v>
                </c:pt>
                <c:pt idx="19">
                  <c:v>1.5985695004928857E-2</c:v>
                </c:pt>
                <c:pt idx="49">
                  <c:v>9.4785955079714768E-3</c:v>
                </c:pt>
                <c:pt idx="50">
                  <c:v>9.7313322985428385E-3</c:v>
                </c:pt>
                <c:pt idx="51">
                  <c:v>8.9973658759845421E-3</c:v>
                </c:pt>
                <c:pt idx="52">
                  <c:v>6.5501030621817335E-3</c:v>
                </c:pt>
                <c:pt idx="53">
                  <c:v>4.5889050015830435E-3</c:v>
                </c:pt>
                <c:pt idx="54">
                  <c:v>5.9889050025958568E-3</c:v>
                </c:pt>
                <c:pt idx="55">
                  <c:v>7.8434714232571423E-3</c:v>
                </c:pt>
                <c:pt idx="56">
                  <c:v>7.2095048235496506E-3</c:v>
                </c:pt>
                <c:pt idx="57">
                  <c:v>8.5358735086629167E-3</c:v>
                </c:pt>
                <c:pt idx="58">
                  <c:v>7.7848115397500806E-3</c:v>
                </c:pt>
                <c:pt idx="60">
                  <c:v>1.1160635040141642E-3</c:v>
                </c:pt>
                <c:pt idx="61">
                  <c:v>3.1390450749313459E-4</c:v>
                </c:pt>
                <c:pt idx="70">
                  <c:v>-2.3192734952317551E-3</c:v>
                </c:pt>
                <c:pt idx="71">
                  <c:v>-1.5323999832617119E-4</c:v>
                </c:pt>
                <c:pt idx="74">
                  <c:v>-2.8095864981878549E-3</c:v>
                </c:pt>
                <c:pt idx="76">
                  <c:v>-1.332315499894321E-3</c:v>
                </c:pt>
                <c:pt idx="77">
                  <c:v>-4.3411430015112273E-3</c:v>
                </c:pt>
                <c:pt idx="78">
                  <c:v>-1.1090574989793822E-3</c:v>
                </c:pt>
                <c:pt idx="79">
                  <c:v>-7.6645699955406599E-3</c:v>
                </c:pt>
                <c:pt idx="80">
                  <c:v>-3.0985365010565147E-3</c:v>
                </c:pt>
                <c:pt idx="81">
                  <c:v>-3.0533975004800595E-3</c:v>
                </c:pt>
                <c:pt idx="82">
                  <c:v>-3.7873640030738898E-3</c:v>
                </c:pt>
                <c:pt idx="83">
                  <c:v>4.9290405004285276E-3</c:v>
                </c:pt>
                <c:pt idx="84">
                  <c:v>-8.7706490012351424E-3</c:v>
                </c:pt>
                <c:pt idx="86">
                  <c:v>-3.8921220038901083E-3</c:v>
                </c:pt>
                <c:pt idx="87">
                  <c:v>-3.1094499718165025E-4</c:v>
                </c:pt>
                <c:pt idx="92">
                  <c:v>1.6863937496964354E-2</c:v>
                </c:pt>
                <c:pt idx="93">
                  <c:v>1.8286507001903374E-2</c:v>
                </c:pt>
                <c:pt idx="129">
                  <c:v>2.4403086506936233E-2</c:v>
                </c:pt>
                <c:pt idx="130">
                  <c:v>2.4733254002057947E-2</c:v>
                </c:pt>
                <c:pt idx="131">
                  <c:v>2.5929455005098134E-2</c:v>
                </c:pt>
                <c:pt idx="132">
                  <c:v>2.5925656002073083E-2</c:v>
                </c:pt>
                <c:pt idx="133">
                  <c:v>2.515202450013021E-2</c:v>
                </c:pt>
                <c:pt idx="134">
                  <c:v>2.4078392998490017E-2</c:v>
                </c:pt>
                <c:pt idx="135">
                  <c:v>2.4944426499132533E-2</c:v>
                </c:pt>
                <c:pt idx="136">
                  <c:v>2.30722455016803E-2</c:v>
                </c:pt>
                <c:pt idx="137">
                  <c:v>2.4617384500743356E-2</c:v>
                </c:pt>
                <c:pt idx="138">
                  <c:v>2.6960485505696852E-2</c:v>
                </c:pt>
                <c:pt idx="142">
                  <c:v>1.7257358500501141E-2</c:v>
                </c:pt>
                <c:pt idx="143">
                  <c:v>1.6753559495555237E-2</c:v>
                </c:pt>
                <c:pt idx="144">
                  <c:v>1.5419593000842724E-2</c:v>
                </c:pt>
                <c:pt idx="145">
                  <c:v>1.6840038500959054E-2</c:v>
                </c:pt>
                <c:pt idx="146">
                  <c:v>1.7343612998956814E-2</c:v>
                </c:pt>
                <c:pt idx="147">
                  <c:v>1.7307747002632823E-2</c:v>
                </c:pt>
                <c:pt idx="148">
                  <c:v>1.6773780502262525E-2</c:v>
                </c:pt>
                <c:pt idx="149">
                  <c:v>2.1003948000725359E-2</c:v>
                </c:pt>
                <c:pt idx="150">
                  <c:v>1.7929418507264927E-2</c:v>
                </c:pt>
                <c:pt idx="151">
                  <c:v>1.7289529001573101E-2</c:v>
                </c:pt>
                <c:pt idx="152">
                  <c:v>1.718573000835022E-2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57-41A1-98C5-AF4E4EB90FDC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(old)'!$K$21:$K$962</c:f>
              <c:numCache>
                <c:formatCode>0.0000</c:formatCode>
                <c:ptCount val="942"/>
                <c:pt idx="8">
                  <c:v>1.5099525000550784E-2</c:v>
                </c:pt>
                <c:pt idx="22">
                  <c:v>-6.8441499024629593E-5</c:v>
                </c:pt>
                <c:pt idx="41">
                  <c:v>1.2606544987647794E-3</c:v>
                </c:pt>
                <c:pt idx="65">
                  <c:v>1.4828359999228269E-3</c:v>
                </c:pt>
                <c:pt idx="66">
                  <c:v>1.8488694986444898E-3</c:v>
                </c:pt>
                <c:pt idx="88">
                  <c:v>5.7898760060197674E-3</c:v>
                </c:pt>
                <c:pt idx="89">
                  <c:v>-4.0684414998395368E-3</c:v>
                </c:pt>
                <c:pt idx="90">
                  <c:v>3.7277594965416938E-3</c:v>
                </c:pt>
                <c:pt idx="122">
                  <c:v>1.931558501382824E-3</c:v>
                </c:pt>
                <c:pt idx="123">
                  <c:v>2.7277594999759458E-3</c:v>
                </c:pt>
                <c:pt idx="124">
                  <c:v>4.9315584983560257E-3</c:v>
                </c:pt>
                <c:pt idx="125">
                  <c:v>1.7277594961342402E-3</c:v>
                </c:pt>
                <c:pt idx="128">
                  <c:v>2.60995249991538E-2</c:v>
                </c:pt>
                <c:pt idx="153">
                  <c:v>-9.0684414972201921E-3</c:v>
                </c:pt>
                <c:pt idx="154">
                  <c:v>-7.2722405020613223E-3</c:v>
                </c:pt>
                <c:pt idx="155">
                  <c:v>-1.3006399967707694E-4</c:v>
                </c:pt>
                <c:pt idx="156">
                  <c:v>8.5437700181500986E-4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57-41A1-98C5-AF4E4EB90FDC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Dvorak/Krajci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(old)'!$L$21:$L$962</c:f>
              <c:numCache>
                <c:formatCode>0.0000</c:formatCode>
                <c:ptCount val="942"/>
                <c:pt idx="62">
                  <c:v>3.003281497512944E-3</c:v>
                </c:pt>
                <c:pt idx="63">
                  <c:v>2.0246935018803924E-3</c:v>
                </c:pt>
                <c:pt idx="64">
                  <c:v>-3.3966498449444771E-5</c:v>
                </c:pt>
                <c:pt idx="67">
                  <c:v>3.2644094972056337E-3</c:v>
                </c:pt>
                <c:pt idx="68">
                  <c:v>-7.5695569976232946E-3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57-41A1-98C5-AF4E4EB90FDC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plus>
            <c:minus>
              <c:numRef>
                <c:f>'A (old)'!$D$21:$D$78</c:f>
                <c:numCache>
                  <c:formatCode>General</c:formatCode>
                  <c:ptCount val="58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(old)'!$M$21:$M$962</c:f>
              <c:numCache>
                <c:formatCode>0.0000</c:formatCode>
                <c:ptCount val="942"/>
                <c:pt idx="23">
                  <c:v>1.0097366008267272E-2</c:v>
                </c:pt>
                <c:pt idx="24">
                  <c:v>6.5501030039740726E-3</c:v>
                </c:pt>
                <c:pt idx="25">
                  <c:v>9.7785955003928393E-3</c:v>
                </c:pt>
                <c:pt idx="26">
                  <c:v>8.5313324962044135E-3</c:v>
                </c:pt>
                <c:pt idx="27">
                  <c:v>7.3095050029223785E-3</c:v>
                </c:pt>
                <c:pt idx="28">
                  <c:v>7.7434715058188885E-3</c:v>
                </c:pt>
                <c:pt idx="29">
                  <c:v>8.3358735064393841E-3</c:v>
                </c:pt>
                <c:pt idx="30">
                  <c:v>7.88481150084408E-3</c:v>
                </c:pt>
                <c:pt idx="31">
                  <c:v>6.0420895024435595E-3</c:v>
                </c:pt>
                <c:pt idx="32">
                  <c:v>6.5382905013393611E-3</c:v>
                </c:pt>
                <c:pt idx="43">
                  <c:v>5.2889050057274289E-3</c:v>
                </c:pt>
                <c:pt idx="116">
                  <c:v>-3.880375501466915E-3</c:v>
                </c:pt>
                <c:pt idx="117">
                  <c:v>-3.7803754967171699E-3</c:v>
                </c:pt>
                <c:pt idx="118">
                  <c:v>-3.6803754992433824E-3</c:v>
                </c:pt>
                <c:pt idx="119">
                  <c:v>-3.4803754970198497E-3</c:v>
                </c:pt>
                <c:pt idx="120">
                  <c:v>-4.8143419990083203E-3</c:v>
                </c:pt>
                <c:pt idx="121">
                  <c:v>-4.2143419996136799E-3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57-41A1-98C5-AF4E4EB90FDC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plus>
            <c:minus>
              <c:numRef>
                <c:f>'A (old)'!$D$21:$D$964</c:f>
                <c:numCache>
                  <c:formatCode>General</c:formatCode>
                  <c:ptCount val="944"/>
                  <c:pt idx="20">
                    <c:v>3.0000000000000001E-3</c:v>
                  </c:pt>
                  <c:pt idx="21">
                    <c:v>5.0000000000000001E-3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60">
                    <c:v>1E-3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1E-4</c:v>
                  </c:pt>
                  <c:pt idx="64">
                    <c:v>2.0000000000000001E-4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1.6999999999999999E-3</c:v>
                  </c:pt>
                  <c:pt idx="68">
                    <c:v>2.2000000000000001E-3</c:v>
                  </c:pt>
                  <c:pt idx="69">
                    <c:v>2.0000000000000001E-4</c:v>
                  </c:pt>
                  <c:pt idx="70">
                    <c:v>1.1000000000000001E-3</c:v>
                  </c:pt>
                  <c:pt idx="71">
                    <c:v>8.0000000000000004E-4</c:v>
                  </c:pt>
                  <c:pt idx="72">
                    <c:v>1E-4</c:v>
                  </c:pt>
                  <c:pt idx="73">
                    <c:v>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4.0999999999999999E-4</c:v>
                  </c:pt>
                  <c:pt idx="77">
                    <c:v>1.7000000000000001E-4</c:v>
                  </c:pt>
                  <c:pt idx="78">
                    <c:v>1.1199999999999999E-3</c:v>
                  </c:pt>
                  <c:pt idx="79">
                    <c:v>1.6999999999999999E-3</c:v>
                  </c:pt>
                  <c:pt idx="80">
                    <c:v>1.2999999999999999E-3</c:v>
                  </c:pt>
                  <c:pt idx="81">
                    <c:v>1.2999999999999999E-3</c:v>
                  </c:pt>
                  <c:pt idx="82">
                    <c:v>2.9999999999999997E-4</c:v>
                  </c:pt>
                  <c:pt idx="83">
                    <c:v>1.6999999999999999E-3</c:v>
                  </c:pt>
                  <c:pt idx="84">
                    <c:v>1.4E-3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1E-4</c:v>
                  </c:pt>
                  <c:pt idx="112">
                    <c:v>2.0000000000000001E-4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1E-4</c:v>
                  </c:pt>
                  <c:pt idx="119">
                    <c:v>1E-4</c:v>
                  </c:pt>
                  <c:pt idx="120">
                    <c:v>2.9999999999999997E-4</c:v>
                  </c:pt>
                  <c:pt idx="1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(old)'!$N$21:$N$962</c:f>
              <c:numCache>
                <c:formatCode>0.0000</c:formatCode>
                <c:ptCount val="942"/>
                <c:pt idx="72">
                  <c:v>-2.6331224944442511E-3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57-41A1-98C5-AF4E4EB90FDC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(old)'!$O$21:$O$962</c:f>
              <c:numCache>
                <c:formatCode>0.0000</c:formatCode>
                <c:ptCount val="942"/>
                <c:pt idx="0">
                  <c:v>-3.8921220038901083E-3</c:v>
                </c:pt>
                <c:pt idx="1">
                  <c:v>-3.1094499718165025E-4</c:v>
                </c:pt>
                <c:pt idx="9">
                  <c:v>2.4934620007115882E-2</c:v>
                </c:pt>
                <c:pt idx="10">
                  <c:v>2.6998529501724988E-2</c:v>
                </c:pt>
                <c:pt idx="11">
                  <c:v>3.6375062001752667E-2</c:v>
                </c:pt>
                <c:pt idx="12">
                  <c:v>4.1001430501637515E-2</c:v>
                </c:pt>
                <c:pt idx="13">
                  <c:v>4.2593832498823758E-2</c:v>
                </c:pt>
                <c:pt idx="14">
                  <c:v>3.0345948500325903E-2</c:v>
                </c:pt>
                <c:pt idx="15">
                  <c:v>2.7754288501455449E-2</c:v>
                </c:pt>
                <c:pt idx="16">
                  <c:v>2.71498160000192E-2</c:v>
                </c:pt>
                <c:pt idx="17">
                  <c:v>2.7564113996049855E-2</c:v>
                </c:pt>
                <c:pt idx="18">
                  <c:v>2.8986683508264832E-2</c:v>
                </c:pt>
                <c:pt idx="33">
                  <c:v>2.9739801000687294E-2</c:v>
                </c:pt>
                <c:pt idx="34">
                  <c:v>2.9705834502237849E-2</c:v>
                </c:pt>
                <c:pt idx="35">
                  <c:v>2.3588719996041618E-2</c:v>
                </c:pt>
                <c:pt idx="36">
                  <c:v>2.5281225498474669E-2</c:v>
                </c:pt>
                <c:pt idx="37">
                  <c:v>2.3941336003190372E-2</c:v>
                </c:pt>
                <c:pt idx="38">
                  <c:v>2.1936397002718877E-2</c:v>
                </c:pt>
                <c:pt idx="39">
                  <c:v>2.3632598000403959E-2</c:v>
                </c:pt>
                <c:pt idx="40">
                  <c:v>3.4406339000270236E-2</c:v>
                </c:pt>
                <c:pt idx="44">
                  <c:v>4.3793096498120576E-2</c:v>
                </c:pt>
                <c:pt idx="45">
                  <c:v>4.3323263998900075E-2</c:v>
                </c:pt>
                <c:pt idx="46">
                  <c:v>4.3119465000927448E-2</c:v>
                </c:pt>
                <c:pt idx="47">
                  <c:v>4.3580352503340691E-2</c:v>
                </c:pt>
                <c:pt idx="48">
                  <c:v>6.0869529988849536E-3</c:v>
                </c:pt>
                <c:pt idx="59">
                  <c:v>4.9200699868379161E-4</c:v>
                </c:pt>
                <c:pt idx="73">
                  <c:v>-4.3389769998611882E-3</c:v>
                </c:pt>
                <c:pt idx="75">
                  <c:v>-5.3064959938637912E-3</c:v>
                </c:pt>
                <c:pt idx="85">
                  <c:v>2.5554909501806833E-2</c:v>
                </c:pt>
                <c:pt idx="94">
                  <c:v>1.634783050394617E-2</c:v>
                </c:pt>
                <c:pt idx="100">
                  <c:v>5.64446700445842E-3</c:v>
                </c:pt>
                <c:pt idx="101">
                  <c:v>-7.7772769946022891E-3</c:v>
                </c:pt>
                <c:pt idx="102">
                  <c:v>2.6427230041008443E-3</c:v>
                </c:pt>
                <c:pt idx="103">
                  <c:v>-2.5288438002462499E-2</c:v>
                </c:pt>
                <c:pt idx="107">
                  <c:v>-1.9281570494058542E-2</c:v>
                </c:pt>
                <c:pt idx="108">
                  <c:v>-1.8553800036897883E-3</c:v>
                </c:pt>
                <c:pt idx="109">
                  <c:v>-2.7247440011706203E-3</c:v>
                </c:pt>
                <c:pt idx="110">
                  <c:v>-3.7324945005821064E-3</c:v>
                </c:pt>
                <c:pt idx="111">
                  <c:v>-3.4324945008847862E-3</c:v>
                </c:pt>
                <c:pt idx="112">
                  <c:v>-3.4324945008847862E-3</c:v>
                </c:pt>
                <c:pt idx="113">
                  <c:v>-9.2369039921322837E-3</c:v>
                </c:pt>
                <c:pt idx="114">
                  <c:v>-4.7139334928942844E-3</c:v>
                </c:pt>
                <c:pt idx="115">
                  <c:v>-5.0996669961023144E-3</c:v>
                </c:pt>
                <c:pt idx="126">
                  <c:v>3.7116333500307519E-2</c:v>
                </c:pt>
                <c:pt idx="127">
                  <c:v>1.7384041995683219E-2</c:v>
                </c:pt>
                <c:pt idx="139">
                  <c:v>2.9913813006714918E-2</c:v>
                </c:pt>
                <c:pt idx="140">
                  <c:v>2.9810013998940121E-2</c:v>
                </c:pt>
                <c:pt idx="141">
                  <c:v>2.8706215001875535E-2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57-41A1-98C5-AF4E4EB90FDC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(old)'!$P$21:$P$962</c:f>
              <c:numCache>
                <c:formatCode>0.0000</c:formatCode>
                <c:ptCount val="942"/>
                <c:pt idx="0">
                  <c:v>4.7881516705216877E-3</c:v>
                </c:pt>
                <c:pt idx="1">
                  <c:v>3.6021779992613783E-3</c:v>
                </c:pt>
                <c:pt idx="23">
                  <c:v>1.2215857548527654E-2</c:v>
                </c:pt>
                <c:pt idx="24">
                  <c:v>1.2206056113227982E-2</c:v>
                </c:pt>
                <c:pt idx="25">
                  <c:v>1.2226104503613675E-2</c:v>
                </c:pt>
                <c:pt idx="26">
                  <c:v>1.2216303068314003E-2</c:v>
                </c:pt>
                <c:pt idx="27">
                  <c:v>1.1309670303094346E-2</c:v>
                </c:pt>
                <c:pt idx="28">
                  <c:v>1.1310115822880693E-2</c:v>
                </c:pt>
                <c:pt idx="29">
                  <c:v>1.1304769585444508E-2</c:v>
                </c:pt>
                <c:pt idx="30">
                  <c:v>1.1292295031426744E-2</c:v>
                </c:pt>
                <c:pt idx="31">
                  <c:v>1.0370960113257579E-2</c:v>
                </c:pt>
                <c:pt idx="32">
                  <c:v>1.0368286994539486E-2</c:v>
                </c:pt>
                <c:pt idx="43">
                  <c:v>1.291354153394976E-2</c:v>
                </c:pt>
                <c:pt idx="59">
                  <c:v>2.1266164668743968E-3</c:v>
                </c:pt>
                <c:pt idx="60">
                  <c:v>5.4506395928222446E-3</c:v>
                </c:pt>
                <c:pt idx="61">
                  <c:v>4.6282100672224956E-3</c:v>
                </c:pt>
                <c:pt idx="62">
                  <c:v>-6.5654563844609701E-4</c:v>
                </c:pt>
                <c:pt idx="63">
                  <c:v>-1.579662635760658E-3</c:v>
                </c:pt>
                <c:pt idx="64">
                  <c:v>-1.597483427214607E-3</c:v>
                </c:pt>
                <c:pt idx="65">
                  <c:v>-6.2402269404263988E-4</c:v>
                </c:pt>
                <c:pt idx="66">
                  <c:v>-6.2446821382898868E-4</c:v>
                </c:pt>
                <c:pt idx="67">
                  <c:v>-2.9589918942963152E-3</c:v>
                </c:pt>
                <c:pt idx="68">
                  <c:v>-2.9594374140826636E-3</c:v>
                </c:pt>
                <c:pt idx="69">
                  <c:v>-4.4514831785645477E-3</c:v>
                </c:pt>
                <c:pt idx="70">
                  <c:v>-5.4102417587870068E-3</c:v>
                </c:pt>
                <c:pt idx="71">
                  <c:v>-5.4106872785733562E-3</c:v>
                </c:pt>
                <c:pt idx="72">
                  <c:v>-5.2792589416004818E-3</c:v>
                </c:pt>
                <c:pt idx="73">
                  <c:v>-6.2919254159711372E-3</c:v>
                </c:pt>
                <c:pt idx="74">
                  <c:v>-6.1774268308795142E-3</c:v>
                </c:pt>
                <c:pt idx="75">
                  <c:v>-7.0430717757550892E-3</c:v>
                </c:pt>
                <c:pt idx="76">
                  <c:v>-7.2582578325615247E-3</c:v>
                </c:pt>
                <c:pt idx="77">
                  <c:v>-7.2738510250837298E-3</c:v>
                </c:pt>
                <c:pt idx="78">
                  <c:v>-8.1261303763688446E-3</c:v>
                </c:pt>
                <c:pt idx="79">
                  <c:v>-8.9837559650901427E-3</c:v>
                </c:pt>
                <c:pt idx="80">
                  <c:v>-8.9842014848764903E-3</c:v>
                </c:pt>
                <c:pt idx="81">
                  <c:v>-8.999349157612347E-3</c:v>
                </c:pt>
                <c:pt idx="82">
                  <c:v>-8.9997946773986946E-3</c:v>
                </c:pt>
                <c:pt idx="83">
                  <c:v>-9.457343497978837E-3</c:v>
                </c:pt>
                <c:pt idx="84">
                  <c:v>-1.0020034988137279E-2</c:v>
                </c:pt>
                <c:pt idx="86">
                  <c:v>4.7881516705216877E-3</c:v>
                </c:pt>
                <c:pt idx="87">
                  <c:v>3.6021779992613783E-3</c:v>
                </c:pt>
                <c:pt idx="91">
                  <c:v>2.2175025032895369E-3</c:v>
                </c:pt>
                <c:pt idx="100">
                  <c:v>8.9698185655191212E-4</c:v>
                </c:pt>
                <c:pt idx="101">
                  <c:v>-1.9258315097536185E-3</c:v>
                </c:pt>
                <c:pt idx="102">
                  <c:v>-1.9258315097536185E-3</c:v>
                </c:pt>
                <c:pt idx="103">
                  <c:v>-2.921122712456673E-3</c:v>
                </c:pt>
                <c:pt idx="104">
                  <c:v>-2.9264689498928577E-3</c:v>
                </c:pt>
                <c:pt idx="105">
                  <c:v>-2.954091176646479E-3</c:v>
                </c:pt>
                <c:pt idx="106">
                  <c:v>-3.0102266697264184E-3</c:v>
                </c:pt>
                <c:pt idx="107">
                  <c:v>-3.012454268658162E-3</c:v>
                </c:pt>
                <c:pt idx="108">
                  <c:v>-3.2543715126455205E-3</c:v>
                </c:pt>
                <c:pt idx="109">
                  <c:v>-5.3108908464312415E-3</c:v>
                </c:pt>
                <c:pt idx="110">
                  <c:v>-6.2451458384045208E-3</c:v>
                </c:pt>
                <c:pt idx="111">
                  <c:v>-6.2451458384045208E-3</c:v>
                </c:pt>
                <c:pt idx="112">
                  <c:v>-6.2451458384045208E-3</c:v>
                </c:pt>
                <c:pt idx="113">
                  <c:v>-4.883191851536464E-3</c:v>
                </c:pt>
                <c:pt idx="114">
                  <c:v>-7.2101416956358621E-3</c:v>
                </c:pt>
                <c:pt idx="115">
                  <c:v>-8.0116317912772208E-3</c:v>
                </c:pt>
                <c:pt idx="116">
                  <c:v>-8.8799498548708874E-3</c:v>
                </c:pt>
                <c:pt idx="117">
                  <c:v>-8.8799498548708874E-3</c:v>
                </c:pt>
                <c:pt idx="118">
                  <c:v>-8.8799498548708874E-3</c:v>
                </c:pt>
                <c:pt idx="119">
                  <c:v>-8.8799498548708874E-3</c:v>
                </c:pt>
                <c:pt idx="120">
                  <c:v>-8.8803953746572368E-3</c:v>
                </c:pt>
                <c:pt idx="121">
                  <c:v>-8.8803953746572368E-3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457-41A1-98C5-AF4E4EB90FDC}"/>
            </c:ext>
          </c:extLst>
        </c:ser>
        <c:ser>
          <c:idx val="9"/>
          <c:order val="9"/>
          <c:tx>
            <c:strRef>
              <c:f>'A (old)'!$Q$20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(old)'!$Q$21:$Q$962</c:f>
              <c:numCache>
                <c:formatCode>0.0000</c:formatCode>
                <c:ptCount val="942"/>
                <c:pt idx="0">
                  <c:v>2.994984077208199E-3</c:v>
                </c:pt>
                <c:pt idx="1">
                  <c:v>2.262118859328156E-3</c:v>
                </c:pt>
                <c:pt idx="2">
                  <c:v>7.5292997665223262E-3</c:v>
                </c:pt>
                <c:pt idx="3">
                  <c:v>7.5271350688049521E-3</c:v>
                </c:pt>
                <c:pt idx="4">
                  <c:v>7.5271350688049521E-3</c:v>
                </c:pt>
                <c:pt idx="5">
                  <c:v>7.5267021633701652E-3</c:v>
                </c:pt>
                <c:pt idx="6">
                  <c:v>7.5245378067396694E-3</c:v>
                </c:pt>
                <c:pt idx="7">
                  <c:v>7.5245378067396694E-3</c:v>
                </c:pt>
                <c:pt idx="8">
                  <c:v>1.0322740203533961E-2</c:v>
                </c:pt>
                <c:pt idx="9">
                  <c:v>2.5181463193433493E-2</c:v>
                </c:pt>
                <c:pt idx="10">
                  <c:v>2.5137741599339881E-2</c:v>
                </c:pt>
                <c:pt idx="11">
                  <c:v>2.4988447074962512E-2</c:v>
                </c:pt>
                <c:pt idx="12">
                  <c:v>2.4980038214276176E-2</c:v>
                </c:pt>
                <c:pt idx="13">
                  <c:v>2.4970866480708908E-2</c:v>
                </c:pt>
                <c:pt idx="14">
                  <c:v>2.69201744051848E-2</c:v>
                </c:pt>
                <c:pt idx="15">
                  <c:v>2.5326699103123837E-2</c:v>
                </c:pt>
                <c:pt idx="16">
                  <c:v>2.5199883336898293E-2</c:v>
                </c:pt>
                <c:pt idx="17">
                  <c:v>2.5055767486267928E-2</c:v>
                </c:pt>
                <c:pt idx="18">
                  <c:v>2.5042755545280161E-2</c:v>
                </c:pt>
                <c:pt idx="19">
                  <c:v>1.4096550245392046E-2</c:v>
                </c:pt>
                <c:pt idx="20">
                  <c:v>6.5578515972463053E-3</c:v>
                </c:pt>
                <c:pt idx="21">
                  <c:v>5.0659589774852418E-3</c:v>
                </c:pt>
                <c:pt idx="22">
                  <c:v>1.2417073014903445E-2</c:v>
                </c:pt>
                <c:pt idx="23">
                  <c:v>9.4173019682897586E-3</c:v>
                </c:pt>
                <c:pt idx="24">
                  <c:v>9.4067448852002619E-3</c:v>
                </c:pt>
                <c:pt idx="25">
                  <c:v>9.4283448025410665E-3</c:v>
                </c:pt>
                <c:pt idx="26">
                  <c:v>9.4177819664528883E-3</c:v>
                </c:pt>
                <c:pt idx="27">
                  <c:v>8.4645160944209381E-3</c:v>
                </c:pt>
                <c:pt idx="28">
                  <c:v>8.4649729668937138E-3</c:v>
                </c:pt>
                <c:pt idx="29">
                  <c:v>8.4594912476115506E-3</c:v>
                </c:pt>
                <c:pt idx="30">
                  <c:v>8.4467069362415669E-3</c:v>
                </c:pt>
                <c:pt idx="31">
                  <c:v>7.5271350688049521E-3</c:v>
                </c:pt>
                <c:pt idx="32">
                  <c:v>7.5245378067396694E-3</c:v>
                </c:pt>
                <c:pt idx="33">
                  <c:v>2.6829087672146132E-2</c:v>
                </c:pt>
                <c:pt idx="34">
                  <c:v>2.6828296273032598E-2</c:v>
                </c:pt>
                <c:pt idx="35">
                  <c:v>2.1771853268312977E-2</c:v>
                </c:pt>
                <c:pt idx="36">
                  <c:v>2.1463293984990722E-2</c:v>
                </c:pt>
                <c:pt idx="37">
                  <c:v>2.1418577316225661E-2</c:v>
                </c:pt>
                <c:pt idx="38">
                  <c:v>2.0599110421074523E-2</c:v>
                </c:pt>
                <c:pt idx="39">
                  <c:v>2.0594933585675448E-2</c:v>
                </c:pt>
                <c:pt idx="40">
                  <c:v>3.9377373934405144E-2</c:v>
                </c:pt>
                <c:pt idx="41">
                  <c:v>1.0637057602467605E-2</c:v>
                </c:pt>
                <c:pt idx="42">
                  <c:v>2.0085679637344121E-2</c:v>
                </c:pt>
                <c:pt idx="43">
                  <c:v>1.018291129692772E-2</c:v>
                </c:pt>
                <c:pt idx="44">
                  <c:v>4.7856664964483667E-2</c:v>
                </c:pt>
                <c:pt idx="45">
                  <c:v>4.7851410417582826E-2</c:v>
                </c:pt>
                <c:pt idx="46">
                  <c:v>4.7845105336497391E-2</c:v>
                </c:pt>
                <c:pt idx="47">
                  <c:v>4.7504191651385058E-2</c:v>
                </c:pt>
                <c:pt idx="48">
                  <c:v>8.8859068878137364E-3</c:v>
                </c:pt>
                <c:pt idx="49">
                  <c:v>9.4283448025410665E-3</c:v>
                </c:pt>
                <c:pt idx="50">
                  <c:v>9.4177819664528883E-3</c:v>
                </c:pt>
                <c:pt idx="51">
                  <c:v>9.4173019682897586E-3</c:v>
                </c:pt>
                <c:pt idx="52">
                  <c:v>9.4067448852002619E-3</c:v>
                </c:pt>
                <c:pt idx="53">
                  <c:v>1.018291129692772E-2</c:v>
                </c:pt>
                <c:pt idx="54">
                  <c:v>1.018291129692772E-2</c:v>
                </c:pt>
                <c:pt idx="55">
                  <c:v>8.4649729668937138E-3</c:v>
                </c:pt>
                <c:pt idx="56">
                  <c:v>8.4645160944209381E-3</c:v>
                </c:pt>
                <c:pt idx="57">
                  <c:v>8.4594912476115506E-3</c:v>
                </c:pt>
                <c:pt idx="58">
                  <c:v>8.4467069362415669E-3</c:v>
                </c:pt>
                <c:pt idx="59">
                  <c:v>1.4627830299717109E-3</c:v>
                </c:pt>
                <c:pt idx="60">
                  <c:v>3.4394370764094752E-3</c:v>
                </c:pt>
                <c:pt idx="61">
                  <c:v>2.8914490896700079E-3</c:v>
                </c:pt>
                <c:pt idx="62">
                  <c:v>2.945657023419719E-4</c:v>
                </c:pt>
                <c:pt idx="63">
                  <c:v>5.0807001215820491E-6</c:v>
                </c:pt>
                <c:pt idx="64">
                  <c:v>-2.7563110031777823E-8</c:v>
                </c:pt>
                <c:pt idx="65">
                  <c:v>3.0565489106322411E-4</c:v>
                </c:pt>
                <c:pt idx="66">
                  <c:v>3.0550257506415838E-4</c:v>
                </c:pt>
                <c:pt idx="67">
                  <c:v>-3.3651302058774194E-4</c:v>
                </c:pt>
                <c:pt idx="68">
                  <c:v>-3.3660574870915405E-4</c:v>
                </c:pt>
                <c:pt idx="69">
                  <c:v>-5.833738131245862E-4</c:v>
                </c:pt>
                <c:pt idx="70">
                  <c:v>-6.7464469981745362E-4</c:v>
                </c:pt>
                <c:pt idx="71">
                  <c:v>-6.7467487260537012E-4</c:v>
                </c:pt>
                <c:pt idx="72">
                  <c:v>-6.6528085908729737E-4</c:v>
                </c:pt>
                <c:pt idx="73">
                  <c:v>-7.121037867020187E-4</c:v>
                </c:pt>
                <c:pt idx="74">
                  <c:v>-7.09755038751729E-4</c:v>
                </c:pt>
                <c:pt idx="75">
                  <c:v>-7.0888954067162442E-4</c:v>
                </c:pt>
                <c:pt idx="76">
                  <c:v>-7.0201320314912732E-4</c:v>
                </c:pt>
                <c:pt idx="77">
                  <c:v>-7.0141185273632511E-4</c:v>
                </c:pt>
                <c:pt idx="78">
                  <c:v>-6.4735928334355925E-4</c:v>
                </c:pt>
                <c:pt idx="79">
                  <c:v>-5.509676322097343E-4</c:v>
                </c:pt>
                <c:pt idx="80">
                  <c:v>-5.5090660973593371E-4</c:v>
                </c:pt>
                <c:pt idx="81">
                  <c:v>-5.4882508073695485E-4</c:v>
                </c:pt>
                <c:pt idx="82">
                  <c:v>-5.4876366032846277E-4</c:v>
                </c:pt>
                <c:pt idx="83">
                  <c:v>-4.796831588341076E-4</c:v>
                </c:pt>
                <c:pt idx="84">
                  <c:v>-3.7828634508337185E-4</c:v>
                </c:pt>
                <c:pt idx="85">
                  <c:v>2.3419168396917257E-2</c:v>
                </c:pt>
                <c:pt idx="86">
                  <c:v>2.994984077208199E-3</c:v>
                </c:pt>
                <c:pt idx="87">
                  <c:v>2.262118859328156E-3</c:v>
                </c:pt>
                <c:pt idx="88">
                  <c:v>1.9179699860396335E-2</c:v>
                </c:pt>
                <c:pt idx="89">
                  <c:v>1.2417073014903445E-2</c:v>
                </c:pt>
                <c:pt idx="90">
                  <c:v>1.2413794534124657E-2</c:v>
                </c:pt>
                <c:pt idx="91">
                  <c:v>1.5084131499679162E-3</c:v>
                </c:pt>
                <c:pt idx="92">
                  <c:v>1.500674562815086E-2</c:v>
                </c:pt>
                <c:pt idx="93">
                  <c:v>1.4996582865445172E-2</c:v>
                </c:pt>
                <c:pt idx="94">
                  <c:v>2.6217598211190952E-2</c:v>
                </c:pt>
                <c:pt idx="95">
                  <c:v>4.0485222940269041E-3</c:v>
                </c:pt>
                <c:pt idx="96">
                  <c:v>4.0409558399792083E-3</c:v>
                </c:pt>
                <c:pt idx="97">
                  <c:v>3.7070074976072809E-3</c:v>
                </c:pt>
                <c:pt idx="98">
                  <c:v>3.6905342212238887E-3</c:v>
                </c:pt>
                <c:pt idx="99">
                  <c:v>3.679779855119903E-3</c:v>
                </c:pt>
                <c:pt idx="100">
                  <c:v>8.9193949701646933E-4</c:v>
                </c:pt>
                <c:pt idx="101">
                  <c:v>-9.0891928822190026E-5</c:v>
                </c:pt>
                <c:pt idx="102">
                  <c:v>-9.0891928822190026E-5</c:v>
                </c:pt>
                <c:pt idx="103">
                  <c:v>-3.2858957451636461E-4</c:v>
                </c:pt>
                <c:pt idx="104">
                  <c:v>-3.2971315853604229E-4</c:v>
                </c:pt>
                <c:pt idx="105">
                  <c:v>-3.3549226086107656E-4</c:v>
                </c:pt>
                <c:pt idx="106">
                  <c:v>-3.4710222706720544E-4</c:v>
                </c:pt>
                <c:pt idx="107">
                  <c:v>-3.4755921648013742E-4</c:v>
                </c:pt>
                <c:pt idx="108">
                  <c:v>-3.9549668045989216E-4</c:v>
                </c:pt>
                <c:pt idx="109">
                  <c:v>-6.6763220191625589E-4</c:v>
                </c:pt>
                <c:pt idx="110">
                  <c:v>-7.1123491061797072E-4</c:v>
                </c:pt>
                <c:pt idx="111">
                  <c:v>-7.1123491061797072E-4</c:v>
                </c:pt>
                <c:pt idx="112">
                  <c:v>-7.1123491061797072E-4</c:v>
                </c:pt>
                <c:pt idx="113">
                  <c:v>-6.3098777771023536E-4</c:v>
                </c:pt>
                <c:pt idx="114">
                  <c:v>-7.0378100294613498E-4</c:v>
                </c:pt>
                <c:pt idx="115">
                  <c:v>-6.5704031713742441E-4</c:v>
                </c:pt>
                <c:pt idx="116">
                  <c:v>-5.6487592295891074E-4</c:v>
                </c:pt>
                <c:pt idx="117">
                  <c:v>-5.6487592295891074E-4</c:v>
                </c:pt>
                <c:pt idx="118">
                  <c:v>-5.6487592295891074E-4</c:v>
                </c:pt>
                <c:pt idx="119">
                  <c:v>-5.6487592295891074E-4</c:v>
                </c:pt>
                <c:pt idx="120">
                  <c:v>-5.6481754959319865E-4</c:v>
                </c:pt>
                <c:pt idx="121">
                  <c:v>-5.6481754959319865E-4</c:v>
                </c:pt>
                <c:pt idx="122">
                  <c:v>1.2417073014903445E-2</c:v>
                </c:pt>
                <c:pt idx="123">
                  <c:v>1.2413794534124657E-2</c:v>
                </c:pt>
                <c:pt idx="124">
                  <c:v>1.2417073014903445E-2</c:v>
                </c:pt>
                <c:pt idx="125">
                  <c:v>1.2413794534124657E-2</c:v>
                </c:pt>
                <c:pt idx="126">
                  <c:v>2.6674979900284446E-2</c:v>
                </c:pt>
                <c:pt idx="127">
                  <c:v>2.6634746111986893E-2</c:v>
                </c:pt>
                <c:pt idx="128">
                  <c:v>1.0322740203533961E-2</c:v>
                </c:pt>
                <c:pt idx="129">
                  <c:v>2.0089118465095694E-2</c:v>
                </c:pt>
                <c:pt idx="130">
                  <c:v>2.0085679637344121E-2</c:v>
                </c:pt>
                <c:pt idx="131">
                  <c:v>2.0081553419237792E-2</c:v>
                </c:pt>
                <c:pt idx="132">
                  <c:v>2.0077427610435725E-2</c:v>
                </c:pt>
                <c:pt idx="133">
                  <c:v>2.0069864690686029E-2</c:v>
                </c:pt>
                <c:pt idx="134">
                  <c:v>2.0062303146653415E-2</c:v>
                </c:pt>
                <c:pt idx="135">
                  <c:v>2.0061615801776914E-2</c:v>
                </c:pt>
                <c:pt idx="136">
                  <c:v>1.9983333013339009E-2</c:v>
                </c:pt>
                <c:pt idx="137">
                  <c:v>1.9960014120852503E-2</c:v>
                </c:pt>
                <c:pt idx="138">
                  <c:v>1.9007218967181674E-2</c:v>
                </c:pt>
                <c:pt idx="139">
                  <c:v>2.8702287192428361E-2</c:v>
                </c:pt>
                <c:pt idx="140">
                  <c:v>2.8697380158240044E-2</c:v>
                </c:pt>
                <c:pt idx="141">
                  <c:v>2.8692473533355974E-2</c:v>
                </c:pt>
                <c:pt idx="142">
                  <c:v>1.5412316874889767E-2</c:v>
                </c:pt>
                <c:pt idx="143">
                  <c:v>1.540868366375746E-2</c:v>
                </c:pt>
                <c:pt idx="144">
                  <c:v>1.5408078168362212E-2</c:v>
                </c:pt>
                <c:pt idx="145">
                  <c:v>1.5363907713697649E-2</c:v>
                </c:pt>
                <c:pt idx="146">
                  <c:v>1.5335501263956896E-2</c:v>
                </c:pt>
                <c:pt idx="147">
                  <c:v>1.5333084853461579E-2</c:v>
                </c:pt>
                <c:pt idx="148">
                  <c:v>1.5332480779261658E-2</c:v>
                </c:pt>
                <c:pt idx="149">
                  <c:v>1.5329460578805482E-2</c:v>
                </c:pt>
                <c:pt idx="150">
                  <c:v>1.519504867548091E-2</c:v>
                </c:pt>
                <c:pt idx="151">
                  <c:v>1.5157178234321396E-2</c:v>
                </c:pt>
                <c:pt idx="152">
                  <c:v>1.5153573879138998E-2</c:v>
                </c:pt>
                <c:pt idx="153">
                  <c:v>1.2417073014903445E-2</c:v>
                </c:pt>
                <c:pt idx="154">
                  <c:v>1.2413794534124657E-2</c:v>
                </c:pt>
                <c:pt idx="155">
                  <c:v>-5.1952365307844955E-5</c:v>
                </c:pt>
                <c:pt idx="156">
                  <c:v>-2.1757811236156735E-4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457-41A1-98C5-AF4E4EB90FDC}"/>
            </c:ext>
          </c:extLst>
        </c:ser>
        <c:ser>
          <c:idx val="10"/>
          <c:order val="10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(old)'!$F$21:$F$962</c:f>
              <c:numCache>
                <c:formatCode>General</c:formatCode>
                <c:ptCount val="942"/>
                <c:pt idx="0">
                  <c:v>-7166</c:v>
                </c:pt>
                <c:pt idx="1">
                  <c:v>-5835</c:v>
                </c:pt>
                <c:pt idx="2">
                  <c:v>-13434</c:v>
                </c:pt>
                <c:pt idx="3">
                  <c:v>-13431.5</c:v>
                </c:pt>
                <c:pt idx="4">
                  <c:v>-13431.5</c:v>
                </c:pt>
                <c:pt idx="5">
                  <c:v>-13431</c:v>
                </c:pt>
                <c:pt idx="6">
                  <c:v>-13428.5</c:v>
                </c:pt>
                <c:pt idx="7">
                  <c:v>-13428.5</c:v>
                </c:pt>
                <c:pt idx="8">
                  <c:v>-16425</c:v>
                </c:pt>
                <c:pt idx="9">
                  <c:v>-28140</c:v>
                </c:pt>
                <c:pt idx="10">
                  <c:v>-28111.5</c:v>
                </c:pt>
                <c:pt idx="11">
                  <c:v>-28014</c:v>
                </c:pt>
                <c:pt idx="12">
                  <c:v>-28008.5</c:v>
                </c:pt>
                <c:pt idx="13">
                  <c:v>-28002.5</c:v>
                </c:pt>
                <c:pt idx="14">
                  <c:v>-29254.5</c:v>
                </c:pt>
                <c:pt idx="15">
                  <c:v>-28234.5</c:v>
                </c:pt>
                <c:pt idx="16">
                  <c:v>-28152</c:v>
                </c:pt>
                <c:pt idx="17">
                  <c:v>-28058</c:v>
                </c:pt>
                <c:pt idx="18">
                  <c:v>-28049.5</c:v>
                </c:pt>
                <c:pt idx="19">
                  <c:v>-19915</c:v>
                </c:pt>
                <c:pt idx="20">
                  <c:v>-12277</c:v>
                </c:pt>
                <c:pt idx="21">
                  <c:v>-10337.5</c:v>
                </c:pt>
                <c:pt idx="22">
                  <c:v>-18424.5</c:v>
                </c:pt>
                <c:pt idx="23">
                  <c:v>-15502</c:v>
                </c:pt>
                <c:pt idx="24">
                  <c:v>-15491</c:v>
                </c:pt>
                <c:pt idx="25">
                  <c:v>-15513.5</c:v>
                </c:pt>
                <c:pt idx="26">
                  <c:v>-15502.5</c:v>
                </c:pt>
                <c:pt idx="27">
                  <c:v>-14485</c:v>
                </c:pt>
                <c:pt idx="28">
                  <c:v>-14485.5</c:v>
                </c:pt>
                <c:pt idx="29">
                  <c:v>-14479.5</c:v>
                </c:pt>
                <c:pt idx="30">
                  <c:v>-14465.5</c:v>
                </c:pt>
                <c:pt idx="31">
                  <c:v>-13431.5</c:v>
                </c:pt>
                <c:pt idx="32">
                  <c:v>-13428.5</c:v>
                </c:pt>
                <c:pt idx="33">
                  <c:v>-29197</c:v>
                </c:pt>
                <c:pt idx="34">
                  <c:v>-29196.5</c:v>
                </c:pt>
                <c:pt idx="35">
                  <c:v>-25840</c:v>
                </c:pt>
                <c:pt idx="36">
                  <c:v>-25623.5</c:v>
                </c:pt>
                <c:pt idx="37">
                  <c:v>-25592</c:v>
                </c:pt>
                <c:pt idx="38">
                  <c:v>-25009</c:v>
                </c:pt>
                <c:pt idx="39">
                  <c:v>-25006</c:v>
                </c:pt>
                <c:pt idx="40">
                  <c:v>-36383</c:v>
                </c:pt>
                <c:pt idx="41">
                  <c:v>-16736.5</c:v>
                </c:pt>
                <c:pt idx="42">
                  <c:v>-24638</c:v>
                </c:pt>
                <c:pt idx="43">
                  <c:v>-16285</c:v>
                </c:pt>
                <c:pt idx="44">
                  <c:v>-40610.5</c:v>
                </c:pt>
                <c:pt idx="45">
                  <c:v>-40608</c:v>
                </c:pt>
                <c:pt idx="46">
                  <c:v>-40605</c:v>
                </c:pt>
                <c:pt idx="47">
                  <c:v>-40442.5</c:v>
                </c:pt>
                <c:pt idx="48">
                  <c:v>-14941</c:v>
                </c:pt>
                <c:pt idx="49">
                  <c:v>-15513.5</c:v>
                </c:pt>
                <c:pt idx="50">
                  <c:v>-15502.5</c:v>
                </c:pt>
                <c:pt idx="51">
                  <c:v>-15502</c:v>
                </c:pt>
                <c:pt idx="52">
                  <c:v>-15491</c:v>
                </c:pt>
                <c:pt idx="53">
                  <c:v>-16285</c:v>
                </c:pt>
                <c:pt idx="54">
                  <c:v>-16285</c:v>
                </c:pt>
                <c:pt idx="55">
                  <c:v>-14485.5</c:v>
                </c:pt>
                <c:pt idx="56">
                  <c:v>-14485</c:v>
                </c:pt>
                <c:pt idx="57">
                  <c:v>-14479.5</c:v>
                </c:pt>
                <c:pt idx="58">
                  <c:v>-14465.5</c:v>
                </c:pt>
                <c:pt idx="59">
                  <c:v>-4179</c:v>
                </c:pt>
                <c:pt idx="60">
                  <c:v>-7909.5</c:v>
                </c:pt>
                <c:pt idx="61">
                  <c:v>-6986.5</c:v>
                </c:pt>
                <c:pt idx="62">
                  <c:v>-1055.5</c:v>
                </c:pt>
                <c:pt idx="63">
                  <c:v>-19.5</c:v>
                </c:pt>
                <c:pt idx="64">
                  <c:v>0.5</c:v>
                </c:pt>
                <c:pt idx="65">
                  <c:v>-1092</c:v>
                </c:pt>
                <c:pt idx="66">
                  <c:v>-1091.5</c:v>
                </c:pt>
                <c:pt idx="67">
                  <c:v>1528.5</c:v>
                </c:pt>
                <c:pt idx="68">
                  <c:v>1529</c:v>
                </c:pt>
                <c:pt idx="69">
                  <c:v>3203.5</c:v>
                </c:pt>
                <c:pt idx="70">
                  <c:v>4279.5</c:v>
                </c:pt>
                <c:pt idx="71">
                  <c:v>4280</c:v>
                </c:pt>
                <c:pt idx="72">
                  <c:v>4132.5</c:v>
                </c:pt>
                <c:pt idx="73">
                  <c:v>5269</c:v>
                </c:pt>
                <c:pt idx="74">
                  <c:v>5140.5</c:v>
                </c:pt>
                <c:pt idx="75">
                  <c:v>6112</c:v>
                </c:pt>
                <c:pt idx="76">
                  <c:v>6353.5</c:v>
                </c:pt>
                <c:pt idx="77">
                  <c:v>6371</c:v>
                </c:pt>
                <c:pt idx="78">
                  <c:v>7327.5</c:v>
                </c:pt>
                <c:pt idx="79">
                  <c:v>8290</c:v>
                </c:pt>
                <c:pt idx="80">
                  <c:v>8290.5</c:v>
                </c:pt>
                <c:pt idx="81">
                  <c:v>8307.5</c:v>
                </c:pt>
                <c:pt idx="82">
                  <c:v>8308</c:v>
                </c:pt>
                <c:pt idx="83">
                  <c:v>8821.5</c:v>
                </c:pt>
                <c:pt idx="84">
                  <c:v>9453</c:v>
                </c:pt>
                <c:pt idx="85">
                  <c:v>-26971.5</c:v>
                </c:pt>
                <c:pt idx="86">
                  <c:v>-7166</c:v>
                </c:pt>
                <c:pt idx="87">
                  <c:v>-5835</c:v>
                </c:pt>
                <c:pt idx="88">
                  <c:v>-23972</c:v>
                </c:pt>
                <c:pt idx="89">
                  <c:v>-18424.5</c:v>
                </c:pt>
                <c:pt idx="90">
                  <c:v>-18421.5</c:v>
                </c:pt>
                <c:pt idx="91">
                  <c:v>-4281</c:v>
                </c:pt>
                <c:pt idx="92">
                  <c:v>-20687.5</c:v>
                </c:pt>
                <c:pt idx="93">
                  <c:v>-20679</c:v>
                </c:pt>
                <c:pt idx="94">
                  <c:v>-28808.5</c:v>
                </c:pt>
                <c:pt idx="95">
                  <c:v>-8866.5</c:v>
                </c:pt>
                <c:pt idx="96">
                  <c:v>-8855</c:v>
                </c:pt>
                <c:pt idx="97">
                  <c:v>-8338</c:v>
                </c:pt>
                <c:pt idx="98">
                  <c:v>-8312</c:v>
                </c:pt>
                <c:pt idx="99">
                  <c:v>-8295</c:v>
                </c:pt>
                <c:pt idx="100">
                  <c:v>-2799</c:v>
                </c:pt>
                <c:pt idx="101">
                  <c:v>369</c:v>
                </c:pt>
                <c:pt idx="102">
                  <c:v>369</c:v>
                </c:pt>
                <c:pt idx="103">
                  <c:v>1486</c:v>
                </c:pt>
                <c:pt idx="104">
                  <c:v>1492</c:v>
                </c:pt>
                <c:pt idx="105">
                  <c:v>1523</c:v>
                </c:pt>
                <c:pt idx="106">
                  <c:v>1586</c:v>
                </c:pt>
                <c:pt idx="107">
                  <c:v>1588.5</c:v>
                </c:pt>
                <c:pt idx="108">
                  <c:v>1860</c:v>
                </c:pt>
                <c:pt idx="109">
                  <c:v>4168</c:v>
                </c:pt>
                <c:pt idx="110">
                  <c:v>5216.5</c:v>
                </c:pt>
                <c:pt idx="111">
                  <c:v>5216.5</c:v>
                </c:pt>
                <c:pt idx="112">
                  <c:v>5216.5</c:v>
                </c:pt>
                <c:pt idx="113">
                  <c:v>3688</c:v>
                </c:pt>
                <c:pt idx="114">
                  <c:v>6299.5</c:v>
                </c:pt>
                <c:pt idx="115">
                  <c:v>7199</c:v>
                </c:pt>
                <c:pt idx="116">
                  <c:v>8173.5</c:v>
                </c:pt>
                <c:pt idx="117">
                  <c:v>8173.5</c:v>
                </c:pt>
                <c:pt idx="118">
                  <c:v>8173.5</c:v>
                </c:pt>
                <c:pt idx="119">
                  <c:v>8173.5</c:v>
                </c:pt>
                <c:pt idx="120">
                  <c:v>8174</c:v>
                </c:pt>
                <c:pt idx="121">
                  <c:v>8174</c:v>
                </c:pt>
                <c:pt idx="122">
                  <c:v>-18424.5</c:v>
                </c:pt>
                <c:pt idx="123">
                  <c:v>-18421.5</c:v>
                </c:pt>
                <c:pt idx="124">
                  <c:v>-18424.5</c:v>
                </c:pt>
                <c:pt idx="125">
                  <c:v>-18421.5</c:v>
                </c:pt>
                <c:pt idx="126">
                  <c:v>-29099.5</c:v>
                </c:pt>
                <c:pt idx="127">
                  <c:v>-29074</c:v>
                </c:pt>
                <c:pt idx="128">
                  <c:v>-16425</c:v>
                </c:pt>
                <c:pt idx="129">
                  <c:v>-24640.5</c:v>
                </c:pt>
                <c:pt idx="130">
                  <c:v>-24638</c:v>
                </c:pt>
                <c:pt idx="131">
                  <c:v>-24635</c:v>
                </c:pt>
                <c:pt idx="132">
                  <c:v>-24632</c:v>
                </c:pt>
                <c:pt idx="133">
                  <c:v>-24626.5</c:v>
                </c:pt>
                <c:pt idx="134">
                  <c:v>-24621</c:v>
                </c:pt>
                <c:pt idx="135">
                  <c:v>-24620.5</c:v>
                </c:pt>
                <c:pt idx="136">
                  <c:v>-24563.5</c:v>
                </c:pt>
                <c:pt idx="137">
                  <c:v>-24546.5</c:v>
                </c:pt>
                <c:pt idx="138">
                  <c:v>-23843.5</c:v>
                </c:pt>
                <c:pt idx="139">
                  <c:v>-30361</c:v>
                </c:pt>
                <c:pt idx="140">
                  <c:v>-30358</c:v>
                </c:pt>
                <c:pt idx="141">
                  <c:v>-30355</c:v>
                </c:pt>
                <c:pt idx="142">
                  <c:v>-21024.5</c:v>
                </c:pt>
                <c:pt idx="143">
                  <c:v>-21021.5</c:v>
                </c:pt>
                <c:pt idx="144">
                  <c:v>-21021</c:v>
                </c:pt>
                <c:pt idx="145">
                  <c:v>-20984.5</c:v>
                </c:pt>
                <c:pt idx="146">
                  <c:v>-20961</c:v>
                </c:pt>
                <c:pt idx="147">
                  <c:v>-20959</c:v>
                </c:pt>
                <c:pt idx="148">
                  <c:v>-20958.5</c:v>
                </c:pt>
                <c:pt idx="149">
                  <c:v>-20956</c:v>
                </c:pt>
                <c:pt idx="150">
                  <c:v>-20844.5</c:v>
                </c:pt>
                <c:pt idx="151">
                  <c:v>-20813</c:v>
                </c:pt>
                <c:pt idx="152">
                  <c:v>-20810</c:v>
                </c:pt>
                <c:pt idx="153">
                  <c:v>-18424.5</c:v>
                </c:pt>
                <c:pt idx="154">
                  <c:v>-18421.5</c:v>
                </c:pt>
                <c:pt idx="155">
                  <c:v>208</c:v>
                </c:pt>
                <c:pt idx="156">
                  <c:v>931</c:v>
                </c:pt>
              </c:numCache>
            </c:numRef>
          </c:xVal>
          <c:yVal>
            <c:numRef>
              <c:f>'A (old)'!$S$21:$S$962</c:f>
              <c:numCache>
                <c:formatCode>General</c:formatCode>
                <c:ptCount val="942"/>
                <c:pt idx="69" formatCode="0.0000">
                  <c:v>1.8376634499873035E-2</c:v>
                </c:pt>
                <c:pt idx="91" formatCode="0.0000">
                  <c:v>9.9211730048409663E-3</c:v>
                </c:pt>
                <c:pt idx="95" formatCode="0.0000">
                  <c:v>-2.2372055500454735E-2</c:v>
                </c:pt>
                <c:pt idx="96" formatCode="0.0000">
                  <c:v>-1.9153285000356846E-2</c:v>
                </c:pt>
                <c:pt idx="97" formatCode="0.0000">
                  <c:v>4.7725354001158848E-2</c:v>
                </c:pt>
                <c:pt idx="98" formatCode="0.0000">
                  <c:v>6.1959095997735858E-2</c:v>
                </c:pt>
                <c:pt idx="99" formatCode="0.0000">
                  <c:v>4.280423499585595E-2</c:v>
                </c:pt>
                <c:pt idx="104" formatCode="0.0000">
                  <c:v>-8.6056035994261038E-2</c:v>
                </c:pt>
                <c:pt idx="105" formatCode="0.0000">
                  <c:v>7.9468040996289346E-2</c:v>
                </c:pt>
                <c:pt idx="106" formatCode="0.0000">
                  <c:v>4.060826200293377E-2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457-41A1-98C5-AF4E4EB90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46928"/>
        <c:axId val="1"/>
      </c:scatterChart>
      <c:valAx>
        <c:axId val="60664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05535014208181"/>
              <c:y val="0.86734979556126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32950631458095E-2"/>
              <c:y val="0.346939846804863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46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4144661308840416E-2"/>
          <c:y val="0.92177192136697195"/>
          <c:w val="0.95866867961826241"/>
          <c:h val="0.989799489349545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</a:t>
            </a:r>
          </a:p>
        </c:rich>
      </c:tx>
      <c:layout>
        <c:manualLayout>
          <c:xMode val="edge"/>
          <c:yMode val="edge"/>
          <c:x val="0.4168646080760095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6407E-2"/>
          <c:y val="0.11294117647058824"/>
          <c:w val="0.90617577197149646"/>
          <c:h val="0.77176470588235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Q_fit!$D$21:$D$191</c:f>
              <c:numCache>
                <c:formatCode>General</c:formatCode>
                <c:ptCount val="171"/>
                <c:pt idx="0">
                  <c:v>-4.0610499999999998</c:v>
                </c:pt>
                <c:pt idx="1">
                  <c:v>-4.0608000000000004</c:v>
                </c:pt>
                <c:pt idx="2">
                  <c:v>-4.0605000000000002</c:v>
                </c:pt>
                <c:pt idx="3">
                  <c:v>-4.0442499999999999</c:v>
                </c:pt>
                <c:pt idx="4">
                  <c:v>-3.6383000000000001</c:v>
                </c:pt>
                <c:pt idx="5">
                  <c:v>-3.0360999999999998</c:v>
                </c:pt>
                <c:pt idx="6">
                  <c:v>-3.0358000000000001</c:v>
                </c:pt>
                <c:pt idx="7">
                  <c:v>-3.0354999999999999</c:v>
                </c:pt>
                <c:pt idx="8">
                  <c:v>-2.9254500000000001</c:v>
                </c:pt>
                <c:pt idx="9">
                  <c:v>-2.9197000000000002</c:v>
                </c:pt>
                <c:pt idx="10">
                  <c:v>-2.9196499999999999</c:v>
                </c:pt>
                <c:pt idx="11">
                  <c:v>-2.9099499999999998</c:v>
                </c:pt>
                <c:pt idx="12">
                  <c:v>-2.9074</c:v>
                </c:pt>
                <c:pt idx="13">
                  <c:v>-2.8808500000000001</c:v>
                </c:pt>
                <c:pt idx="14">
                  <c:v>-2.8234499999999998</c:v>
                </c:pt>
                <c:pt idx="15">
                  <c:v>-2.8151999999999999</c:v>
                </c:pt>
                <c:pt idx="16">
                  <c:v>-2.8140000000000001</c:v>
                </c:pt>
                <c:pt idx="17">
                  <c:v>-2.81115</c:v>
                </c:pt>
                <c:pt idx="18">
                  <c:v>-2.8058000000000001</c:v>
                </c:pt>
                <c:pt idx="19">
                  <c:v>-2.8049499999999998</c:v>
                </c:pt>
                <c:pt idx="20">
                  <c:v>-2.8014000000000001</c:v>
                </c:pt>
                <c:pt idx="21">
                  <c:v>-2.8008500000000001</c:v>
                </c:pt>
                <c:pt idx="22">
                  <c:v>-2.8002500000000001</c:v>
                </c:pt>
                <c:pt idx="23">
                  <c:v>-2.6971500000000002</c:v>
                </c:pt>
                <c:pt idx="24">
                  <c:v>-2.5840000000000001</c:v>
                </c:pt>
                <c:pt idx="25">
                  <c:v>-2.5623499999999999</c:v>
                </c:pt>
                <c:pt idx="26">
                  <c:v>-2.5592000000000001</c:v>
                </c:pt>
                <c:pt idx="27">
                  <c:v>-2.5009000000000001</c:v>
                </c:pt>
                <c:pt idx="28">
                  <c:v>-2.5005999999999999</c:v>
                </c:pt>
                <c:pt idx="29">
                  <c:v>-2.4640499999999999</c:v>
                </c:pt>
                <c:pt idx="30">
                  <c:v>-2.4638</c:v>
                </c:pt>
                <c:pt idx="31">
                  <c:v>-2.4638</c:v>
                </c:pt>
                <c:pt idx="32">
                  <c:v>-2.4634999999999998</c:v>
                </c:pt>
                <c:pt idx="33">
                  <c:v>-2.4632000000000001</c:v>
                </c:pt>
                <c:pt idx="34">
                  <c:v>-2.46265</c:v>
                </c:pt>
                <c:pt idx="35">
                  <c:v>-2.4621</c:v>
                </c:pt>
                <c:pt idx="36">
                  <c:v>-2.4620500000000001</c:v>
                </c:pt>
                <c:pt idx="37">
                  <c:v>-2.45635</c:v>
                </c:pt>
                <c:pt idx="38">
                  <c:v>-2.45465</c:v>
                </c:pt>
                <c:pt idx="39">
                  <c:v>-2.3972000000000002</c:v>
                </c:pt>
                <c:pt idx="40">
                  <c:v>-2.38435</c:v>
                </c:pt>
                <c:pt idx="41">
                  <c:v>-2.1024500000000002</c:v>
                </c:pt>
                <c:pt idx="42">
                  <c:v>-2.10215</c:v>
                </c:pt>
                <c:pt idx="43">
                  <c:v>-2.1021000000000001</c:v>
                </c:pt>
                <c:pt idx="44">
                  <c:v>-2.0984500000000001</c:v>
                </c:pt>
                <c:pt idx="45">
                  <c:v>-2.0960999999999999</c:v>
                </c:pt>
                <c:pt idx="46">
                  <c:v>-2.0958999999999999</c:v>
                </c:pt>
                <c:pt idx="47">
                  <c:v>-2.09585</c:v>
                </c:pt>
                <c:pt idx="48">
                  <c:v>-2.0956000000000001</c:v>
                </c:pt>
                <c:pt idx="49">
                  <c:v>-2.0844499999999999</c:v>
                </c:pt>
                <c:pt idx="50">
                  <c:v>-2.0813000000000001</c:v>
                </c:pt>
                <c:pt idx="51">
                  <c:v>-2.081</c:v>
                </c:pt>
                <c:pt idx="52">
                  <c:v>-2.0687500000000001</c:v>
                </c:pt>
                <c:pt idx="53">
                  <c:v>-2.0678999999999998</c:v>
                </c:pt>
                <c:pt idx="54">
                  <c:v>-1.9915</c:v>
                </c:pt>
                <c:pt idx="55">
                  <c:v>-1.8424499999999999</c:v>
                </c:pt>
                <c:pt idx="56">
                  <c:v>-1.8424499999999999</c:v>
                </c:pt>
                <c:pt idx="57">
                  <c:v>-1.8424499999999999</c:v>
                </c:pt>
                <c:pt idx="58">
                  <c:v>-1.8424499999999999</c:v>
                </c:pt>
                <c:pt idx="59">
                  <c:v>-1.8424499999999999</c:v>
                </c:pt>
                <c:pt idx="60">
                  <c:v>-1.84215</c:v>
                </c:pt>
                <c:pt idx="61">
                  <c:v>-1.84215</c:v>
                </c:pt>
                <c:pt idx="62">
                  <c:v>-1.84215</c:v>
                </c:pt>
                <c:pt idx="63">
                  <c:v>-1.84215</c:v>
                </c:pt>
                <c:pt idx="64">
                  <c:v>-1.6736500000000001</c:v>
                </c:pt>
                <c:pt idx="65">
                  <c:v>-1.6425000000000001</c:v>
                </c:pt>
                <c:pt idx="66">
                  <c:v>-1.6425000000000001</c:v>
                </c:pt>
                <c:pt idx="67">
                  <c:v>-1.6285000000000001</c:v>
                </c:pt>
                <c:pt idx="68">
                  <c:v>-1.6285000000000001</c:v>
                </c:pt>
                <c:pt idx="69">
                  <c:v>-1.6285000000000001</c:v>
                </c:pt>
                <c:pt idx="70">
                  <c:v>-1.55135</c:v>
                </c:pt>
                <c:pt idx="71">
                  <c:v>-1.55135</c:v>
                </c:pt>
                <c:pt idx="72">
                  <c:v>-1.5502499999999999</c:v>
                </c:pt>
                <c:pt idx="73">
                  <c:v>-1.5502499999999999</c:v>
                </c:pt>
                <c:pt idx="74">
                  <c:v>-1.5502</c:v>
                </c:pt>
                <c:pt idx="75">
                  <c:v>-1.5502</c:v>
                </c:pt>
                <c:pt idx="76">
                  <c:v>-1.5502</c:v>
                </c:pt>
                <c:pt idx="77">
                  <c:v>-1.5490999999999999</c:v>
                </c:pt>
                <c:pt idx="78">
                  <c:v>-1.5490999999999999</c:v>
                </c:pt>
                <c:pt idx="79">
                  <c:v>-1.4941</c:v>
                </c:pt>
                <c:pt idx="80">
                  <c:v>-1.44855</c:v>
                </c:pt>
                <c:pt idx="81">
                  <c:v>-1.44855</c:v>
                </c:pt>
                <c:pt idx="82">
                  <c:v>-1.4484999999999999</c:v>
                </c:pt>
                <c:pt idx="83">
                  <c:v>-1.4484999999999999</c:v>
                </c:pt>
                <c:pt idx="84">
                  <c:v>-1.4479500000000001</c:v>
                </c:pt>
                <c:pt idx="85">
                  <c:v>-1.4479500000000001</c:v>
                </c:pt>
                <c:pt idx="86">
                  <c:v>-1.44655</c:v>
                </c:pt>
                <c:pt idx="87">
                  <c:v>-1.44655</c:v>
                </c:pt>
                <c:pt idx="88">
                  <c:v>-1.44655</c:v>
                </c:pt>
                <c:pt idx="89">
                  <c:v>-1.3433999999999999</c:v>
                </c:pt>
                <c:pt idx="90">
                  <c:v>-1.3431500000000001</c:v>
                </c:pt>
                <c:pt idx="91">
                  <c:v>-1.3431500000000001</c:v>
                </c:pt>
                <c:pt idx="92">
                  <c:v>-1.3431500000000001</c:v>
                </c:pt>
                <c:pt idx="93">
                  <c:v>-1.3431</c:v>
                </c:pt>
                <c:pt idx="94">
                  <c:v>-1.3428500000000001</c:v>
                </c:pt>
                <c:pt idx="95">
                  <c:v>-1.3428500000000001</c:v>
                </c:pt>
                <c:pt idx="96">
                  <c:v>-1.3428500000000001</c:v>
                </c:pt>
                <c:pt idx="97">
                  <c:v>-1.2277</c:v>
                </c:pt>
                <c:pt idx="98">
                  <c:v>-1.0337499999999999</c:v>
                </c:pt>
                <c:pt idx="99">
                  <c:v>-0.79095000000000004</c:v>
                </c:pt>
                <c:pt idx="100">
                  <c:v>-0.71660000000000001</c:v>
                </c:pt>
                <c:pt idx="101">
                  <c:v>-0.71660000000000001</c:v>
                </c:pt>
                <c:pt idx="102">
                  <c:v>-0.69864999999999999</c:v>
                </c:pt>
                <c:pt idx="103">
                  <c:v>-0.58350000000000002</c:v>
                </c:pt>
                <c:pt idx="104">
                  <c:v>-0.58350000000000002</c:v>
                </c:pt>
                <c:pt idx="105">
                  <c:v>-0.41789999999999999</c:v>
                </c:pt>
                <c:pt idx="106">
                  <c:v>-0.27989999999999998</c:v>
                </c:pt>
                <c:pt idx="107">
                  <c:v>-0.27989999999999998</c:v>
                </c:pt>
                <c:pt idx="108">
                  <c:v>-0.10920000000000001</c:v>
                </c:pt>
                <c:pt idx="109">
                  <c:v>-0.10915</c:v>
                </c:pt>
                <c:pt idx="110">
                  <c:v>-0.10555</c:v>
                </c:pt>
                <c:pt idx="111">
                  <c:v>-1.9499999999999999E-3</c:v>
                </c:pt>
                <c:pt idx="112">
                  <c:v>5.0000000000000002E-5</c:v>
                </c:pt>
                <c:pt idx="113">
                  <c:v>2.0799999999999999E-2</c:v>
                </c:pt>
                <c:pt idx="114">
                  <c:v>3.6900000000000002E-2</c:v>
                </c:pt>
                <c:pt idx="115">
                  <c:v>3.6900000000000002E-2</c:v>
                </c:pt>
                <c:pt idx="116">
                  <c:v>3.6900000000000002E-2</c:v>
                </c:pt>
                <c:pt idx="117">
                  <c:v>3.6900000000000002E-2</c:v>
                </c:pt>
                <c:pt idx="118">
                  <c:v>9.3100000000000002E-2</c:v>
                </c:pt>
                <c:pt idx="119">
                  <c:v>0.15285000000000001</c:v>
                </c:pt>
                <c:pt idx="120">
                  <c:v>0.15290000000000001</c:v>
                </c:pt>
                <c:pt idx="121">
                  <c:v>0.15884999999999999</c:v>
                </c:pt>
                <c:pt idx="122">
                  <c:v>0.186</c:v>
                </c:pt>
                <c:pt idx="123">
                  <c:v>0.36880000000000002</c:v>
                </c:pt>
                <c:pt idx="124">
                  <c:v>0.41325000000000001</c:v>
                </c:pt>
                <c:pt idx="125">
                  <c:v>0.4168</c:v>
                </c:pt>
                <c:pt idx="126">
                  <c:v>0.4168</c:v>
                </c:pt>
                <c:pt idx="127">
                  <c:v>0.42795</c:v>
                </c:pt>
                <c:pt idx="128">
                  <c:v>0.42799999999999999</c:v>
                </c:pt>
                <c:pt idx="129">
                  <c:v>0.51405000000000001</c:v>
                </c:pt>
                <c:pt idx="130">
                  <c:v>0.52164999999999995</c:v>
                </c:pt>
                <c:pt idx="131">
                  <c:v>0.52164999999999995</c:v>
                </c:pt>
                <c:pt idx="132">
                  <c:v>0.52164999999999995</c:v>
                </c:pt>
                <c:pt idx="133">
                  <c:v>0.52164999999999995</c:v>
                </c:pt>
                <c:pt idx="134">
                  <c:v>0.52164999999999995</c:v>
                </c:pt>
                <c:pt idx="135">
                  <c:v>0.52164999999999995</c:v>
                </c:pt>
                <c:pt idx="136">
                  <c:v>0.52690000000000003</c:v>
                </c:pt>
                <c:pt idx="137">
                  <c:v>0.61119999999999997</c:v>
                </c:pt>
                <c:pt idx="138">
                  <c:v>0.62995000000000001</c:v>
                </c:pt>
                <c:pt idx="139">
                  <c:v>0.62995000000000001</c:v>
                </c:pt>
                <c:pt idx="140">
                  <c:v>0.63534999999999997</c:v>
                </c:pt>
                <c:pt idx="141">
                  <c:v>0.6371</c:v>
                </c:pt>
                <c:pt idx="142">
                  <c:v>0.68045</c:v>
                </c:pt>
                <c:pt idx="143">
                  <c:v>0.68330000000000002</c:v>
                </c:pt>
                <c:pt idx="144">
                  <c:v>0.71989999999999998</c:v>
                </c:pt>
                <c:pt idx="145">
                  <c:v>0.71989999999999998</c:v>
                </c:pt>
                <c:pt idx="146">
                  <c:v>0.73275000000000001</c:v>
                </c:pt>
                <c:pt idx="147">
                  <c:v>0.81735000000000002</c:v>
                </c:pt>
                <c:pt idx="148">
                  <c:v>0.81735000000000002</c:v>
                </c:pt>
                <c:pt idx="149">
                  <c:v>0.81735000000000002</c:v>
                </c:pt>
                <c:pt idx="150">
                  <c:v>0.81735000000000002</c:v>
                </c:pt>
                <c:pt idx="151">
                  <c:v>0.81740000000000002</c:v>
                </c:pt>
                <c:pt idx="152">
                  <c:v>0.81740000000000002</c:v>
                </c:pt>
                <c:pt idx="153">
                  <c:v>0.82650000000000001</c:v>
                </c:pt>
                <c:pt idx="154">
                  <c:v>0.82899999999999996</c:v>
                </c:pt>
                <c:pt idx="155">
                  <c:v>0.82904999999999995</c:v>
                </c:pt>
                <c:pt idx="156">
                  <c:v>0.83074999999999999</c:v>
                </c:pt>
                <c:pt idx="157">
                  <c:v>0.83079999999999998</c:v>
                </c:pt>
                <c:pt idx="158">
                  <c:v>0.87329999999999997</c:v>
                </c:pt>
                <c:pt idx="159">
                  <c:v>0.88214999999999999</c:v>
                </c:pt>
                <c:pt idx="160">
                  <c:v>0.94015000000000004</c:v>
                </c:pt>
                <c:pt idx="161">
                  <c:v>0.94020000000000004</c:v>
                </c:pt>
                <c:pt idx="162">
                  <c:v>0.94530000000000003</c:v>
                </c:pt>
                <c:pt idx="163">
                  <c:v>1.0145</c:v>
                </c:pt>
                <c:pt idx="164">
                  <c:v>1.0162</c:v>
                </c:pt>
                <c:pt idx="165">
                  <c:v>1.0441</c:v>
                </c:pt>
                <c:pt idx="166">
                  <c:v>1.0441499999999999</c:v>
                </c:pt>
              </c:numCache>
            </c:numRef>
          </c:xVal>
          <c:yVal>
            <c:numRef>
              <c:f>Q_fit!$E$21:$E$191</c:f>
              <c:numCache>
                <c:formatCode>General</c:formatCode>
                <c:ptCount val="171"/>
                <c:pt idx="0">
                  <c:v>4.3793096498120576E-2</c:v>
                </c:pt>
                <c:pt idx="1">
                  <c:v>4.3323263998900075E-2</c:v>
                </c:pt>
                <c:pt idx="2">
                  <c:v>4.3119465000927448E-2</c:v>
                </c:pt>
                <c:pt idx="3">
                  <c:v>4.3580352503340691E-2</c:v>
                </c:pt>
                <c:pt idx="4">
                  <c:v>3.4406339000270236E-2</c:v>
                </c:pt>
                <c:pt idx="5">
                  <c:v>2.9913813006714918E-2</c:v>
                </c:pt>
                <c:pt idx="6">
                  <c:v>2.9810013998940121E-2</c:v>
                </c:pt>
                <c:pt idx="7">
                  <c:v>2.8706215001875535E-2</c:v>
                </c:pt>
                <c:pt idx="8">
                  <c:v>3.0345948500325903E-2</c:v>
                </c:pt>
                <c:pt idx="9">
                  <c:v>2.9739801000687294E-2</c:v>
                </c:pt>
                <c:pt idx="10">
                  <c:v>2.9705834502237849E-2</c:v>
                </c:pt>
                <c:pt idx="11">
                  <c:v>3.7116333500307519E-2</c:v>
                </c:pt>
                <c:pt idx="12">
                  <c:v>1.7384041995683219E-2</c:v>
                </c:pt>
                <c:pt idx="13">
                  <c:v>1.634783050394617E-2</c:v>
                </c:pt>
                <c:pt idx="14">
                  <c:v>2.7754288501455449E-2</c:v>
                </c:pt>
                <c:pt idx="15">
                  <c:v>2.71498160000192E-2</c:v>
                </c:pt>
                <c:pt idx="16">
                  <c:v>2.4934620007115882E-2</c:v>
                </c:pt>
                <c:pt idx="17">
                  <c:v>2.6998529501724988E-2</c:v>
                </c:pt>
                <c:pt idx="18">
                  <c:v>2.7564113996049855E-2</c:v>
                </c:pt>
                <c:pt idx="19">
                  <c:v>2.8986683508264832E-2</c:v>
                </c:pt>
                <c:pt idx="20">
                  <c:v>3.6375062001752667E-2</c:v>
                </c:pt>
                <c:pt idx="21">
                  <c:v>4.1001430501637515E-2</c:v>
                </c:pt>
                <c:pt idx="22">
                  <c:v>4.2593832498823758E-2</c:v>
                </c:pt>
                <c:pt idx="23">
                  <c:v>2.5554909501806833E-2</c:v>
                </c:pt>
                <c:pt idx="24">
                  <c:v>2.3588719996041618E-2</c:v>
                </c:pt>
                <c:pt idx="25">
                  <c:v>2.5281225498474669E-2</c:v>
                </c:pt>
                <c:pt idx="26">
                  <c:v>2.3941336003190372E-2</c:v>
                </c:pt>
                <c:pt idx="27">
                  <c:v>2.1936397002718877E-2</c:v>
                </c:pt>
                <c:pt idx="28">
                  <c:v>2.3632598000403959E-2</c:v>
                </c:pt>
                <c:pt idx="29">
                  <c:v>2.4403086506936233E-2</c:v>
                </c:pt>
                <c:pt idx="30">
                  <c:v>2.5033254001755267E-2</c:v>
                </c:pt>
                <c:pt idx="31">
                  <c:v>2.4733254002057947E-2</c:v>
                </c:pt>
                <c:pt idx="32">
                  <c:v>2.5929455005098134E-2</c:v>
                </c:pt>
                <c:pt idx="33">
                  <c:v>2.5925656002073083E-2</c:v>
                </c:pt>
                <c:pt idx="34">
                  <c:v>2.515202450013021E-2</c:v>
                </c:pt>
                <c:pt idx="35">
                  <c:v>2.4078392998490017E-2</c:v>
                </c:pt>
                <c:pt idx="36">
                  <c:v>2.4944426499132533E-2</c:v>
                </c:pt>
                <c:pt idx="37">
                  <c:v>2.30722455016803E-2</c:v>
                </c:pt>
                <c:pt idx="38">
                  <c:v>2.4617384500743356E-2</c:v>
                </c:pt>
                <c:pt idx="39">
                  <c:v>5.7898760060197674E-3</c:v>
                </c:pt>
                <c:pt idx="40">
                  <c:v>2.6960485505696852E-2</c:v>
                </c:pt>
                <c:pt idx="41">
                  <c:v>1.7257358500501141E-2</c:v>
                </c:pt>
                <c:pt idx="42">
                  <c:v>1.6753559495555237E-2</c:v>
                </c:pt>
                <c:pt idx="43">
                  <c:v>1.5419593000842724E-2</c:v>
                </c:pt>
                <c:pt idx="44">
                  <c:v>1.6840038500959054E-2</c:v>
                </c:pt>
                <c:pt idx="45">
                  <c:v>1.7343612998956814E-2</c:v>
                </c:pt>
                <c:pt idx="46">
                  <c:v>1.7307747002632823E-2</c:v>
                </c:pt>
                <c:pt idx="47">
                  <c:v>1.6773780502262525E-2</c:v>
                </c:pt>
                <c:pt idx="48">
                  <c:v>2.1003948000725359E-2</c:v>
                </c:pt>
                <c:pt idx="49">
                  <c:v>1.7929418507264927E-2</c:v>
                </c:pt>
                <c:pt idx="50">
                  <c:v>1.7289529001573101E-2</c:v>
                </c:pt>
                <c:pt idx="51">
                  <c:v>1.718573000835022E-2</c:v>
                </c:pt>
                <c:pt idx="52">
                  <c:v>1.6863937496964354E-2</c:v>
                </c:pt>
                <c:pt idx="53">
                  <c:v>1.8286507001903374E-2</c:v>
                </c:pt>
                <c:pt idx="54">
                  <c:v>1.5985695004928857E-2</c:v>
                </c:pt>
                <c:pt idx="55">
                  <c:v>-9.0684414972201921E-3</c:v>
                </c:pt>
                <c:pt idx="56">
                  <c:v>-6.8441499024629593E-5</c:v>
                </c:pt>
                <c:pt idx="57">
                  <c:v>-4.0684414998395368E-3</c:v>
                </c:pt>
                <c:pt idx="58">
                  <c:v>1.931558501382824E-3</c:v>
                </c:pt>
                <c:pt idx="59">
                  <c:v>4.9315584983560257E-3</c:v>
                </c:pt>
                <c:pt idx="60">
                  <c:v>-7.2722405020613223E-3</c:v>
                </c:pt>
                <c:pt idx="61">
                  <c:v>1.7277594961342402E-3</c:v>
                </c:pt>
                <c:pt idx="62">
                  <c:v>2.7277594999759458E-3</c:v>
                </c:pt>
                <c:pt idx="63">
                  <c:v>3.7277594965416938E-3</c:v>
                </c:pt>
                <c:pt idx="64">
                  <c:v>1.2606544987647794E-3</c:v>
                </c:pt>
                <c:pt idx="65">
                  <c:v>1.5099525000550784E-2</c:v>
                </c:pt>
                <c:pt idx="66">
                  <c:v>2.60995249991538E-2</c:v>
                </c:pt>
                <c:pt idx="67">
                  <c:v>4.5889050015830435E-3</c:v>
                </c:pt>
                <c:pt idx="68">
                  <c:v>5.2889050057274289E-3</c:v>
                </c:pt>
                <c:pt idx="69">
                  <c:v>5.9889050025958568E-3</c:v>
                </c:pt>
                <c:pt idx="70">
                  <c:v>9.4785955079714768E-3</c:v>
                </c:pt>
                <c:pt idx="71">
                  <c:v>9.7785955003928393E-3</c:v>
                </c:pt>
                <c:pt idx="72">
                  <c:v>8.5313324962044135E-3</c:v>
                </c:pt>
                <c:pt idx="73">
                  <c:v>9.7313322985428385E-3</c:v>
                </c:pt>
                <c:pt idx="74">
                  <c:v>8.9973658759845421E-3</c:v>
                </c:pt>
                <c:pt idx="75">
                  <c:v>9.9973660035175271E-3</c:v>
                </c:pt>
                <c:pt idx="76">
                  <c:v>1.0097366008267272E-2</c:v>
                </c:pt>
                <c:pt idx="77">
                  <c:v>6.5501030039740726E-3</c:v>
                </c:pt>
                <c:pt idx="78">
                  <c:v>6.5501030621817335E-3</c:v>
                </c:pt>
                <c:pt idx="79">
                  <c:v>6.0869529988849536E-3</c:v>
                </c:pt>
                <c:pt idx="80">
                  <c:v>7.7434715058188885E-3</c:v>
                </c:pt>
                <c:pt idx="81">
                  <c:v>7.8434714232571423E-3</c:v>
                </c:pt>
                <c:pt idx="82">
                  <c:v>7.2095048235496506E-3</c:v>
                </c:pt>
                <c:pt idx="83">
                  <c:v>7.3095050029223785E-3</c:v>
                </c:pt>
                <c:pt idx="84">
                  <c:v>8.3358735064393841E-3</c:v>
                </c:pt>
                <c:pt idx="85">
                  <c:v>8.5358735086629167E-3</c:v>
                </c:pt>
                <c:pt idx="86">
                  <c:v>7.7848115033702925E-3</c:v>
                </c:pt>
                <c:pt idx="87">
                  <c:v>7.7848115397500806E-3</c:v>
                </c:pt>
                <c:pt idx="88">
                  <c:v>7.88481150084408E-3</c:v>
                </c:pt>
                <c:pt idx="89">
                  <c:v>5.3119219955988228E-3</c:v>
                </c:pt>
                <c:pt idx="90">
                  <c:v>5.6420895052724518E-3</c:v>
                </c:pt>
                <c:pt idx="91">
                  <c:v>6.0420895024435595E-3</c:v>
                </c:pt>
                <c:pt idx="92">
                  <c:v>6.4420895068906248E-3</c:v>
                </c:pt>
                <c:pt idx="93">
                  <c:v>5.4081230045994744E-3</c:v>
                </c:pt>
                <c:pt idx="94">
                  <c:v>6.338290506391786E-3</c:v>
                </c:pt>
                <c:pt idx="95">
                  <c:v>6.5382905013393611E-3</c:v>
                </c:pt>
                <c:pt idx="96">
                  <c:v>6.8382905010366812E-3</c:v>
                </c:pt>
                <c:pt idx="97">
                  <c:v>9.3134409980848432E-3</c:v>
                </c:pt>
                <c:pt idx="98">
                  <c:v>-6.4426124954479747E-3</c:v>
                </c:pt>
                <c:pt idx="99">
                  <c:v>1.1160635040141642E-3</c:v>
                </c:pt>
                <c:pt idx="100">
                  <c:v>-3.8921220038901083E-3</c:v>
                </c:pt>
                <c:pt idx="101">
                  <c:v>-3.8921220038901083E-3</c:v>
                </c:pt>
                <c:pt idx="102">
                  <c:v>3.1390450749313459E-4</c:v>
                </c:pt>
                <c:pt idx="103">
                  <c:v>-3.1094499718165025E-4</c:v>
                </c:pt>
                <c:pt idx="104">
                  <c:v>-3.1094499718165025E-4</c:v>
                </c:pt>
                <c:pt idx="105">
                  <c:v>4.9200699868379161E-4</c:v>
                </c:pt>
                <c:pt idx="106">
                  <c:v>5.4444670022348873E-3</c:v>
                </c:pt>
                <c:pt idx="107">
                  <c:v>5.64446700445842E-3</c:v>
                </c:pt>
                <c:pt idx="108">
                  <c:v>1.4828359999228269E-3</c:v>
                </c:pt>
                <c:pt idx="109">
                  <c:v>1.8488694986444898E-3</c:v>
                </c:pt>
                <c:pt idx="110">
                  <c:v>3.003281497512944E-3</c:v>
                </c:pt>
                <c:pt idx="111">
                  <c:v>2.0246935018803924E-3</c:v>
                </c:pt>
                <c:pt idx="112">
                  <c:v>-3.3966498449444771E-5</c:v>
                </c:pt>
                <c:pt idx="113">
                  <c:v>-1.3006399967707694E-4</c:v>
                </c:pt>
                <c:pt idx="114">
                  <c:v>-8.7672769950586371E-3</c:v>
                </c:pt>
                <c:pt idx="115">
                  <c:v>2.232723003544379E-3</c:v>
                </c:pt>
                <c:pt idx="116">
                  <c:v>-7.7772769946022891E-3</c:v>
                </c:pt>
                <c:pt idx="117">
                  <c:v>2.6427230041008443E-3</c:v>
                </c:pt>
                <c:pt idx="118">
                  <c:v>8.5437700181500986E-4</c:v>
                </c:pt>
                <c:pt idx="119">
                  <c:v>3.2644094972056337E-3</c:v>
                </c:pt>
                <c:pt idx="120">
                  <c:v>-7.5695569976232946E-3</c:v>
                </c:pt>
                <c:pt idx="121">
                  <c:v>-1.9281570494058542E-2</c:v>
                </c:pt>
                <c:pt idx="122">
                  <c:v>-1.8553800036897883E-3</c:v>
                </c:pt>
                <c:pt idx="123">
                  <c:v>-9.2369039921322837E-3</c:v>
                </c:pt>
                <c:pt idx="124">
                  <c:v>-2.6331224944442511E-3</c:v>
                </c:pt>
                <c:pt idx="125">
                  <c:v>-2.7447440006653778E-3</c:v>
                </c:pt>
                <c:pt idx="126">
                  <c:v>-2.7247440011706203E-3</c:v>
                </c:pt>
                <c:pt idx="127">
                  <c:v>-2.3192734952317551E-3</c:v>
                </c:pt>
                <c:pt idx="128">
                  <c:v>-1.5323999832617119E-4</c:v>
                </c:pt>
                <c:pt idx="129">
                  <c:v>-2.8095864981878549E-3</c:v>
                </c:pt>
                <c:pt idx="130">
                  <c:v>-3.7724944995716214E-3</c:v>
                </c:pt>
                <c:pt idx="131">
                  <c:v>-3.7324945005821064E-3</c:v>
                </c:pt>
                <c:pt idx="132">
                  <c:v>-3.4724944998743013E-3</c:v>
                </c:pt>
                <c:pt idx="133">
                  <c:v>-3.4724944998743013E-3</c:v>
                </c:pt>
                <c:pt idx="134">
                  <c:v>-3.4324945008847862E-3</c:v>
                </c:pt>
                <c:pt idx="135">
                  <c:v>-3.4324945008847862E-3</c:v>
                </c:pt>
                <c:pt idx="136">
                  <c:v>-4.3389769998611882E-3</c:v>
                </c:pt>
                <c:pt idx="137">
                  <c:v>-5.3064959938637912E-3</c:v>
                </c:pt>
                <c:pt idx="138">
                  <c:v>-4.7439334957743995E-3</c:v>
                </c:pt>
                <c:pt idx="139">
                  <c:v>-4.7139334928942844E-3</c:v>
                </c:pt>
                <c:pt idx="140">
                  <c:v>-1.332315499894321E-3</c:v>
                </c:pt>
                <c:pt idx="141">
                  <c:v>-4.3411430015112273E-3</c:v>
                </c:pt>
                <c:pt idx="142">
                  <c:v>-3.6500985006568953E-3</c:v>
                </c:pt>
                <c:pt idx="143">
                  <c:v>-5.0861889976658858E-3</c:v>
                </c:pt>
                <c:pt idx="144">
                  <c:v>-5.149666998477187E-3</c:v>
                </c:pt>
                <c:pt idx="145">
                  <c:v>-5.0996669961023144E-3</c:v>
                </c:pt>
                <c:pt idx="146">
                  <c:v>-1.1090574989793822E-3</c:v>
                </c:pt>
                <c:pt idx="147">
                  <c:v>-3.880375501466915E-3</c:v>
                </c:pt>
                <c:pt idx="148">
                  <c:v>-3.7803754967171699E-3</c:v>
                </c:pt>
                <c:pt idx="149">
                  <c:v>-3.6803754992433824E-3</c:v>
                </c:pt>
                <c:pt idx="150">
                  <c:v>-3.4803754970198497E-3</c:v>
                </c:pt>
                <c:pt idx="151">
                  <c:v>-4.8143419990083203E-3</c:v>
                </c:pt>
                <c:pt idx="152">
                  <c:v>-4.2143419996136799E-3</c:v>
                </c:pt>
                <c:pt idx="153">
                  <c:v>-6.3962450003600679E-3</c:v>
                </c:pt>
                <c:pt idx="154">
                  <c:v>-7.6645699955406599E-3</c:v>
                </c:pt>
                <c:pt idx="155">
                  <c:v>-3.0985365010565147E-3</c:v>
                </c:pt>
                <c:pt idx="156">
                  <c:v>-3.0533975004800595E-3</c:v>
                </c:pt>
                <c:pt idx="157">
                  <c:v>-3.7873640030738898E-3</c:v>
                </c:pt>
                <c:pt idx="158">
                  <c:v>1.5041111000755336E-2</c:v>
                </c:pt>
                <c:pt idx="159">
                  <c:v>4.9290405004285276E-3</c:v>
                </c:pt>
                <c:pt idx="160">
                  <c:v>-5.2099501772318035E-5</c:v>
                </c:pt>
                <c:pt idx="161">
                  <c:v>-3.4560659987619147E-3</c:v>
                </c:pt>
                <c:pt idx="162">
                  <c:v>-8.7706490012351424E-3</c:v>
                </c:pt>
                <c:pt idx="163">
                  <c:v>-2.8102849973947741E-3</c:v>
                </c:pt>
                <c:pt idx="164">
                  <c:v>-1.304514599905815E-2</c:v>
                </c:pt>
                <c:pt idx="165">
                  <c:v>4.2815470005734824E-3</c:v>
                </c:pt>
                <c:pt idx="166">
                  <c:v>-4.5424194977385923E-3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3B-4ACB-B189-1EFBDFADE71C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Q_fit!$U$2:$U$32</c:f>
              <c:numCache>
                <c:formatCode>General</c:formatCode>
                <c:ptCount val="3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-4.4000000000000004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-2.2000000000000002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-0.4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</c:v>
                </c:pt>
                <c:pt idx="29">
                  <c:v>0.80000000000001004</c:v>
                </c:pt>
                <c:pt idx="30">
                  <c:v>1.00000000000001</c:v>
                </c:pt>
              </c:numCache>
            </c:numRef>
          </c:xVal>
          <c:yVal>
            <c:numRef>
              <c:f>Q_fit!$V$2:$V$32</c:f>
              <c:numCache>
                <c:formatCode>General</c:formatCode>
                <c:ptCount val="31"/>
                <c:pt idx="0">
                  <c:v>7.0593954605279008E-2</c:v>
                </c:pt>
                <c:pt idx="1">
                  <c:v>6.5652568692210145E-2</c:v>
                </c:pt>
                <c:pt idx="2">
                  <c:v>6.0881373322707759E-2</c:v>
                </c:pt>
                <c:pt idx="3">
                  <c:v>5.6280368496771885E-2</c:v>
                </c:pt>
                <c:pt idx="4">
                  <c:v>5.1849554214402481E-2</c:v>
                </c:pt>
                <c:pt idx="5">
                  <c:v>4.7588930475599575E-2</c:v>
                </c:pt>
                <c:pt idx="6">
                  <c:v>4.349849728036316E-2</c:v>
                </c:pt>
                <c:pt idx="7">
                  <c:v>3.9578254628693244E-2</c:v>
                </c:pt>
                <c:pt idx="8">
                  <c:v>3.5828202520589811E-2</c:v>
                </c:pt>
                <c:pt idx="9">
                  <c:v>3.2248340956052883E-2</c:v>
                </c:pt>
                <c:pt idx="10">
                  <c:v>2.8838669935082432E-2</c:v>
                </c:pt>
                <c:pt idx="11">
                  <c:v>2.5599189457678473E-2</c:v>
                </c:pt>
                <c:pt idx="12">
                  <c:v>2.2529899523841018E-2</c:v>
                </c:pt>
                <c:pt idx="13">
                  <c:v>1.9630800133570041E-2</c:v>
                </c:pt>
                <c:pt idx="14">
                  <c:v>1.6901891286865565E-2</c:v>
                </c:pt>
                <c:pt idx="15">
                  <c:v>1.4343172983727576E-2</c:v>
                </c:pt>
                <c:pt idx="16">
                  <c:v>1.1954645224156079E-2</c:v>
                </c:pt>
                <c:pt idx="17">
                  <c:v>9.7363080081510761E-3</c:v>
                </c:pt>
                <c:pt idx="18">
                  <c:v>7.6881613357125608E-3</c:v>
                </c:pt>
                <c:pt idx="19">
                  <c:v>5.8102052068405401E-3</c:v>
                </c:pt>
                <c:pt idx="20">
                  <c:v>4.1024396215350104E-3</c:v>
                </c:pt>
                <c:pt idx="21">
                  <c:v>2.5648645797959734E-3</c:v>
                </c:pt>
                <c:pt idx="22">
                  <c:v>1.1974800816234264E-3</c:v>
                </c:pt>
                <c:pt idx="23">
                  <c:v>2.861270173719929E-7</c:v>
                </c:pt>
                <c:pt idx="24">
                  <c:v>-1.0267172840221913E-3</c:v>
                </c:pt>
                <c:pt idx="25">
                  <c:v>-1.8835301514952627E-3</c:v>
                </c:pt>
                <c:pt idx="26">
                  <c:v>-2.5701524754018425E-3</c:v>
                </c:pt>
                <c:pt idx="27">
                  <c:v>-3.0865842557419305E-3</c:v>
                </c:pt>
                <c:pt idx="28">
                  <c:v>-3.4328254925155271E-3</c:v>
                </c:pt>
                <c:pt idx="29">
                  <c:v>-3.6088761857226365E-3</c:v>
                </c:pt>
                <c:pt idx="30">
                  <c:v>-3.6147363353632414E-3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3B-4ACB-B189-1EFBDFADE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844648"/>
        <c:axId val="1"/>
      </c:scatterChart>
      <c:valAx>
        <c:axId val="603844648"/>
        <c:scaling>
          <c:orientation val="minMax"/>
          <c:max val="2"/>
          <c:min val="-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527315914489306"/>
              <c:y val="0.93647058823529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5.9382422802850355E-3"/>
              <c:y val="0.468235294117647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8446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353919239904987"/>
          <c:y val="0.93647058823529417"/>
          <c:w val="0.44774346793349168"/>
          <c:h val="0.98823529411764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/ HIP 74368 - O-C Diagr.</a:t>
            </a:r>
          </a:p>
        </c:rich>
      </c:tx>
      <c:layout>
        <c:manualLayout>
          <c:xMode val="edge"/>
          <c:yMode val="edge"/>
          <c:x val="0.36363636363636365"/>
          <c:y val="1.4534883720930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98619102416572E-2"/>
          <c:y val="8.7209302325581398E-2"/>
          <c:w val="0.90103567318757194"/>
          <c:h val="0.74127906976744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(2)'!$H$21:$H$955</c:f>
              <c:numCache>
                <c:formatCode>0.0000</c:formatCode>
                <c:ptCount val="935"/>
                <c:pt idx="27">
                  <c:v>2.5033254001755267E-2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F5-4E36-AD7E-360C823A793E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(2)'!$D$21:$D$955</c:f>
                <c:numCache>
                  <c:formatCode>General</c:formatCode>
                  <c:ptCount val="935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plus>
            <c:minus>
              <c:numRef>
                <c:f>'A (2)'!$D$21:$D$955</c:f>
                <c:numCache>
                  <c:formatCode>General</c:formatCode>
                  <c:ptCount val="935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(2)'!$I$21:$I$955</c:f>
              <c:numCache>
                <c:formatCode>0.0000</c:formatCode>
                <c:ptCount val="935"/>
                <c:pt idx="79">
                  <c:v>9.3134409980848432E-3</c:v>
                </c:pt>
                <c:pt idx="80">
                  <c:v>-6.4426124954479747E-3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F5-4E36-AD7E-360C823A793E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(2)'!$D$21:$D$24</c:f>
                <c:numCache>
                  <c:formatCode>General</c:formatCode>
                  <c:ptCount val="4"/>
                </c:numCache>
              </c:numRef>
            </c:plus>
            <c:minus>
              <c:numRef>
                <c:f>'A (2)'!$D$21:$D$24</c:f>
                <c:numCache>
                  <c:formatCode>General</c:formatCode>
                  <c:ptCount val="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(2)'!$J$21:$J$955</c:f>
              <c:numCache>
                <c:formatCode>0.0000</c:formatCode>
                <c:ptCount val="935"/>
                <c:pt idx="25">
                  <c:v>2.4403086506936233E-2</c:v>
                </c:pt>
                <c:pt idx="26">
                  <c:v>2.4733254002057947E-2</c:v>
                </c:pt>
                <c:pt idx="28">
                  <c:v>2.5929455005098134E-2</c:v>
                </c:pt>
                <c:pt idx="29">
                  <c:v>2.5925656002073083E-2</c:v>
                </c:pt>
                <c:pt idx="30">
                  <c:v>2.515202450013021E-2</c:v>
                </c:pt>
                <c:pt idx="31">
                  <c:v>2.4078392998490017E-2</c:v>
                </c:pt>
                <c:pt idx="32">
                  <c:v>2.4944426499132533E-2</c:v>
                </c:pt>
                <c:pt idx="33">
                  <c:v>2.30722455016803E-2</c:v>
                </c:pt>
                <c:pt idx="34">
                  <c:v>2.4617384500743356E-2</c:v>
                </c:pt>
                <c:pt idx="36">
                  <c:v>2.6960485505696852E-2</c:v>
                </c:pt>
                <c:pt idx="37">
                  <c:v>1.7257358500501141E-2</c:v>
                </c:pt>
                <c:pt idx="38">
                  <c:v>1.6753559495555237E-2</c:v>
                </c:pt>
                <c:pt idx="39">
                  <c:v>1.5419593000842724E-2</c:v>
                </c:pt>
                <c:pt idx="40">
                  <c:v>1.6840038500959054E-2</c:v>
                </c:pt>
                <c:pt idx="41">
                  <c:v>1.7343612998956814E-2</c:v>
                </c:pt>
                <c:pt idx="42">
                  <c:v>1.7307747002632823E-2</c:v>
                </c:pt>
                <c:pt idx="43">
                  <c:v>1.6773780502262525E-2</c:v>
                </c:pt>
                <c:pt idx="44">
                  <c:v>2.1003948000725359E-2</c:v>
                </c:pt>
                <c:pt idx="45">
                  <c:v>1.7929418507264927E-2</c:v>
                </c:pt>
                <c:pt idx="46">
                  <c:v>1.7289529001573101E-2</c:v>
                </c:pt>
                <c:pt idx="47">
                  <c:v>1.718573000835022E-2</c:v>
                </c:pt>
                <c:pt idx="48">
                  <c:v>1.6863937496964354E-2</c:v>
                </c:pt>
                <c:pt idx="49">
                  <c:v>1.8286507001903374E-2</c:v>
                </c:pt>
                <c:pt idx="62">
                  <c:v>4.5889050015830435E-3</c:v>
                </c:pt>
                <c:pt idx="63">
                  <c:v>5.9889050025958568E-3</c:v>
                </c:pt>
                <c:pt idx="64">
                  <c:v>9.4785955079714768E-3</c:v>
                </c:pt>
                <c:pt idx="65">
                  <c:v>9.7313322985428385E-3</c:v>
                </c:pt>
                <c:pt idx="66">
                  <c:v>8.9973658759845421E-3</c:v>
                </c:pt>
                <c:pt idx="67">
                  <c:v>6.5501030621817335E-3</c:v>
                </c:pt>
                <c:pt idx="69">
                  <c:v>7.8434714232571423E-3</c:v>
                </c:pt>
                <c:pt idx="70">
                  <c:v>7.2095048235496506E-3</c:v>
                </c:pt>
                <c:pt idx="71">
                  <c:v>8.5358735086629167E-3</c:v>
                </c:pt>
                <c:pt idx="72">
                  <c:v>7.7848115397500806E-3</c:v>
                </c:pt>
                <c:pt idx="73">
                  <c:v>5.3119219955988228E-3</c:v>
                </c:pt>
                <c:pt idx="74">
                  <c:v>5.6420895052724518E-3</c:v>
                </c:pt>
                <c:pt idx="75">
                  <c:v>6.4420895068906248E-3</c:v>
                </c:pt>
                <c:pt idx="76">
                  <c:v>5.4081230045994744E-3</c:v>
                </c:pt>
                <c:pt idx="77">
                  <c:v>6.338290506391786E-3</c:v>
                </c:pt>
                <c:pt idx="78">
                  <c:v>6.8382905010366812E-3</c:v>
                </c:pt>
                <c:pt idx="86">
                  <c:v>1.1160635040141642E-3</c:v>
                </c:pt>
                <c:pt idx="87">
                  <c:v>3.1390450749313459E-4</c:v>
                </c:pt>
                <c:pt idx="110">
                  <c:v>-2.3192734952317551E-3</c:v>
                </c:pt>
                <c:pt idx="111">
                  <c:v>-1.5323999832617119E-4</c:v>
                </c:pt>
                <c:pt idx="112">
                  <c:v>-2.8095864981878549E-3</c:v>
                </c:pt>
                <c:pt idx="119">
                  <c:v>-1.332315499894321E-3</c:v>
                </c:pt>
                <c:pt idx="120">
                  <c:v>-4.3411430015112273E-3</c:v>
                </c:pt>
                <c:pt idx="122">
                  <c:v>-1.1090574989793822E-3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F5-4E36-AD7E-360C823A793E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(2)'!$K$21:$K$955</c:f>
              <c:numCache>
                <c:formatCode>0.0000</c:formatCode>
                <c:ptCount val="935"/>
                <c:pt idx="35">
                  <c:v>5.7898760060197674E-3</c:v>
                </c:pt>
                <c:pt idx="50">
                  <c:v>-9.0684414972201921E-3</c:v>
                </c:pt>
                <c:pt idx="51">
                  <c:v>-4.0684414998395368E-3</c:v>
                </c:pt>
                <c:pt idx="52">
                  <c:v>-6.8441499024629593E-5</c:v>
                </c:pt>
                <c:pt idx="53">
                  <c:v>1.931558501382824E-3</c:v>
                </c:pt>
                <c:pt idx="54">
                  <c:v>4.9315584983560257E-3</c:v>
                </c:pt>
                <c:pt idx="55">
                  <c:v>-7.2722405020613223E-3</c:v>
                </c:pt>
                <c:pt idx="56">
                  <c:v>1.7277594961342402E-3</c:v>
                </c:pt>
                <c:pt idx="57">
                  <c:v>2.7277594999759458E-3</c:v>
                </c:pt>
                <c:pt idx="58">
                  <c:v>3.7277594965416938E-3</c:v>
                </c:pt>
                <c:pt idx="59">
                  <c:v>1.2606544987647794E-3</c:v>
                </c:pt>
                <c:pt idx="60">
                  <c:v>1.5099525000550784E-2</c:v>
                </c:pt>
                <c:pt idx="61">
                  <c:v>2.60995249991538E-2</c:v>
                </c:pt>
                <c:pt idx="88">
                  <c:v>9.9211730048409663E-3</c:v>
                </c:pt>
                <c:pt idx="91">
                  <c:v>1.4828359999228269E-3</c:v>
                </c:pt>
                <c:pt idx="92">
                  <c:v>1.8488694986444898E-3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F5-4E36-AD7E-360C823A793E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Dvorak/Krajci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(2)'!$L$21:$L$955</c:f>
              <c:numCache>
                <c:formatCode>0.0000</c:formatCode>
                <c:ptCount val="935"/>
                <c:pt idx="93">
                  <c:v>3.003281497512944E-3</c:v>
                </c:pt>
                <c:pt idx="94">
                  <c:v>2.0246935018803924E-3</c:v>
                </c:pt>
                <c:pt idx="95">
                  <c:v>-3.3966498449444771E-5</c:v>
                </c:pt>
                <c:pt idx="101">
                  <c:v>3.2644094972056337E-3</c:v>
                </c:pt>
                <c:pt idx="102">
                  <c:v>-7.5695569976232946E-3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F5-4E36-AD7E-360C823A793E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Hipparcos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(2)'!$M$21:$M$955</c:f>
              <c:numCache>
                <c:formatCode>0.0000</c:formatCode>
                <c:ptCount val="935"/>
                <c:pt idx="68">
                  <c:v>6.0869529988849536E-3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F5-4E36-AD7E-360C823A793E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(2)'!$D$21:$D$957</c:f>
                <c:numCache>
                  <c:formatCode>General</c:formatCode>
                  <c:ptCount val="937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plus>
            <c:minus>
              <c:numRef>
                <c:f>'A (2)'!$D$21:$D$957</c:f>
                <c:numCache>
                  <c:formatCode>General</c:formatCode>
                  <c:ptCount val="937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(2)'!$N$21:$N$955</c:f>
              <c:numCache>
                <c:formatCode>0.0000</c:formatCode>
                <c:ptCount val="935"/>
                <c:pt idx="108">
                  <c:v>-2.6331224944442511E-3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F5-4E36-AD7E-360C823A793E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(2)'!$O$21:$O$955</c:f>
              <c:numCache>
                <c:formatCode>0.0000</c:formatCode>
                <c:ptCount val="935"/>
                <c:pt idx="0">
                  <c:v>3.4406339000270236E-2</c:v>
                </c:pt>
                <c:pt idx="1">
                  <c:v>2.9913813006714918E-2</c:v>
                </c:pt>
                <c:pt idx="2">
                  <c:v>2.9810013998940121E-2</c:v>
                </c:pt>
                <c:pt idx="3">
                  <c:v>2.8706215001875535E-2</c:v>
                </c:pt>
                <c:pt idx="4">
                  <c:v>3.0345948500325903E-2</c:v>
                </c:pt>
                <c:pt idx="5">
                  <c:v>2.9739801000687294E-2</c:v>
                </c:pt>
                <c:pt idx="6">
                  <c:v>2.9705834502237849E-2</c:v>
                </c:pt>
                <c:pt idx="7">
                  <c:v>3.7116333500307519E-2</c:v>
                </c:pt>
                <c:pt idx="8">
                  <c:v>1.7384041995683219E-2</c:v>
                </c:pt>
                <c:pt idx="9">
                  <c:v>1.634783050394617E-2</c:v>
                </c:pt>
                <c:pt idx="10">
                  <c:v>2.7754288501455449E-2</c:v>
                </c:pt>
                <c:pt idx="11">
                  <c:v>2.71498160000192E-2</c:v>
                </c:pt>
                <c:pt idx="12">
                  <c:v>2.4934620007115882E-2</c:v>
                </c:pt>
                <c:pt idx="13">
                  <c:v>2.6998529501724988E-2</c:v>
                </c:pt>
                <c:pt idx="14">
                  <c:v>2.7564113996049855E-2</c:v>
                </c:pt>
                <c:pt idx="15">
                  <c:v>2.8986683508264832E-2</c:v>
                </c:pt>
                <c:pt idx="16">
                  <c:v>3.6375062001752667E-2</c:v>
                </c:pt>
                <c:pt idx="17">
                  <c:v>4.1001430501637515E-2</c:v>
                </c:pt>
                <c:pt idx="18">
                  <c:v>4.2593832498823758E-2</c:v>
                </c:pt>
                <c:pt idx="19">
                  <c:v>2.5554909501806833E-2</c:v>
                </c:pt>
                <c:pt idx="20">
                  <c:v>2.3588719996041618E-2</c:v>
                </c:pt>
                <c:pt idx="21">
                  <c:v>2.5281225498474669E-2</c:v>
                </c:pt>
                <c:pt idx="22">
                  <c:v>2.3941336003190372E-2</c:v>
                </c:pt>
                <c:pt idx="23">
                  <c:v>2.1936397002718877E-2</c:v>
                </c:pt>
                <c:pt idx="24">
                  <c:v>2.3632598000403959E-2</c:v>
                </c:pt>
                <c:pt idx="89">
                  <c:v>4.9200699868379161E-4</c:v>
                </c:pt>
                <c:pt idx="90">
                  <c:v>5.64446700445842E-3</c:v>
                </c:pt>
                <c:pt idx="96">
                  <c:v>-7.7772769946022891E-3</c:v>
                </c:pt>
                <c:pt idx="97">
                  <c:v>2.6427230041008443E-3</c:v>
                </c:pt>
                <c:pt idx="98">
                  <c:v>-2.5288438002462499E-2</c:v>
                </c:pt>
                <c:pt idx="104">
                  <c:v>-1.9281570494058542E-2</c:v>
                </c:pt>
                <c:pt idx="105">
                  <c:v>-1.8553800036897883E-3</c:v>
                </c:pt>
                <c:pt idx="107">
                  <c:v>-9.2369039921322837E-3</c:v>
                </c:pt>
                <c:pt idx="109">
                  <c:v>-2.7247440011706203E-3</c:v>
                </c:pt>
                <c:pt idx="113">
                  <c:v>-3.7324945005821064E-3</c:v>
                </c:pt>
                <c:pt idx="114">
                  <c:v>-3.4324945008847862E-3</c:v>
                </c:pt>
                <c:pt idx="115">
                  <c:v>-3.4324945008847862E-3</c:v>
                </c:pt>
                <c:pt idx="116">
                  <c:v>-4.3389769998611882E-3</c:v>
                </c:pt>
                <c:pt idx="117">
                  <c:v>-5.3064959938637912E-3</c:v>
                </c:pt>
                <c:pt idx="118">
                  <c:v>-4.7139334928942844E-3</c:v>
                </c:pt>
                <c:pt idx="121">
                  <c:v>-5.0996669961023144E-3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F5-4E36-AD7E-360C823A793E}"/>
            </c:ext>
          </c:extLst>
        </c:ser>
        <c:ser>
          <c:idx val="8"/>
          <c:order val="8"/>
          <c:tx>
            <c:strRef>
              <c:f>'A (2)'!$P$20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(2)'!$P$21:$P$955</c:f>
              <c:numCache>
                <c:formatCode>0.0000</c:formatCode>
                <c:ptCount val="935"/>
                <c:pt idx="86">
                  <c:v>1.3632604264622941E-2</c:v>
                </c:pt>
                <c:pt idx="87">
                  <c:v>1.2470851776139307E-2</c:v>
                </c:pt>
                <c:pt idx="88">
                  <c:v>9.0655198610878757E-3</c:v>
                </c:pt>
                <c:pt idx="89">
                  <c:v>8.9371355124147119E-3</c:v>
                </c:pt>
                <c:pt idx="90">
                  <c:v>7.2001707950719012E-3</c:v>
                </c:pt>
                <c:pt idx="91">
                  <c:v>5.0516209599239456E-3</c:v>
                </c:pt>
                <c:pt idx="92">
                  <c:v>5.0509916248814308E-3</c:v>
                </c:pt>
                <c:pt idx="93">
                  <c:v>5.0056795018203135E-3</c:v>
                </c:pt>
                <c:pt idx="94">
                  <c:v>3.7016972937281745E-3</c:v>
                </c:pt>
                <c:pt idx="95">
                  <c:v>3.6765238920275539E-3</c:v>
                </c:pt>
                <c:pt idx="96">
                  <c:v>3.2127039656936222E-3</c:v>
                </c:pt>
                <c:pt idx="97">
                  <c:v>3.2127039656936222E-3</c:v>
                </c:pt>
                <c:pt idx="98">
                  <c:v>1.8067694807139705E-3</c:v>
                </c:pt>
                <c:pt idx="99">
                  <c:v>1.7992174602037845E-3</c:v>
                </c:pt>
                <c:pt idx="100">
                  <c:v>1.7601986875678227E-3</c:v>
                </c:pt>
                <c:pt idx="101">
                  <c:v>1.7532760021001521E-3</c:v>
                </c:pt>
                <c:pt idx="102">
                  <c:v>1.7526466670576366E-3</c:v>
                </c:pt>
                <c:pt idx="103">
                  <c:v>1.6809024722108682E-3</c:v>
                </c:pt>
                <c:pt idx="104">
                  <c:v>1.6777557969982907E-3</c:v>
                </c:pt>
                <c:pt idx="105">
                  <c:v>1.336026868912368E-3</c:v>
                </c:pt>
                <c:pt idx="106">
                  <c:v>-3.5499639032681015E-4</c:v>
                </c:pt>
                <c:pt idx="107">
                  <c:v>-9.6482204652434097E-4</c:v>
                </c:pt>
                <c:pt idx="108">
                  <c:v>-1.5243008993206298E-3</c:v>
                </c:pt>
                <c:pt idx="109">
                  <c:v>-1.5689836873392315E-3</c:v>
                </c:pt>
                <c:pt idx="110">
                  <c:v>-1.7093254018201907E-3</c:v>
                </c:pt>
                <c:pt idx="111">
                  <c:v>-1.7099547368627055E-3</c:v>
                </c:pt>
                <c:pt idx="112">
                  <c:v>-2.7930403450319003E-3</c:v>
                </c:pt>
                <c:pt idx="113">
                  <c:v>-2.8886992714942578E-3</c:v>
                </c:pt>
                <c:pt idx="114">
                  <c:v>-2.8886992714942578E-3</c:v>
                </c:pt>
                <c:pt idx="115">
                  <c:v>-2.8886992714942578E-3</c:v>
                </c:pt>
                <c:pt idx="116">
                  <c:v>-2.9547794509583868E-3</c:v>
                </c:pt>
                <c:pt idx="117">
                  <c:v>-4.0158383326395382E-3</c:v>
                </c:pt>
                <c:pt idx="118">
                  <c:v>-4.2518389735828541E-3</c:v>
                </c:pt>
                <c:pt idx="119">
                  <c:v>-4.3198071581745292E-3</c:v>
                </c:pt>
                <c:pt idx="120">
                  <c:v>-4.3418338846625722E-3</c:v>
                </c:pt>
                <c:pt idx="121">
                  <c:v>-5.3840127150682586E-3</c:v>
                </c:pt>
                <c:pt idx="122">
                  <c:v>-5.545751820994746E-3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F5-4E36-AD7E-360C823A793E}"/>
            </c:ext>
          </c:extLst>
        </c:ser>
        <c:ser>
          <c:idx val="9"/>
          <c:order val="9"/>
          <c:tx>
            <c:strRef>
              <c:f>'A (2)'!$Q$20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(2)'!$Q$21:$Q$955</c:f>
              <c:numCache>
                <c:formatCode>0.0000</c:formatCode>
                <c:ptCount val="935"/>
                <c:pt idx="0">
                  <c:v>4.5374819374076336E-2</c:v>
                </c:pt>
                <c:pt idx="1">
                  <c:v>3.1391579328326702E-2</c:v>
                </c:pt>
                <c:pt idx="2">
                  <c:v>3.1385253168594231E-2</c:v>
                </c:pt>
                <c:pt idx="3">
                  <c:v>3.1378927646124502E-2</c:v>
                </c:pt>
                <c:pt idx="4">
                  <c:v>2.9101509208557672E-2</c:v>
                </c:pt>
                <c:pt idx="5">
                  <c:v>2.8984873764414765E-2</c:v>
                </c:pt>
                <c:pt idx="6">
                  <c:v>2.8983860569862435E-2</c:v>
                </c:pt>
                <c:pt idx="7">
                  <c:v>2.8787635655177279E-2</c:v>
                </c:pt>
                <c:pt idx="8">
                  <c:v>2.873616134656368E-2</c:v>
                </c:pt>
                <c:pt idx="9">
                  <c:v>2.820295824789356E-2</c:v>
                </c:pt>
                <c:pt idx="10">
                  <c:v>2.7067255223746159E-2</c:v>
                </c:pt>
                <c:pt idx="11">
                  <c:v>2.6905940143277549E-2</c:v>
                </c:pt>
                <c:pt idx="12">
                  <c:v>2.6882516279125891E-2</c:v>
                </c:pt>
                <c:pt idx="13">
                  <c:v>2.682692546623916E-2</c:v>
                </c:pt>
                <c:pt idx="14">
                  <c:v>2.672272609749124E-2</c:v>
                </c:pt>
                <c:pt idx="15">
                  <c:v>2.6706189715233714E-2</c:v>
                </c:pt>
                <c:pt idx="16">
                  <c:v>2.6637181301344119E-2</c:v>
                </c:pt>
                <c:pt idx="17">
                  <c:v>2.6626497840424732E-2</c:v>
                </c:pt>
                <c:pt idx="18">
                  <c:v>2.6614845598625918E-2</c:v>
                </c:pt>
                <c:pt idx="19">
                  <c:v>2.4650453580134193E-2</c:v>
                </c:pt>
                <c:pt idx="20">
                  <c:v>2.2581203892675299E-2</c:v>
                </c:pt>
                <c:pt idx="21">
                  <c:v>2.2195608094379978E-2</c:v>
                </c:pt>
                <c:pt idx="22">
                  <c:v>2.2139781813541082E-2</c:v>
                </c:pt>
                <c:pt idx="23">
                  <c:v>2.1119235974991265E-2</c:v>
                </c:pt>
                <c:pt idx="24">
                  <c:v>2.1114046691993956E-2</c:v>
                </c:pt>
                <c:pt idx="25">
                  <c:v>2.0486587427259347E-2</c:v>
                </c:pt>
                <c:pt idx="26">
                  <c:v>2.0482328211429771E-2</c:v>
                </c:pt>
                <c:pt idx="27">
                  <c:v>2.0482328211429771E-2</c:v>
                </c:pt>
                <c:pt idx="28">
                  <c:v>2.0477217736591793E-2</c:v>
                </c:pt>
                <c:pt idx="29">
                  <c:v>2.0472107899016559E-2</c:v>
                </c:pt>
                <c:pt idx="30">
                  <c:v>2.0462741518574926E-2</c:v>
                </c:pt>
                <c:pt idx="31">
                  <c:v>2.0453377280044184E-2</c:v>
                </c:pt>
                <c:pt idx="32">
                  <c:v>2.0452526091842754E-2</c:v>
                </c:pt>
                <c:pt idx="33">
                  <c:v>2.0355606671804527E-2</c:v>
                </c:pt>
                <c:pt idx="34">
                  <c:v>2.0326745417448406E-2</c:v>
                </c:pt>
                <c:pt idx="35">
                  <c:v>1.936343548977024E-2</c:v>
                </c:pt>
                <c:pt idx="36">
                  <c:v>1.9151167492139781E-2</c:v>
                </c:pt>
                <c:pt idx="37">
                  <c:v>1.4788654324329634E-2</c:v>
                </c:pt>
                <c:pt idx="38">
                  <c:v>1.4784311432466717E-2</c:v>
                </c:pt>
                <c:pt idx="39">
                  <c:v>1.4783587679112331E-2</c:v>
                </c:pt>
                <c:pt idx="40">
                  <c:v>1.4730801496649699E-2</c:v>
                </c:pt>
                <c:pt idx="41">
                  <c:v>1.4696865791239383E-2</c:v>
                </c:pt>
                <c:pt idx="42">
                  <c:v>1.4693979451675854E-2</c:v>
                </c:pt>
                <c:pt idx="43">
                  <c:v>1.4693257911039329E-2</c:v>
                </c:pt>
                <c:pt idx="44">
                  <c:v>1.4689650473382847E-2</c:v>
                </c:pt>
                <c:pt idx="45">
                  <c:v>1.4529208767611424E-2</c:v>
                </c:pt>
                <c:pt idx="46">
                  <c:v>1.4484041662058834E-2</c:v>
                </c:pt>
                <c:pt idx="47">
                  <c:v>1.4479743697219365E-2</c:v>
                </c:pt>
                <c:pt idx="48">
                  <c:v>1.4304787750613789E-2</c:v>
                </c:pt>
                <c:pt idx="49">
                  <c:v>1.4292687372018486E-2</c:v>
                </c:pt>
                <c:pt idx="50">
                  <c:v>1.1263866126443919E-2</c:v>
                </c:pt>
                <c:pt idx="51">
                  <c:v>1.1263866126443919E-2</c:v>
                </c:pt>
                <c:pt idx="52">
                  <c:v>1.1263866126443919E-2</c:v>
                </c:pt>
                <c:pt idx="53">
                  <c:v>1.1263866126443919E-2</c:v>
                </c:pt>
                <c:pt idx="54">
                  <c:v>1.1263866126443919E-2</c:v>
                </c:pt>
                <c:pt idx="55">
                  <c:v>1.1260075528959074E-2</c:v>
                </c:pt>
                <c:pt idx="56">
                  <c:v>1.1260075528959074E-2</c:v>
                </c:pt>
                <c:pt idx="57">
                  <c:v>1.1260075528959074E-2</c:v>
                </c:pt>
                <c:pt idx="58">
                  <c:v>1.1260075528959074E-2</c:v>
                </c:pt>
                <c:pt idx="59">
                  <c:v>9.2317207014873774E-3</c:v>
                </c:pt>
                <c:pt idx="60">
                  <c:v>8.8787636799592586E-3</c:v>
                </c:pt>
                <c:pt idx="61">
                  <c:v>8.8787636799592586E-3</c:v>
                </c:pt>
                <c:pt idx="62">
                  <c:v>8.7223691650688984E-3</c:v>
                </c:pt>
                <c:pt idx="63">
                  <c:v>8.7223691650688984E-3</c:v>
                </c:pt>
                <c:pt idx="64">
                  <c:v>7.885420196578884E-3</c:v>
                </c:pt>
                <c:pt idx="65">
                  <c:v>7.8737917646771217E-3</c:v>
                </c:pt>
                <c:pt idx="66">
                  <c:v>7.873263403160722E-3</c:v>
                </c:pt>
                <c:pt idx="67">
                  <c:v>7.8616439283408605E-3</c:v>
                </c:pt>
                <c:pt idx="68">
                  <c:v>7.2915939328832245E-3</c:v>
                </c:pt>
                <c:pt idx="69">
                  <c:v>6.8357038735432597E-3</c:v>
                </c:pt>
                <c:pt idx="70">
                  <c:v>6.8352115173718909E-3</c:v>
                </c:pt>
                <c:pt idx="71">
                  <c:v>6.8297967678018663E-3</c:v>
                </c:pt>
                <c:pt idx="72">
                  <c:v>6.8160234340479643E-3</c:v>
                </c:pt>
                <c:pt idx="73">
                  <c:v>5.8394041754758607E-3</c:v>
                </c:pt>
                <c:pt idx="74">
                  <c:v>5.8371287054629012E-3</c:v>
                </c:pt>
                <c:pt idx="75">
                  <c:v>5.8371287054629012E-3</c:v>
                </c:pt>
                <c:pt idx="76">
                  <c:v>5.8366736645655386E-3</c:v>
                </c:pt>
                <c:pt idx="77">
                  <c:v>5.8343987256048654E-3</c:v>
                </c:pt>
                <c:pt idx="78">
                  <c:v>5.8343987256048654E-3</c:v>
                </c:pt>
                <c:pt idx="79">
                  <c:v>4.8336070897233435E-3</c:v>
                </c:pt>
                <c:pt idx="80">
                  <c:v>3.3601926265276363E-3</c:v>
                </c:pt>
                <c:pt idx="81">
                  <c:v>2.4203057099044601E-3</c:v>
                </c:pt>
                <c:pt idx="82">
                  <c:v>2.4135614367948727E-3</c:v>
                </c:pt>
                <c:pt idx="83">
                  <c:v>2.1200358298627165E-3</c:v>
                </c:pt>
                <c:pt idx="84">
                  <c:v>2.1057742137599068E-3</c:v>
                </c:pt>
                <c:pt idx="85">
                  <c:v>2.0964751908715547E-3</c:v>
                </c:pt>
                <c:pt idx="86">
                  <c:v>1.8910995094602442E-3</c:v>
                </c:pt>
                <c:pt idx="87">
                  <c:v>1.4421283278760258E-3</c:v>
                </c:pt>
                <c:pt idx="88">
                  <c:v>4.7365555145984081E-4</c:v>
                </c:pt>
                <c:pt idx="89">
                  <c:v>4.472814983867995E-4</c:v>
                </c:pt>
                <c:pt idx="90">
                  <c:v>1.6286186742245617E-4</c:v>
                </c:pt>
                <c:pt idx="91">
                  <c:v>-2.3938630933894716E-6</c:v>
                </c:pt>
                <c:pt idx="92">
                  <c:v>-2.4120426780474601E-6</c:v>
                </c:pt>
                <c:pt idx="93">
                  <c:v>-3.6744525931162633E-6</c:v>
                </c:pt>
                <c:pt idx="94">
                  <c:v>-6.8497652099153736E-7</c:v>
                </c:pt>
                <c:pt idx="95">
                  <c:v>1.2045699183427602E-7</c:v>
                </c:pt>
                <c:pt idx="96">
                  <c:v>2.0029012146862605E-5</c:v>
                </c:pt>
                <c:pt idx="97">
                  <c:v>2.0029012146862605E-5</c:v>
                </c:pt>
                <c:pt idx="98">
                  <c:v>1.3912110366196792E-4</c:v>
                </c:pt>
                <c:pt idx="99">
                  <c:v>1.3999935919699921E-4</c:v>
                </c:pt>
                <c:pt idx="100">
                  <c:v>1.4457762059284329E-4</c:v>
                </c:pt>
                <c:pt idx="101">
                  <c:v>1.45397000025746E-4</c:v>
                </c:pt>
                <c:pt idx="102">
                  <c:v>1.4547159527555811E-4</c:v>
                </c:pt>
                <c:pt idx="103">
                  <c:v>1.5409148867876241E-4</c:v>
                </c:pt>
                <c:pt idx="104">
                  <c:v>1.5447482044741182E-4</c:v>
                </c:pt>
                <c:pt idx="105">
                  <c:v>1.987383512329299E-4</c:v>
                </c:pt>
                <c:pt idx="106">
                  <c:v>4.9459034125095939E-4</c:v>
                </c:pt>
                <c:pt idx="107">
                  <c:v>6.3263769759809455E-4</c:v>
                </c:pt>
                <c:pt idx="108">
                  <c:v>7.7390748849915313E-4</c:v>
                </c:pt>
                <c:pt idx="109">
                  <c:v>7.857932781306805E-4</c:v>
                </c:pt>
                <c:pt idx="110">
                  <c:v>8.2370498273651746E-4</c:v>
                </c:pt>
                <c:pt idx="111">
                  <c:v>8.2387697297569315E-4</c:v>
                </c:pt>
                <c:pt idx="112">
                  <c:v>1.1461022808737153E-3</c:v>
                </c:pt>
                <c:pt idx="113">
                  <c:v>1.1770812674199724E-3</c:v>
                </c:pt>
                <c:pt idx="114">
                  <c:v>1.1770812674199724E-3</c:v>
                </c:pt>
                <c:pt idx="115">
                  <c:v>1.1770812674199724E-3</c:v>
                </c:pt>
                <c:pt idx="116">
                  <c:v>1.1987200659974327E-3</c:v>
                </c:pt>
                <c:pt idx="117">
                  <c:v>1.5729036675459112E-3</c:v>
                </c:pt>
                <c:pt idx="118">
                  <c:v>1.6629701748368854E-3</c:v>
                </c:pt>
                <c:pt idx="119">
                  <c:v>1.6893710257946614E-3</c:v>
                </c:pt>
                <c:pt idx="120">
                  <c:v>1.6979711557351448E-3</c:v>
                </c:pt>
                <c:pt idx="121">
                  <c:v>2.1296652208187246E-3</c:v>
                </c:pt>
                <c:pt idx="122">
                  <c:v>2.2010126713370133E-3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F5-4E36-AD7E-360C823A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68248"/>
        <c:axId val="1"/>
      </c:scatterChart>
      <c:valAx>
        <c:axId val="606668248"/>
        <c:scaling>
          <c:orientation val="minMax"/>
          <c:max val="10000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23360184119682"/>
              <c:y val="0.8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56731875719217E-2"/>
              <c:y val="0.369186046511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68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658227848101267"/>
          <c:y val="0.93313953488372092"/>
          <c:w val="0.92865362485615655"/>
          <c:h val="0.991279069767441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BV Dra -- O-C Diagr.</a:t>
            </a:r>
          </a:p>
        </c:rich>
      </c:tx>
      <c:layout>
        <c:manualLayout>
          <c:xMode val="edge"/>
          <c:yMode val="edge"/>
          <c:x val="0.41034531028449028"/>
          <c:y val="1.4492753623188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1272754212413E-2"/>
          <c:y val="8.6956767880343858E-2"/>
          <c:w val="0.89885158366063178"/>
          <c:h val="0.742031085912267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(2)'!$H$21:$H$955</c:f>
              <c:numCache>
                <c:formatCode>0.0000</c:formatCode>
                <c:ptCount val="935"/>
                <c:pt idx="27">
                  <c:v>2.5033254001755267E-2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EA-4070-A8A2-BD4D5ADF9DEF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(2)'!$D$21:$D$955</c:f>
                <c:numCache>
                  <c:formatCode>General</c:formatCode>
                  <c:ptCount val="935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plus>
            <c:minus>
              <c:numRef>
                <c:f>'A (2)'!$D$21:$D$955</c:f>
                <c:numCache>
                  <c:formatCode>General</c:formatCode>
                  <c:ptCount val="935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(2)'!$I$21:$I$955</c:f>
              <c:numCache>
                <c:formatCode>0.0000</c:formatCode>
                <c:ptCount val="935"/>
                <c:pt idx="79">
                  <c:v>9.3134409980848432E-3</c:v>
                </c:pt>
                <c:pt idx="80">
                  <c:v>-6.4426124954479747E-3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EA-4070-A8A2-BD4D5ADF9DEF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(2)'!$D$21:$D$24</c:f>
                <c:numCache>
                  <c:formatCode>General</c:formatCode>
                  <c:ptCount val="4"/>
                </c:numCache>
              </c:numRef>
            </c:plus>
            <c:minus>
              <c:numRef>
                <c:f>'A (2)'!$D$21:$D$24</c:f>
                <c:numCache>
                  <c:formatCode>General</c:formatCode>
                  <c:ptCount val="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(2)'!$J$21:$J$955</c:f>
              <c:numCache>
                <c:formatCode>0.0000</c:formatCode>
                <c:ptCount val="935"/>
                <c:pt idx="25">
                  <c:v>2.4403086506936233E-2</c:v>
                </c:pt>
                <c:pt idx="26">
                  <c:v>2.4733254002057947E-2</c:v>
                </c:pt>
                <c:pt idx="28">
                  <c:v>2.5929455005098134E-2</c:v>
                </c:pt>
                <c:pt idx="29">
                  <c:v>2.5925656002073083E-2</c:v>
                </c:pt>
                <c:pt idx="30">
                  <c:v>2.515202450013021E-2</c:v>
                </c:pt>
                <c:pt idx="31">
                  <c:v>2.4078392998490017E-2</c:v>
                </c:pt>
                <c:pt idx="32">
                  <c:v>2.4944426499132533E-2</c:v>
                </c:pt>
                <c:pt idx="33">
                  <c:v>2.30722455016803E-2</c:v>
                </c:pt>
                <c:pt idx="34">
                  <c:v>2.4617384500743356E-2</c:v>
                </c:pt>
                <c:pt idx="36">
                  <c:v>2.6960485505696852E-2</c:v>
                </c:pt>
                <c:pt idx="37">
                  <c:v>1.7257358500501141E-2</c:v>
                </c:pt>
                <c:pt idx="38">
                  <c:v>1.6753559495555237E-2</c:v>
                </c:pt>
                <c:pt idx="39">
                  <c:v>1.5419593000842724E-2</c:v>
                </c:pt>
                <c:pt idx="40">
                  <c:v>1.6840038500959054E-2</c:v>
                </c:pt>
                <c:pt idx="41">
                  <c:v>1.7343612998956814E-2</c:v>
                </c:pt>
                <c:pt idx="42">
                  <c:v>1.7307747002632823E-2</c:v>
                </c:pt>
                <c:pt idx="43">
                  <c:v>1.6773780502262525E-2</c:v>
                </c:pt>
                <c:pt idx="44">
                  <c:v>2.1003948000725359E-2</c:v>
                </c:pt>
                <c:pt idx="45">
                  <c:v>1.7929418507264927E-2</c:v>
                </c:pt>
                <c:pt idx="46">
                  <c:v>1.7289529001573101E-2</c:v>
                </c:pt>
                <c:pt idx="47">
                  <c:v>1.718573000835022E-2</c:v>
                </c:pt>
                <c:pt idx="48">
                  <c:v>1.6863937496964354E-2</c:v>
                </c:pt>
                <c:pt idx="49">
                  <c:v>1.8286507001903374E-2</c:v>
                </c:pt>
                <c:pt idx="62">
                  <c:v>4.5889050015830435E-3</c:v>
                </c:pt>
                <c:pt idx="63">
                  <c:v>5.9889050025958568E-3</c:v>
                </c:pt>
                <c:pt idx="64">
                  <c:v>9.4785955079714768E-3</c:v>
                </c:pt>
                <c:pt idx="65">
                  <c:v>9.7313322985428385E-3</c:v>
                </c:pt>
                <c:pt idx="66">
                  <c:v>8.9973658759845421E-3</c:v>
                </c:pt>
                <c:pt idx="67">
                  <c:v>6.5501030621817335E-3</c:v>
                </c:pt>
                <c:pt idx="69">
                  <c:v>7.8434714232571423E-3</c:v>
                </c:pt>
                <c:pt idx="70">
                  <c:v>7.2095048235496506E-3</c:v>
                </c:pt>
                <c:pt idx="71">
                  <c:v>8.5358735086629167E-3</c:v>
                </c:pt>
                <c:pt idx="72">
                  <c:v>7.7848115397500806E-3</c:v>
                </c:pt>
                <c:pt idx="73">
                  <c:v>5.3119219955988228E-3</c:v>
                </c:pt>
                <c:pt idx="74">
                  <c:v>5.6420895052724518E-3</c:v>
                </c:pt>
                <c:pt idx="75">
                  <c:v>6.4420895068906248E-3</c:v>
                </c:pt>
                <c:pt idx="76">
                  <c:v>5.4081230045994744E-3</c:v>
                </c:pt>
                <c:pt idx="77">
                  <c:v>6.338290506391786E-3</c:v>
                </c:pt>
                <c:pt idx="78">
                  <c:v>6.8382905010366812E-3</c:v>
                </c:pt>
                <c:pt idx="86">
                  <c:v>1.1160635040141642E-3</c:v>
                </c:pt>
                <c:pt idx="87">
                  <c:v>3.1390450749313459E-4</c:v>
                </c:pt>
                <c:pt idx="110">
                  <c:v>-2.3192734952317551E-3</c:v>
                </c:pt>
                <c:pt idx="111">
                  <c:v>-1.5323999832617119E-4</c:v>
                </c:pt>
                <c:pt idx="112">
                  <c:v>-2.8095864981878549E-3</c:v>
                </c:pt>
                <c:pt idx="119">
                  <c:v>-1.332315499894321E-3</c:v>
                </c:pt>
                <c:pt idx="120">
                  <c:v>-4.3411430015112273E-3</c:v>
                </c:pt>
                <c:pt idx="122">
                  <c:v>-1.1090574989793822E-3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EA-4070-A8A2-BD4D5ADF9DEF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(2)'!$K$21:$K$955</c:f>
              <c:numCache>
                <c:formatCode>0.0000</c:formatCode>
                <c:ptCount val="935"/>
                <c:pt idx="35">
                  <c:v>5.7898760060197674E-3</c:v>
                </c:pt>
                <c:pt idx="50">
                  <c:v>-9.0684414972201921E-3</c:v>
                </c:pt>
                <c:pt idx="51">
                  <c:v>-4.0684414998395368E-3</c:v>
                </c:pt>
                <c:pt idx="52">
                  <c:v>-6.8441499024629593E-5</c:v>
                </c:pt>
                <c:pt idx="53">
                  <c:v>1.931558501382824E-3</c:v>
                </c:pt>
                <c:pt idx="54">
                  <c:v>4.9315584983560257E-3</c:v>
                </c:pt>
                <c:pt idx="55">
                  <c:v>-7.2722405020613223E-3</c:v>
                </c:pt>
                <c:pt idx="56">
                  <c:v>1.7277594961342402E-3</c:v>
                </c:pt>
                <c:pt idx="57">
                  <c:v>2.7277594999759458E-3</c:v>
                </c:pt>
                <c:pt idx="58">
                  <c:v>3.7277594965416938E-3</c:v>
                </c:pt>
                <c:pt idx="59">
                  <c:v>1.2606544987647794E-3</c:v>
                </c:pt>
                <c:pt idx="60">
                  <c:v>1.5099525000550784E-2</c:v>
                </c:pt>
                <c:pt idx="61">
                  <c:v>2.60995249991538E-2</c:v>
                </c:pt>
                <c:pt idx="88">
                  <c:v>9.9211730048409663E-3</c:v>
                </c:pt>
                <c:pt idx="91">
                  <c:v>1.4828359999228269E-3</c:v>
                </c:pt>
                <c:pt idx="92">
                  <c:v>1.8488694986444898E-3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EA-4070-A8A2-BD4D5ADF9DEF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Dvorak/Krajci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(2)'!$L$21:$L$955</c:f>
              <c:numCache>
                <c:formatCode>0.0000</c:formatCode>
                <c:ptCount val="935"/>
                <c:pt idx="93">
                  <c:v>3.003281497512944E-3</c:v>
                </c:pt>
                <c:pt idx="94">
                  <c:v>2.0246935018803924E-3</c:v>
                </c:pt>
                <c:pt idx="95">
                  <c:v>-3.3966498449444771E-5</c:v>
                </c:pt>
                <c:pt idx="101">
                  <c:v>3.2644094972056337E-3</c:v>
                </c:pt>
                <c:pt idx="102">
                  <c:v>-7.5695569976232946E-3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EA-4070-A8A2-BD4D5ADF9DEF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Hipparcos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plus>
            <c:minus>
              <c:numRef>
                <c:f>'A (2)'!$D$21:$D$73</c:f>
                <c:numCache>
                  <c:formatCode>General</c:formatCode>
                  <c:ptCount val="53"/>
                  <c:pt idx="2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(2)'!$M$21:$M$955</c:f>
              <c:numCache>
                <c:formatCode>0.0000</c:formatCode>
                <c:ptCount val="935"/>
                <c:pt idx="68">
                  <c:v>6.0869529988849536E-3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EA-4070-A8A2-BD4D5ADF9DEF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(2)'!$D$21:$D$957</c:f>
                <c:numCache>
                  <c:formatCode>General</c:formatCode>
                  <c:ptCount val="937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plus>
            <c:minus>
              <c:numRef>
                <c:f>'A (2)'!$D$21:$D$957</c:f>
                <c:numCache>
                  <c:formatCode>General</c:formatCode>
                  <c:ptCount val="937"/>
                  <c:pt idx="27">
                    <c:v>0</c:v>
                  </c:pt>
                  <c:pt idx="79">
                    <c:v>3.0000000000000001E-3</c:v>
                  </c:pt>
                  <c:pt idx="80">
                    <c:v>5.0000000000000001E-3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1E-3</c:v>
                  </c:pt>
                  <c:pt idx="87">
                    <c:v>1E-4</c:v>
                  </c:pt>
                  <c:pt idx="90">
                    <c:v>0</c:v>
                  </c:pt>
                  <c:pt idx="91">
                    <c:v>1E-4</c:v>
                  </c:pt>
                  <c:pt idx="92">
                    <c:v>1E-4</c:v>
                  </c:pt>
                  <c:pt idx="93">
                    <c:v>2.0000000000000001E-4</c:v>
                  </c:pt>
                  <c:pt idx="94">
                    <c:v>1E-4</c:v>
                  </c:pt>
                  <c:pt idx="95">
                    <c:v>2.0000000000000001E-4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1.6999999999999999E-3</c:v>
                  </c:pt>
                  <c:pt idx="102">
                    <c:v>2.2000000000000001E-3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1.1000000000000001E-3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  <c:pt idx="119">
                    <c:v>4.0999999999999999E-4</c:v>
                  </c:pt>
                  <c:pt idx="120">
                    <c:v>1.7000000000000001E-4</c:v>
                  </c:pt>
                  <c:pt idx="121">
                    <c:v>1E-4</c:v>
                  </c:pt>
                  <c:pt idx="122">
                    <c:v>1.1199999999999999E-3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(2)'!$N$21:$N$955</c:f>
              <c:numCache>
                <c:formatCode>0.0000</c:formatCode>
                <c:ptCount val="935"/>
                <c:pt idx="108">
                  <c:v>-2.6331224944442511E-3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EA-4070-A8A2-BD4D5ADF9DEF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(2)'!$O$21:$O$955</c:f>
              <c:numCache>
                <c:formatCode>0.0000</c:formatCode>
                <c:ptCount val="935"/>
                <c:pt idx="0">
                  <c:v>3.4406339000270236E-2</c:v>
                </c:pt>
                <c:pt idx="1">
                  <c:v>2.9913813006714918E-2</c:v>
                </c:pt>
                <c:pt idx="2">
                  <c:v>2.9810013998940121E-2</c:v>
                </c:pt>
                <c:pt idx="3">
                  <c:v>2.8706215001875535E-2</c:v>
                </c:pt>
                <c:pt idx="4">
                  <c:v>3.0345948500325903E-2</c:v>
                </c:pt>
                <c:pt idx="5">
                  <c:v>2.9739801000687294E-2</c:v>
                </c:pt>
                <c:pt idx="6">
                  <c:v>2.9705834502237849E-2</c:v>
                </c:pt>
                <c:pt idx="7">
                  <c:v>3.7116333500307519E-2</c:v>
                </c:pt>
                <c:pt idx="8">
                  <c:v>1.7384041995683219E-2</c:v>
                </c:pt>
                <c:pt idx="9">
                  <c:v>1.634783050394617E-2</c:v>
                </c:pt>
                <c:pt idx="10">
                  <c:v>2.7754288501455449E-2</c:v>
                </c:pt>
                <c:pt idx="11">
                  <c:v>2.71498160000192E-2</c:v>
                </c:pt>
                <c:pt idx="12">
                  <c:v>2.4934620007115882E-2</c:v>
                </c:pt>
                <c:pt idx="13">
                  <c:v>2.6998529501724988E-2</c:v>
                </c:pt>
                <c:pt idx="14">
                  <c:v>2.7564113996049855E-2</c:v>
                </c:pt>
                <c:pt idx="15">
                  <c:v>2.8986683508264832E-2</c:v>
                </c:pt>
                <c:pt idx="16">
                  <c:v>3.6375062001752667E-2</c:v>
                </c:pt>
                <c:pt idx="17">
                  <c:v>4.1001430501637515E-2</c:v>
                </c:pt>
                <c:pt idx="18">
                  <c:v>4.2593832498823758E-2</c:v>
                </c:pt>
                <c:pt idx="19">
                  <c:v>2.5554909501806833E-2</c:v>
                </c:pt>
                <c:pt idx="20">
                  <c:v>2.3588719996041618E-2</c:v>
                </c:pt>
                <c:pt idx="21">
                  <c:v>2.5281225498474669E-2</c:v>
                </c:pt>
                <c:pt idx="22">
                  <c:v>2.3941336003190372E-2</c:v>
                </c:pt>
                <c:pt idx="23">
                  <c:v>2.1936397002718877E-2</c:v>
                </c:pt>
                <c:pt idx="24">
                  <c:v>2.3632598000403959E-2</c:v>
                </c:pt>
                <c:pt idx="89">
                  <c:v>4.9200699868379161E-4</c:v>
                </c:pt>
                <c:pt idx="90">
                  <c:v>5.64446700445842E-3</c:v>
                </c:pt>
                <c:pt idx="96">
                  <c:v>-7.7772769946022891E-3</c:v>
                </c:pt>
                <c:pt idx="97">
                  <c:v>2.6427230041008443E-3</c:v>
                </c:pt>
                <c:pt idx="98">
                  <c:v>-2.5288438002462499E-2</c:v>
                </c:pt>
                <c:pt idx="104">
                  <c:v>-1.9281570494058542E-2</c:v>
                </c:pt>
                <c:pt idx="105">
                  <c:v>-1.8553800036897883E-3</c:v>
                </c:pt>
                <c:pt idx="107">
                  <c:v>-9.2369039921322837E-3</c:v>
                </c:pt>
                <c:pt idx="109">
                  <c:v>-2.7247440011706203E-3</c:v>
                </c:pt>
                <c:pt idx="113">
                  <c:v>-3.7324945005821064E-3</c:v>
                </c:pt>
                <c:pt idx="114">
                  <c:v>-3.4324945008847862E-3</c:v>
                </c:pt>
                <c:pt idx="115">
                  <c:v>-3.4324945008847862E-3</c:v>
                </c:pt>
                <c:pt idx="116">
                  <c:v>-4.3389769998611882E-3</c:v>
                </c:pt>
                <c:pt idx="117">
                  <c:v>-5.3064959938637912E-3</c:v>
                </c:pt>
                <c:pt idx="118">
                  <c:v>-4.7139334928942844E-3</c:v>
                </c:pt>
                <c:pt idx="121">
                  <c:v>-5.0996669961023144E-3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EA-4070-A8A2-BD4D5ADF9DEF}"/>
            </c:ext>
          </c:extLst>
        </c:ser>
        <c:ser>
          <c:idx val="8"/>
          <c:order val="8"/>
          <c:tx>
            <c:strRef>
              <c:f>'A (2)'!$P$20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(2)'!$P$21:$P$955</c:f>
              <c:numCache>
                <c:formatCode>0.0000</c:formatCode>
                <c:ptCount val="935"/>
                <c:pt idx="86">
                  <c:v>1.3632604264622941E-2</c:v>
                </c:pt>
                <c:pt idx="87">
                  <c:v>1.2470851776139307E-2</c:v>
                </c:pt>
                <c:pt idx="88">
                  <c:v>9.0655198610878757E-3</c:v>
                </c:pt>
                <c:pt idx="89">
                  <c:v>8.9371355124147119E-3</c:v>
                </c:pt>
                <c:pt idx="90">
                  <c:v>7.2001707950719012E-3</c:v>
                </c:pt>
                <c:pt idx="91">
                  <c:v>5.0516209599239456E-3</c:v>
                </c:pt>
                <c:pt idx="92">
                  <c:v>5.0509916248814308E-3</c:v>
                </c:pt>
                <c:pt idx="93">
                  <c:v>5.0056795018203135E-3</c:v>
                </c:pt>
                <c:pt idx="94">
                  <c:v>3.7016972937281745E-3</c:v>
                </c:pt>
                <c:pt idx="95">
                  <c:v>3.6765238920275539E-3</c:v>
                </c:pt>
                <c:pt idx="96">
                  <c:v>3.2127039656936222E-3</c:v>
                </c:pt>
                <c:pt idx="97">
                  <c:v>3.2127039656936222E-3</c:v>
                </c:pt>
                <c:pt idx="98">
                  <c:v>1.8067694807139705E-3</c:v>
                </c:pt>
                <c:pt idx="99">
                  <c:v>1.7992174602037845E-3</c:v>
                </c:pt>
                <c:pt idx="100">
                  <c:v>1.7601986875678227E-3</c:v>
                </c:pt>
                <c:pt idx="101">
                  <c:v>1.7532760021001521E-3</c:v>
                </c:pt>
                <c:pt idx="102">
                  <c:v>1.7526466670576366E-3</c:v>
                </c:pt>
                <c:pt idx="103">
                  <c:v>1.6809024722108682E-3</c:v>
                </c:pt>
                <c:pt idx="104">
                  <c:v>1.6777557969982907E-3</c:v>
                </c:pt>
                <c:pt idx="105">
                  <c:v>1.336026868912368E-3</c:v>
                </c:pt>
                <c:pt idx="106">
                  <c:v>-3.5499639032681015E-4</c:v>
                </c:pt>
                <c:pt idx="107">
                  <c:v>-9.6482204652434097E-4</c:v>
                </c:pt>
                <c:pt idx="108">
                  <c:v>-1.5243008993206298E-3</c:v>
                </c:pt>
                <c:pt idx="109">
                  <c:v>-1.5689836873392315E-3</c:v>
                </c:pt>
                <c:pt idx="110">
                  <c:v>-1.7093254018201907E-3</c:v>
                </c:pt>
                <c:pt idx="111">
                  <c:v>-1.7099547368627055E-3</c:v>
                </c:pt>
                <c:pt idx="112">
                  <c:v>-2.7930403450319003E-3</c:v>
                </c:pt>
                <c:pt idx="113">
                  <c:v>-2.8886992714942578E-3</c:v>
                </c:pt>
                <c:pt idx="114">
                  <c:v>-2.8886992714942578E-3</c:v>
                </c:pt>
                <c:pt idx="115">
                  <c:v>-2.8886992714942578E-3</c:v>
                </c:pt>
                <c:pt idx="116">
                  <c:v>-2.9547794509583868E-3</c:v>
                </c:pt>
                <c:pt idx="117">
                  <c:v>-4.0158383326395382E-3</c:v>
                </c:pt>
                <c:pt idx="118">
                  <c:v>-4.2518389735828541E-3</c:v>
                </c:pt>
                <c:pt idx="119">
                  <c:v>-4.3198071581745292E-3</c:v>
                </c:pt>
                <c:pt idx="120">
                  <c:v>-4.3418338846625722E-3</c:v>
                </c:pt>
                <c:pt idx="121">
                  <c:v>-5.3840127150682586E-3</c:v>
                </c:pt>
                <c:pt idx="122">
                  <c:v>-5.545751820994746E-3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EA-4070-A8A2-BD4D5ADF9DEF}"/>
            </c:ext>
          </c:extLst>
        </c:ser>
        <c:ser>
          <c:idx val="9"/>
          <c:order val="9"/>
          <c:tx>
            <c:strRef>
              <c:f>'A (2)'!$Q$20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(2)'!$Q$21:$Q$955</c:f>
              <c:numCache>
                <c:formatCode>0.0000</c:formatCode>
                <c:ptCount val="935"/>
                <c:pt idx="0">
                  <c:v>4.5374819374076336E-2</c:v>
                </c:pt>
                <c:pt idx="1">
                  <c:v>3.1391579328326702E-2</c:v>
                </c:pt>
                <c:pt idx="2">
                  <c:v>3.1385253168594231E-2</c:v>
                </c:pt>
                <c:pt idx="3">
                  <c:v>3.1378927646124502E-2</c:v>
                </c:pt>
                <c:pt idx="4">
                  <c:v>2.9101509208557672E-2</c:v>
                </c:pt>
                <c:pt idx="5">
                  <c:v>2.8984873764414765E-2</c:v>
                </c:pt>
                <c:pt idx="6">
                  <c:v>2.8983860569862435E-2</c:v>
                </c:pt>
                <c:pt idx="7">
                  <c:v>2.8787635655177279E-2</c:v>
                </c:pt>
                <c:pt idx="8">
                  <c:v>2.873616134656368E-2</c:v>
                </c:pt>
                <c:pt idx="9">
                  <c:v>2.820295824789356E-2</c:v>
                </c:pt>
                <c:pt idx="10">
                  <c:v>2.7067255223746159E-2</c:v>
                </c:pt>
                <c:pt idx="11">
                  <c:v>2.6905940143277549E-2</c:v>
                </c:pt>
                <c:pt idx="12">
                  <c:v>2.6882516279125891E-2</c:v>
                </c:pt>
                <c:pt idx="13">
                  <c:v>2.682692546623916E-2</c:v>
                </c:pt>
                <c:pt idx="14">
                  <c:v>2.672272609749124E-2</c:v>
                </c:pt>
                <c:pt idx="15">
                  <c:v>2.6706189715233714E-2</c:v>
                </c:pt>
                <c:pt idx="16">
                  <c:v>2.6637181301344119E-2</c:v>
                </c:pt>
                <c:pt idx="17">
                  <c:v>2.6626497840424732E-2</c:v>
                </c:pt>
                <c:pt idx="18">
                  <c:v>2.6614845598625918E-2</c:v>
                </c:pt>
                <c:pt idx="19">
                  <c:v>2.4650453580134193E-2</c:v>
                </c:pt>
                <c:pt idx="20">
                  <c:v>2.2581203892675299E-2</c:v>
                </c:pt>
                <c:pt idx="21">
                  <c:v>2.2195608094379978E-2</c:v>
                </c:pt>
                <c:pt idx="22">
                  <c:v>2.2139781813541082E-2</c:v>
                </c:pt>
                <c:pt idx="23">
                  <c:v>2.1119235974991265E-2</c:v>
                </c:pt>
                <c:pt idx="24">
                  <c:v>2.1114046691993956E-2</c:v>
                </c:pt>
                <c:pt idx="25">
                  <c:v>2.0486587427259347E-2</c:v>
                </c:pt>
                <c:pt idx="26">
                  <c:v>2.0482328211429771E-2</c:v>
                </c:pt>
                <c:pt idx="27">
                  <c:v>2.0482328211429771E-2</c:v>
                </c:pt>
                <c:pt idx="28">
                  <c:v>2.0477217736591793E-2</c:v>
                </c:pt>
                <c:pt idx="29">
                  <c:v>2.0472107899016559E-2</c:v>
                </c:pt>
                <c:pt idx="30">
                  <c:v>2.0462741518574926E-2</c:v>
                </c:pt>
                <c:pt idx="31">
                  <c:v>2.0453377280044184E-2</c:v>
                </c:pt>
                <c:pt idx="32">
                  <c:v>2.0452526091842754E-2</c:v>
                </c:pt>
                <c:pt idx="33">
                  <c:v>2.0355606671804527E-2</c:v>
                </c:pt>
                <c:pt idx="34">
                  <c:v>2.0326745417448406E-2</c:v>
                </c:pt>
                <c:pt idx="35">
                  <c:v>1.936343548977024E-2</c:v>
                </c:pt>
                <c:pt idx="36">
                  <c:v>1.9151167492139781E-2</c:v>
                </c:pt>
                <c:pt idx="37">
                  <c:v>1.4788654324329634E-2</c:v>
                </c:pt>
                <c:pt idx="38">
                  <c:v>1.4784311432466717E-2</c:v>
                </c:pt>
                <c:pt idx="39">
                  <c:v>1.4783587679112331E-2</c:v>
                </c:pt>
                <c:pt idx="40">
                  <c:v>1.4730801496649699E-2</c:v>
                </c:pt>
                <c:pt idx="41">
                  <c:v>1.4696865791239383E-2</c:v>
                </c:pt>
                <c:pt idx="42">
                  <c:v>1.4693979451675854E-2</c:v>
                </c:pt>
                <c:pt idx="43">
                  <c:v>1.4693257911039329E-2</c:v>
                </c:pt>
                <c:pt idx="44">
                  <c:v>1.4689650473382847E-2</c:v>
                </c:pt>
                <c:pt idx="45">
                  <c:v>1.4529208767611424E-2</c:v>
                </c:pt>
                <c:pt idx="46">
                  <c:v>1.4484041662058834E-2</c:v>
                </c:pt>
                <c:pt idx="47">
                  <c:v>1.4479743697219365E-2</c:v>
                </c:pt>
                <c:pt idx="48">
                  <c:v>1.4304787750613789E-2</c:v>
                </c:pt>
                <c:pt idx="49">
                  <c:v>1.4292687372018486E-2</c:v>
                </c:pt>
                <c:pt idx="50">
                  <c:v>1.1263866126443919E-2</c:v>
                </c:pt>
                <c:pt idx="51">
                  <c:v>1.1263866126443919E-2</c:v>
                </c:pt>
                <c:pt idx="52">
                  <c:v>1.1263866126443919E-2</c:v>
                </c:pt>
                <c:pt idx="53">
                  <c:v>1.1263866126443919E-2</c:v>
                </c:pt>
                <c:pt idx="54">
                  <c:v>1.1263866126443919E-2</c:v>
                </c:pt>
                <c:pt idx="55">
                  <c:v>1.1260075528959074E-2</c:v>
                </c:pt>
                <c:pt idx="56">
                  <c:v>1.1260075528959074E-2</c:v>
                </c:pt>
                <c:pt idx="57">
                  <c:v>1.1260075528959074E-2</c:v>
                </c:pt>
                <c:pt idx="58">
                  <c:v>1.1260075528959074E-2</c:v>
                </c:pt>
                <c:pt idx="59">
                  <c:v>9.2317207014873774E-3</c:v>
                </c:pt>
                <c:pt idx="60">
                  <c:v>8.8787636799592586E-3</c:v>
                </c:pt>
                <c:pt idx="61">
                  <c:v>8.8787636799592586E-3</c:v>
                </c:pt>
                <c:pt idx="62">
                  <c:v>8.7223691650688984E-3</c:v>
                </c:pt>
                <c:pt idx="63">
                  <c:v>8.7223691650688984E-3</c:v>
                </c:pt>
                <c:pt idx="64">
                  <c:v>7.885420196578884E-3</c:v>
                </c:pt>
                <c:pt idx="65">
                  <c:v>7.8737917646771217E-3</c:v>
                </c:pt>
                <c:pt idx="66">
                  <c:v>7.873263403160722E-3</c:v>
                </c:pt>
                <c:pt idx="67">
                  <c:v>7.8616439283408605E-3</c:v>
                </c:pt>
                <c:pt idx="68">
                  <c:v>7.2915939328832245E-3</c:v>
                </c:pt>
                <c:pt idx="69">
                  <c:v>6.8357038735432597E-3</c:v>
                </c:pt>
                <c:pt idx="70">
                  <c:v>6.8352115173718909E-3</c:v>
                </c:pt>
                <c:pt idx="71">
                  <c:v>6.8297967678018663E-3</c:v>
                </c:pt>
                <c:pt idx="72">
                  <c:v>6.8160234340479643E-3</c:v>
                </c:pt>
                <c:pt idx="73">
                  <c:v>5.8394041754758607E-3</c:v>
                </c:pt>
                <c:pt idx="74">
                  <c:v>5.8371287054629012E-3</c:v>
                </c:pt>
                <c:pt idx="75">
                  <c:v>5.8371287054629012E-3</c:v>
                </c:pt>
                <c:pt idx="76">
                  <c:v>5.8366736645655386E-3</c:v>
                </c:pt>
                <c:pt idx="77">
                  <c:v>5.8343987256048654E-3</c:v>
                </c:pt>
                <c:pt idx="78">
                  <c:v>5.8343987256048654E-3</c:v>
                </c:pt>
                <c:pt idx="79">
                  <c:v>4.8336070897233435E-3</c:v>
                </c:pt>
                <c:pt idx="80">
                  <c:v>3.3601926265276363E-3</c:v>
                </c:pt>
                <c:pt idx="81">
                  <c:v>2.4203057099044601E-3</c:v>
                </c:pt>
                <c:pt idx="82">
                  <c:v>2.4135614367948727E-3</c:v>
                </c:pt>
                <c:pt idx="83">
                  <c:v>2.1200358298627165E-3</c:v>
                </c:pt>
                <c:pt idx="84">
                  <c:v>2.1057742137599068E-3</c:v>
                </c:pt>
                <c:pt idx="85">
                  <c:v>2.0964751908715547E-3</c:v>
                </c:pt>
                <c:pt idx="86">
                  <c:v>1.8910995094602442E-3</c:v>
                </c:pt>
                <c:pt idx="87">
                  <c:v>1.4421283278760258E-3</c:v>
                </c:pt>
                <c:pt idx="88">
                  <c:v>4.7365555145984081E-4</c:v>
                </c:pt>
                <c:pt idx="89">
                  <c:v>4.472814983867995E-4</c:v>
                </c:pt>
                <c:pt idx="90">
                  <c:v>1.6286186742245617E-4</c:v>
                </c:pt>
                <c:pt idx="91">
                  <c:v>-2.3938630933894716E-6</c:v>
                </c:pt>
                <c:pt idx="92">
                  <c:v>-2.4120426780474601E-6</c:v>
                </c:pt>
                <c:pt idx="93">
                  <c:v>-3.6744525931162633E-6</c:v>
                </c:pt>
                <c:pt idx="94">
                  <c:v>-6.8497652099153736E-7</c:v>
                </c:pt>
                <c:pt idx="95">
                  <c:v>1.2045699183427602E-7</c:v>
                </c:pt>
                <c:pt idx="96">
                  <c:v>2.0029012146862605E-5</c:v>
                </c:pt>
                <c:pt idx="97">
                  <c:v>2.0029012146862605E-5</c:v>
                </c:pt>
                <c:pt idx="98">
                  <c:v>1.3912110366196792E-4</c:v>
                </c:pt>
                <c:pt idx="99">
                  <c:v>1.3999935919699921E-4</c:v>
                </c:pt>
                <c:pt idx="100">
                  <c:v>1.4457762059284329E-4</c:v>
                </c:pt>
                <c:pt idx="101">
                  <c:v>1.45397000025746E-4</c:v>
                </c:pt>
                <c:pt idx="102">
                  <c:v>1.4547159527555811E-4</c:v>
                </c:pt>
                <c:pt idx="103">
                  <c:v>1.5409148867876241E-4</c:v>
                </c:pt>
                <c:pt idx="104">
                  <c:v>1.5447482044741182E-4</c:v>
                </c:pt>
                <c:pt idx="105">
                  <c:v>1.987383512329299E-4</c:v>
                </c:pt>
                <c:pt idx="106">
                  <c:v>4.9459034125095939E-4</c:v>
                </c:pt>
                <c:pt idx="107">
                  <c:v>6.3263769759809455E-4</c:v>
                </c:pt>
                <c:pt idx="108">
                  <c:v>7.7390748849915313E-4</c:v>
                </c:pt>
                <c:pt idx="109">
                  <c:v>7.857932781306805E-4</c:v>
                </c:pt>
                <c:pt idx="110">
                  <c:v>8.2370498273651746E-4</c:v>
                </c:pt>
                <c:pt idx="111">
                  <c:v>8.2387697297569315E-4</c:v>
                </c:pt>
                <c:pt idx="112">
                  <c:v>1.1461022808737153E-3</c:v>
                </c:pt>
                <c:pt idx="113">
                  <c:v>1.1770812674199724E-3</c:v>
                </c:pt>
                <c:pt idx="114">
                  <c:v>1.1770812674199724E-3</c:v>
                </c:pt>
                <c:pt idx="115">
                  <c:v>1.1770812674199724E-3</c:v>
                </c:pt>
                <c:pt idx="116">
                  <c:v>1.1987200659974327E-3</c:v>
                </c:pt>
                <c:pt idx="117">
                  <c:v>1.5729036675459112E-3</c:v>
                </c:pt>
                <c:pt idx="118">
                  <c:v>1.6629701748368854E-3</c:v>
                </c:pt>
                <c:pt idx="119">
                  <c:v>1.6893710257946614E-3</c:v>
                </c:pt>
                <c:pt idx="120">
                  <c:v>1.6979711557351448E-3</c:v>
                </c:pt>
                <c:pt idx="121">
                  <c:v>2.1296652208187246E-3</c:v>
                </c:pt>
                <c:pt idx="122">
                  <c:v>2.2010126713370133E-3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DEA-4070-A8A2-BD4D5ADF9DEF}"/>
            </c:ext>
          </c:extLst>
        </c:ser>
        <c:ser>
          <c:idx val="10"/>
          <c:order val="10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(2)'!$F$21:$F$955</c:f>
              <c:numCache>
                <c:formatCode>General</c:formatCode>
                <c:ptCount val="935"/>
                <c:pt idx="0">
                  <c:v>-36383</c:v>
                </c:pt>
                <c:pt idx="1">
                  <c:v>-30361</c:v>
                </c:pt>
                <c:pt idx="2">
                  <c:v>-30358</c:v>
                </c:pt>
                <c:pt idx="3">
                  <c:v>-30355</c:v>
                </c:pt>
                <c:pt idx="4">
                  <c:v>-29254.5</c:v>
                </c:pt>
                <c:pt idx="5">
                  <c:v>-29197</c:v>
                </c:pt>
                <c:pt idx="6">
                  <c:v>-29196.5</c:v>
                </c:pt>
                <c:pt idx="7">
                  <c:v>-29099.5</c:v>
                </c:pt>
                <c:pt idx="8">
                  <c:v>-29074</c:v>
                </c:pt>
                <c:pt idx="9">
                  <c:v>-28808.5</c:v>
                </c:pt>
                <c:pt idx="10">
                  <c:v>-28234.5</c:v>
                </c:pt>
                <c:pt idx="11">
                  <c:v>-28152</c:v>
                </c:pt>
                <c:pt idx="12">
                  <c:v>-28140</c:v>
                </c:pt>
                <c:pt idx="13">
                  <c:v>-28111.5</c:v>
                </c:pt>
                <c:pt idx="14">
                  <c:v>-28058</c:v>
                </c:pt>
                <c:pt idx="15">
                  <c:v>-28049.5</c:v>
                </c:pt>
                <c:pt idx="16">
                  <c:v>-28014</c:v>
                </c:pt>
                <c:pt idx="17">
                  <c:v>-28008.5</c:v>
                </c:pt>
                <c:pt idx="18">
                  <c:v>-28002.5</c:v>
                </c:pt>
                <c:pt idx="19">
                  <c:v>-26971.5</c:v>
                </c:pt>
                <c:pt idx="20">
                  <c:v>-25840</c:v>
                </c:pt>
                <c:pt idx="21">
                  <c:v>-25623.5</c:v>
                </c:pt>
                <c:pt idx="22">
                  <c:v>-25592</c:v>
                </c:pt>
                <c:pt idx="23">
                  <c:v>-25009</c:v>
                </c:pt>
                <c:pt idx="24">
                  <c:v>-25006</c:v>
                </c:pt>
                <c:pt idx="25">
                  <c:v>-24640.5</c:v>
                </c:pt>
                <c:pt idx="26">
                  <c:v>-24638</c:v>
                </c:pt>
                <c:pt idx="27">
                  <c:v>-24638</c:v>
                </c:pt>
                <c:pt idx="28">
                  <c:v>-24635</c:v>
                </c:pt>
                <c:pt idx="29">
                  <c:v>-24632</c:v>
                </c:pt>
                <c:pt idx="30">
                  <c:v>-24626.5</c:v>
                </c:pt>
                <c:pt idx="31">
                  <c:v>-24621</c:v>
                </c:pt>
                <c:pt idx="32">
                  <c:v>-24620.5</c:v>
                </c:pt>
                <c:pt idx="33">
                  <c:v>-24563.5</c:v>
                </c:pt>
                <c:pt idx="34">
                  <c:v>-24546.5</c:v>
                </c:pt>
                <c:pt idx="35">
                  <c:v>-23972</c:v>
                </c:pt>
                <c:pt idx="36">
                  <c:v>-23843.5</c:v>
                </c:pt>
                <c:pt idx="37">
                  <c:v>-21024.5</c:v>
                </c:pt>
                <c:pt idx="38">
                  <c:v>-21021.5</c:v>
                </c:pt>
                <c:pt idx="39">
                  <c:v>-21021</c:v>
                </c:pt>
                <c:pt idx="40">
                  <c:v>-20984.5</c:v>
                </c:pt>
                <c:pt idx="41">
                  <c:v>-20961</c:v>
                </c:pt>
                <c:pt idx="42">
                  <c:v>-20959</c:v>
                </c:pt>
                <c:pt idx="43">
                  <c:v>-20958.5</c:v>
                </c:pt>
                <c:pt idx="44">
                  <c:v>-20956</c:v>
                </c:pt>
                <c:pt idx="45">
                  <c:v>-20844.5</c:v>
                </c:pt>
                <c:pt idx="46">
                  <c:v>-20813</c:v>
                </c:pt>
                <c:pt idx="47">
                  <c:v>-20810</c:v>
                </c:pt>
                <c:pt idx="48">
                  <c:v>-20687.5</c:v>
                </c:pt>
                <c:pt idx="49">
                  <c:v>-20679</c:v>
                </c:pt>
                <c:pt idx="50">
                  <c:v>-18424.5</c:v>
                </c:pt>
                <c:pt idx="51">
                  <c:v>-18424.5</c:v>
                </c:pt>
                <c:pt idx="52">
                  <c:v>-18424.5</c:v>
                </c:pt>
                <c:pt idx="53">
                  <c:v>-18424.5</c:v>
                </c:pt>
                <c:pt idx="54">
                  <c:v>-18424.5</c:v>
                </c:pt>
                <c:pt idx="55">
                  <c:v>-18421.5</c:v>
                </c:pt>
                <c:pt idx="56">
                  <c:v>-18421.5</c:v>
                </c:pt>
                <c:pt idx="57">
                  <c:v>-18421.5</c:v>
                </c:pt>
                <c:pt idx="58">
                  <c:v>-18421.5</c:v>
                </c:pt>
                <c:pt idx="59">
                  <c:v>-16736.5</c:v>
                </c:pt>
                <c:pt idx="60">
                  <c:v>-16425</c:v>
                </c:pt>
                <c:pt idx="61">
                  <c:v>-16425</c:v>
                </c:pt>
                <c:pt idx="62">
                  <c:v>-16285</c:v>
                </c:pt>
                <c:pt idx="63">
                  <c:v>-16285</c:v>
                </c:pt>
                <c:pt idx="64">
                  <c:v>-15513.5</c:v>
                </c:pt>
                <c:pt idx="65">
                  <c:v>-15502.5</c:v>
                </c:pt>
                <c:pt idx="66">
                  <c:v>-15502</c:v>
                </c:pt>
                <c:pt idx="67">
                  <c:v>-15491</c:v>
                </c:pt>
                <c:pt idx="68">
                  <c:v>-14941</c:v>
                </c:pt>
                <c:pt idx="69">
                  <c:v>-14485.5</c:v>
                </c:pt>
                <c:pt idx="70">
                  <c:v>-14485</c:v>
                </c:pt>
                <c:pt idx="71">
                  <c:v>-14479.5</c:v>
                </c:pt>
                <c:pt idx="72">
                  <c:v>-14465.5</c:v>
                </c:pt>
                <c:pt idx="73">
                  <c:v>-13434</c:v>
                </c:pt>
                <c:pt idx="74">
                  <c:v>-13431.5</c:v>
                </c:pt>
                <c:pt idx="75">
                  <c:v>-13431.5</c:v>
                </c:pt>
                <c:pt idx="76">
                  <c:v>-13431</c:v>
                </c:pt>
                <c:pt idx="77">
                  <c:v>-13428.5</c:v>
                </c:pt>
                <c:pt idx="78">
                  <c:v>-13428.5</c:v>
                </c:pt>
                <c:pt idx="79">
                  <c:v>-12277</c:v>
                </c:pt>
                <c:pt idx="80">
                  <c:v>-10337.5</c:v>
                </c:pt>
                <c:pt idx="81">
                  <c:v>-8866.5</c:v>
                </c:pt>
                <c:pt idx="82">
                  <c:v>-8855</c:v>
                </c:pt>
                <c:pt idx="83">
                  <c:v>-8338</c:v>
                </c:pt>
                <c:pt idx="84">
                  <c:v>-8312</c:v>
                </c:pt>
                <c:pt idx="85">
                  <c:v>-8295</c:v>
                </c:pt>
                <c:pt idx="86">
                  <c:v>-7909.5</c:v>
                </c:pt>
                <c:pt idx="87">
                  <c:v>-6986.5</c:v>
                </c:pt>
                <c:pt idx="88">
                  <c:v>-4281</c:v>
                </c:pt>
                <c:pt idx="89">
                  <c:v>-4179</c:v>
                </c:pt>
                <c:pt idx="90">
                  <c:v>-2799</c:v>
                </c:pt>
                <c:pt idx="91">
                  <c:v>-1092</c:v>
                </c:pt>
                <c:pt idx="92">
                  <c:v>-1091.5</c:v>
                </c:pt>
                <c:pt idx="93">
                  <c:v>-1055.5</c:v>
                </c:pt>
                <c:pt idx="94">
                  <c:v>-19.5</c:v>
                </c:pt>
                <c:pt idx="95">
                  <c:v>0.5</c:v>
                </c:pt>
                <c:pt idx="96">
                  <c:v>369</c:v>
                </c:pt>
                <c:pt idx="97">
                  <c:v>369</c:v>
                </c:pt>
                <c:pt idx="98">
                  <c:v>1486</c:v>
                </c:pt>
                <c:pt idx="99">
                  <c:v>1492</c:v>
                </c:pt>
                <c:pt idx="100">
                  <c:v>1523</c:v>
                </c:pt>
                <c:pt idx="101">
                  <c:v>1528.5</c:v>
                </c:pt>
                <c:pt idx="102">
                  <c:v>1529</c:v>
                </c:pt>
                <c:pt idx="103">
                  <c:v>1586</c:v>
                </c:pt>
                <c:pt idx="104">
                  <c:v>1588.5</c:v>
                </c:pt>
                <c:pt idx="105">
                  <c:v>1860</c:v>
                </c:pt>
                <c:pt idx="106">
                  <c:v>3203.5</c:v>
                </c:pt>
                <c:pt idx="107">
                  <c:v>3688</c:v>
                </c:pt>
                <c:pt idx="108">
                  <c:v>4132.5</c:v>
                </c:pt>
                <c:pt idx="109">
                  <c:v>4168</c:v>
                </c:pt>
                <c:pt idx="110">
                  <c:v>4279.5</c:v>
                </c:pt>
                <c:pt idx="111">
                  <c:v>4280</c:v>
                </c:pt>
                <c:pt idx="112">
                  <c:v>5140.5</c:v>
                </c:pt>
                <c:pt idx="113">
                  <c:v>5216.5</c:v>
                </c:pt>
                <c:pt idx="114">
                  <c:v>5216.5</c:v>
                </c:pt>
                <c:pt idx="115">
                  <c:v>5216.5</c:v>
                </c:pt>
                <c:pt idx="116">
                  <c:v>5269</c:v>
                </c:pt>
                <c:pt idx="117">
                  <c:v>6112</c:v>
                </c:pt>
                <c:pt idx="118">
                  <c:v>6299.5</c:v>
                </c:pt>
                <c:pt idx="119">
                  <c:v>6353.5</c:v>
                </c:pt>
                <c:pt idx="120">
                  <c:v>6371</c:v>
                </c:pt>
                <c:pt idx="121">
                  <c:v>7199</c:v>
                </c:pt>
                <c:pt idx="122">
                  <c:v>7327.5</c:v>
                </c:pt>
              </c:numCache>
            </c:numRef>
          </c:xVal>
          <c:yVal>
            <c:numRef>
              <c:f>'A (2)'!$T$21:$T$955</c:f>
              <c:numCache>
                <c:formatCode>General</c:formatCode>
                <c:ptCount val="935"/>
                <c:pt idx="81" formatCode="0.0000">
                  <c:v>-2.2372055500454735E-2</c:v>
                </c:pt>
                <c:pt idx="82" formatCode="0.0000">
                  <c:v>-1.9153285000356846E-2</c:v>
                </c:pt>
                <c:pt idx="83" formatCode="0.0000">
                  <c:v>4.7725354001158848E-2</c:v>
                </c:pt>
                <c:pt idx="84" formatCode="0.0000">
                  <c:v>6.1959095997735858E-2</c:v>
                </c:pt>
                <c:pt idx="85" formatCode="0.0000">
                  <c:v>4.280423499585595E-2</c:v>
                </c:pt>
                <c:pt idx="99" formatCode="0.0000">
                  <c:v>-8.6056035994261038E-2</c:v>
                </c:pt>
                <c:pt idx="100" formatCode="0.0000">
                  <c:v>7.9468040996289346E-2</c:v>
                </c:pt>
                <c:pt idx="103" formatCode="0.0000">
                  <c:v>4.060826200293377E-2</c:v>
                </c:pt>
                <c:pt idx="106" formatCode="0.0000">
                  <c:v>1.8376634499873035E-2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DEA-4070-A8A2-BD4D5ADF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59064"/>
        <c:axId val="1"/>
      </c:scatterChart>
      <c:valAx>
        <c:axId val="60665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64428153377384"/>
              <c:y val="0.88406040549279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344827586206896E-2"/>
              <c:y val="0.37101540568298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59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1609316076869692E-2"/>
          <c:y val="0.93333607212141956"/>
          <c:w val="0.97241487917458591"/>
          <c:h val="0.991307390923960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</xdr:colOff>
      <xdr:row>0</xdr:row>
      <xdr:rowOff>38100</xdr:rowOff>
    </xdr:from>
    <xdr:to>
      <xdr:col>25</xdr:col>
      <xdr:colOff>381001</xdr:colOff>
      <xdr:row>18</xdr:row>
      <xdr:rowOff>38100</xdr:rowOff>
    </xdr:to>
    <xdr:graphicFrame macro="">
      <xdr:nvGraphicFramePr>
        <xdr:cNvPr id="52228" name="Chart 1">
          <a:extLst>
            <a:ext uri="{FF2B5EF4-FFF2-40B4-BE49-F238E27FC236}">
              <a16:creationId xmlns:a16="http://schemas.microsoft.com/office/drawing/2014/main" id="{60174377-516E-A5EC-237B-C7BF6FF9A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16</xdr:col>
      <xdr:colOff>495300</xdr:colOff>
      <xdr:row>18</xdr:row>
      <xdr:rowOff>66675</xdr:rowOff>
    </xdr:to>
    <xdr:graphicFrame macro="">
      <xdr:nvGraphicFramePr>
        <xdr:cNvPr id="52229" name="Chart 2">
          <a:extLst>
            <a:ext uri="{FF2B5EF4-FFF2-40B4-BE49-F238E27FC236}">
              <a16:creationId xmlns:a16="http://schemas.microsoft.com/office/drawing/2014/main" id="{01898E5B-525B-EE54-6412-FAFCCC4ED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13</xdr:col>
      <xdr:colOff>485775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0138108-9E1A-6EC9-77E3-DA7FEC3D8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628650</xdr:colOff>
      <xdr:row>0</xdr:row>
      <xdr:rowOff>38100</xdr:rowOff>
    </xdr:from>
    <xdr:to>
      <xdr:col>30</xdr:col>
      <xdr:colOff>76200</xdr:colOff>
      <xdr:row>19</xdr:row>
      <xdr:rowOff>47625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21B1B414-DFE9-0BE6-5DD4-2BD67F801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0</xdr:row>
      <xdr:rowOff>57150</xdr:rowOff>
    </xdr:from>
    <xdr:to>
      <xdr:col>17</xdr:col>
      <xdr:colOff>542925</xdr:colOff>
      <xdr:row>18</xdr:row>
      <xdr:rowOff>123825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A6F70787-7323-E0B6-CAAF-B060DE489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21</xdr:row>
      <xdr:rowOff>0</xdr:rowOff>
    </xdr:from>
    <xdr:to>
      <xdr:col>35</xdr:col>
      <xdr:colOff>66675</xdr:colOff>
      <xdr:row>38</xdr:row>
      <xdr:rowOff>47625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86FC469E-D918-AAF6-FE49-770529A33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6</xdr:row>
      <xdr:rowOff>57150</xdr:rowOff>
    </xdr:from>
    <xdr:to>
      <xdr:col>26</xdr:col>
      <xdr:colOff>352425</xdr:colOff>
      <xdr:row>31</xdr:row>
      <xdr:rowOff>28575</xdr:rowOff>
    </xdr:to>
    <xdr:graphicFrame macro="">
      <xdr:nvGraphicFramePr>
        <xdr:cNvPr id="56322" name="Chart 1">
          <a:extLst>
            <a:ext uri="{FF2B5EF4-FFF2-40B4-BE49-F238E27FC236}">
              <a16:creationId xmlns:a16="http://schemas.microsoft.com/office/drawing/2014/main" id="{FAFB0809-53D8-94CA-7D92-F18B36610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0</xdr:row>
      <xdr:rowOff>9525</xdr:rowOff>
    </xdr:from>
    <xdr:to>
      <xdr:col>30</xdr:col>
      <xdr:colOff>609600</xdr:colOff>
      <xdr:row>19</xdr:row>
      <xdr:rowOff>19050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72EF69BA-C2B6-BE77-1F70-ED7E68530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1</xdr:row>
      <xdr:rowOff>104775</xdr:rowOff>
    </xdr:from>
    <xdr:to>
      <xdr:col>17</xdr:col>
      <xdr:colOff>419100</xdr:colOff>
      <xdr:row>21</xdr:row>
      <xdr:rowOff>47625</xdr:rowOff>
    </xdr:to>
    <xdr:graphicFrame macro="">
      <xdr:nvGraphicFramePr>
        <xdr:cNvPr id="50180" name="Chart 2">
          <a:extLst>
            <a:ext uri="{FF2B5EF4-FFF2-40B4-BE49-F238E27FC236}">
              <a16:creationId xmlns:a16="http://schemas.microsoft.com/office/drawing/2014/main" id="{ACDE16C8-9709-D362-795F-8A8E1905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0</xdr:row>
      <xdr:rowOff>0</xdr:rowOff>
    </xdr:from>
    <xdr:to>
      <xdr:col>33</xdr:col>
      <xdr:colOff>57150</xdr:colOff>
      <xdr:row>19</xdr:row>
      <xdr:rowOff>9525</xdr:rowOff>
    </xdr:to>
    <xdr:graphicFrame macro="">
      <xdr:nvGraphicFramePr>
        <xdr:cNvPr id="54276" name="Chart 1">
          <a:extLst>
            <a:ext uri="{FF2B5EF4-FFF2-40B4-BE49-F238E27FC236}">
              <a16:creationId xmlns:a16="http://schemas.microsoft.com/office/drawing/2014/main" id="{1B6B1C08-0CE7-B8F9-04D9-D897B2A99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733425</xdr:colOff>
      <xdr:row>0</xdr:row>
      <xdr:rowOff>0</xdr:rowOff>
    </xdr:from>
    <xdr:to>
      <xdr:col>14</xdr:col>
      <xdr:colOff>504825</xdr:colOff>
      <xdr:row>21</xdr:row>
      <xdr:rowOff>152400</xdr:rowOff>
    </xdr:to>
    <xdr:graphicFrame macro="">
      <xdr:nvGraphicFramePr>
        <xdr:cNvPr id="54277" name="Chart 2">
          <a:extLst>
            <a:ext uri="{FF2B5EF4-FFF2-40B4-BE49-F238E27FC236}">
              <a16:creationId xmlns:a16="http://schemas.microsoft.com/office/drawing/2014/main" id="{CCFDC687-94F4-4DA7-F1F4-E0BA1717E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76200</xdr:colOff>
      <xdr:row>21</xdr:row>
      <xdr:rowOff>152400</xdr:rowOff>
    </xdr:from>
    <xdr:to>
      <xdr:col>37</xdr:col>
      <xdr:colOff>142875</xdr:colOff>
      <xdr:row>39</xdr:row>
      <xdr:rowOff>38100</xdr:rowOff>
    </xdr:to>
    <xdr:graphicFrame macro="">
      <xdr:nvGraphicFramePr>
        <xdr:cNvPr id="54278" name="Chart 3">
          <a:extLst>
            <a:ext uri="{FF2B5EF4-FFF2-40B4-BE49-F238E27FC236}">
              <a16:creationId xmlns:a16="http://schemas.microsoft.com/office/drawing/2014/main" id="{9A226768-A2C5-32B7-3F25-7CD3FC1A9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2906" TargetMode="External"/><Relationship Id="rId18" Type="http://schemas.openxmlformats.org/officeDocument/2006/relationships/hyperlink" Target="http://www.konkoly.hu/cgi-bin/IBVS?2906" TargetMode="External"/><Relationship Id="rId26" Type="http://schemas.openxmlformats.org/officeDocument/2006/relationships/hyperlink" Target="http://www.konkoly.hu/cgi-bin/IBVS?3377" TargetMode="External"/><Relationship Id="rId39" Type="http://schemas.openxmlformats.org/officeDocument/2006/relationships/hyperlink" Target="http://www.konkoly.hu/cgi-bin/IBVS?3714" TargetMode="External"/><Relationship Id="rId21" Type="http://schemas.openxmlformats.org/officeDocument/2006/relationships/hyperlink" Target="http://www.konkoly.hu/cgi-bin/IBVS?2906" TargetMode="External"/><Relationship Id="rId34" Type="http://schemas.openxmlformats.org/officeDocument/2006/relationships/hyperlink" Target="http://www.konkoly.hu/cgi-bin/IBVS?3714" TargetMode="External"/><Relationship Id="rId42" Type="http://schemas.openxmlformats.org/officeDocument/2006/relationships/hyperlink" Target="http://www.bav-astro.de/sfs/BAVM_link.php?BAVMnr=152" TargetMode="External"/><Relationship Id="rId47" Type="http://schemas.openxmlformats.org/officeDocument/2006/relationships/hyperlink" Target="http://www.konkoly.hu/cgi-bin/IBVS?5592" TargetMode="External"/><Relationship Id="rId50" Type="http://schemas.openxmlformats.org/officeDocument/2006/relationships/hyperlink" Target="http://var.astro.cz/oejv/issues/oejv0074.pdf" TargetMode="External"/><Relationship Id="rId55" Type="http://schemas.openxmlformats.org/officeDocument/2006/relationships/hyperlink" Target="http://var.astro.cz/oejv/issues/oejv0074.pdf" TargetMode="External"/><Relationship Id="rId63" Type="http://schemas.openxmlformats.org/officeDocument/2006/relationships/hyperlink" Target="http://var.astro.cz/oejv/issues/oejv0107.pdf" TargetMode="External"/><Relationship Id="rId68" Type="http://schemas.openxmlformats.org/officeDocument/2006/relationships/hyperlink" Target="http://www.konkoly.hu/cgi-bin/IBVS?6007" TargetMode="External"/><Relationship Id="rId76" Type="http://schemas.openxmlformats.org/officeDocument/2006/relationships/hyperlink" Target="http://var.astro.cz/oejv/issues/oejv0160.pdf" TargetMode="External"/><Relationship Id="rId84" Type="http://schemas.openxmlformats.org/officeDocument/2006/relationships/hyperlink" Target="http://www.bav-astro.de/sfs/BAVM_link.php?BAVMnr=228" TargetMode="External"/><Relationship Id="rId89" Type="http://schemas.openxmlformats.org/officeDocument/2006/relationships/hyperlink" Target="http://www.bav-astro.de/sfs/BAVM_link.php?BAVMnr=232" TargetMode="External"/><Relationship Id="rId7" Type="http://schemas.openxmlformats.org/officeDocument/2006/relationships/hyperlink" Target="http://www.konkoly.hu/cgi-bin/IBVS?1994" TargetMode="External"/><Relationship Id="rId71" Type="http://schemas.openxmlformats.org/officeDocument/2006/relationships/hyperlink" Target="http://vsolj.cetus-net.org/vsoljno51.pdf" TargetMode="External"/><Relationship Id="rId92" Type="http://schemas.openxmlformats.org/officeDocument/2006/relationships/hyperlink" Target="http://www.konkoly.hu/cgi-bin/IBVS?6114" TargetMode="External"/><Relationship Id="rId2" Type="http://schemas.openxmlformats.org/officeDocument/2006/relationships/hyperlink" Target="http://www.konkoly.hu/cgi-bin/IBVS?1994" TargetMode="External"/><Relationship Id="rId16" Type="http://schemas.openxmlformats.org/officeDocument/2006/relationships/hyperlink" Target="http://www.konkoly.hu/cgi-bin/IBVS?2906" TargetMode="External"/><Relationship Id="rId29" Type="http://schemas.openxmlformats.org/officeDocument/2006/relationships/hyperlink" Target="http://www.konkoly.hu/cgi-bin/IBVS?3377" TargetMode="External"/><Relationship Id="rId11" Type="http://schemas.openxmlformats.org/officeDocument/2006/relationships/hyperlink" Target="http://www.konkoly.hu/cgi-bin/IBVS?1994" TargetMode="External"/><Relationship Id="rId24" Type="http://schemas.openxmlformats.org/officeDocument/2006/relationships/hyperlink" Target="http://www.konkoly.hu/cgi-bin/IBVS?2682" TargetMode="External"/><Relationship Id="rId32" Type="http://schemas.openxmlformats.org/officeDocument/2006/relationships/hyperlink" Target="http://www.konkoly.hu/cgi-bin/IBVS?3538" TargetMode="External"/><Relationship Id="rId37" Type="http://schemas.openxmlformats.org/officeDocument/2006/relationships/hyperlink" Target="http://www.konkoly.hu/cgi-bin/IBVS?3714" TargetMode="External"/><Relationship Id="rId40" Type="http://schemas.openxmlformats.org/officeDocument/2006/relationships/hyperlink" Target="http://www.konkoly.hu/cgi-bin/IBVS?3714" TargetMode="External"/><Relationship Id="rId45" Type="http://schemas.openxmlformats.org/officeDocument/2006/relationships/hyperlink" Target="http://www.konkoly.hu/cgi-bin/IBVS?5694" TargetMode="External"/><Relationship Id="rId53" Type="http://schemas.openxmlformats.org/officeDocument/2006/relationships/hyperlink" Target="http://www.bav-astro.de/sfs/BAVM_link.php?BAVMnr=178" TargetMode="External"/><Relationship Id="rId58" Type="http://schemas.openxmlformats.org/officeDocument/2006/relationships/hyperlink" Target="http://var.astro.cz/oejv/issues/oejv0094.pdf" TargetMode="External"/><Relationship Id="rId66" Type="http://schemas.openxmlformats.org/officeDocument/2006/relationships/hyperlink" Target="http://www.konkoly.hu/cgi-bin/IBVS?5974" TargetMode="External"/><Relationship Id="rId74" Type="http://schemas.openxmlformats.org/officeDocument/2006/relationships/hyperlink" Target="http://var.astro.cz/oejv/issues/oejv0160.pdf" TargetMode="External"/><Relationship Id="rId79" Type="http://schemas.openxmlformats.org/officeDocument/2006/relationships/hyperlink" Target="http://var.astro.cz/oejv/issues/oejv0160.pdf" TargetMode="External"/><Relationship Id="rId87" Type="http://schemas.openxmlformats.org/officeDocument/2006/relationships/hyperlink" Target="http://www.konkoly.hu/cgi-bin/IBVS?6114" TargetMode="External"/><Relationship Id="rId5" Type="http://schemas.openxmlformats.org/officeDocument/2006/relationships/hyperlink" Target="http://www.konkoly.hu/cgi-bin/IBVS?1994" TargetMode="External"/><Relationship Id="rId61" Type="http://schemas.openxmlformats.org/officeDocument/2006/relationships/hyperlink" Target="http://www.konkoly.hu/cgi-bin/IBVS?5938" TargetMode="External"/><Relationship Id="rId82" Type="http://schemas.openxmlformats.org/officeDocument/2006/relationships/hyperlink" Target="http://www.bav-astro.de/sfs/BAVM_link.php?BAVMnr=228" TargetMode="External"/><Relationship Id="rId90" Type="http://schemas.openxmlformats.org/officeDocument/2006/relationships/hyperlink" Target="http://www.konkoly.hu/cgi-bin/IBVS?6114" TargetMode="External"/><Relationship Id="rId19" Type="http://schemas.openxmlformats.org/officeDocument/2006/relationships/hyperlink" Target="http://www.konkoly.hu/cgi-bin/IBVS?2906" TargetMode="External"/><Relationship Id="rId14" Type="http://schemas.openxmlformats.org/officeDocument/2006/relationships/hyperlink" Target="http://www.konkoly.hu/cgi-bin/IBVS?2906" TargetMode="External"/><Relationship Id="rId22" Type="http://schemas.openxmlformats.org/officeDocument/2006/relationships/hyperlink" Target="http://www.konkoly.hu/cgi-bin/IBVS?2906" TargetMode="External"/><Relationship Id="rId27" Type="http://schemas.openxmlformats.org/officeDocument/2006/relationships/hyperlink" Target="http://www.konkoly.hu/cgi-bin/IBVS?3377" TargetMode="External"/><Relationship Id="rId30" Type="http://schemas.openxmlformats.org/officeDocument/2006/relationships/hyperlink" Target="http://www.konkoly.hu/cgi-bin/IBVS?3538" TargetMode="External"/><Relationship Id="rId35" Type="http://schemas.openxmlformats.org/officeDocument/2006/relationships/hyperlink" Target="http://www.konkoly.hu/cgi-bin/IBVS?3714" TargetMode="External"/><Relationship Id="rId43" Type="http://schemas.openxmlformats.org/officeDocument/2006/relationships/hyperlink" Target="http://var.astro.cz/oejv/issues/oejv0074.pdf" TargetMode="External"/><Relationship Id="rId48" Type="http://schemas.openxmlformats.org/officeDocument/2006/relationships/hyperlink" Target="http://www.konkoly.hu/cgi-bin/IBVS?5592" TargetMode="External"/><Relationship Id="rId56" Type="http://schemas.openxmlformats.org/officeDocument/2006/relationships/hyperlink" Target="http://www.konkoly.hu/cgi-bin/IBVS?5820" TargetMode="External"/><Relationship Id="rId64" Type="http://schemas.openxmlformats.org/officeDocument/2006/relationships/hyperlink" Target="http://var.astro.cz/oejv/issues/oejv0107.pdf" TargetMode="External"/><Relationship Id="rId69" Type="http://schemas.openxmlformats.org/officeDocument/2006/relationships/hyperlink" Target="http://www.konkoly.hu/cgi-bin/IBVS?6007" TargetMode="External"/><Relationship Id="rId77" Type="http://schemas.openxmlformats.org/officeDocument/2006/relationships/hyperlink" Target="http://var.astro.cz/oejv/issues/oejv0160.pdf" TargetMode="External"/><Relationship Id="rId8" Type="http://schemas.openxmlformats.org/officeDocument/2006/relationships/hyperlink" Target="http://www.konkoly.hu/cgi-bin/IBVS?1994" TargetMode="External"/><Relationship Id="rId51" Type="http://schemas.openxmlformats.org/officeDocument/2006/relationships/hyperlink" Target="http://var.astro.cz/oejv/issues/oejv0074.pdf" TargetMode="External"/><Relationship Id="rId72" Type="http://schemas.openxmlformats.org/officeDocument/2006/relationships/hyperlink" Target="http://var.astro.cz/oejv/issues/oejv0137.pdf" TargetMode="External"/><Relationship Id="rId80" Type="http://schemas.openxmlformats.org/officeDocument/2006/relationships/hyperlink" Target="http://www.konkoly.hu/cgi-bin/IBVS?6114" TargetMode="External"/><Relationship Id="rId85" Type="http://schemas.openxmlformats.org/officeDocument/2006/relationships/hyperlink" Target="http://www.bav-astro.de/sfs/BAVM_link.php?BAVMnr=233" TargetMode="External"/><Relationship Id="rId93" Type="http://schemas.openxmlformats.org/officeDocument/2006/relationships/hyperlink" Target="http://www.konkoly.hu/cgi-bin/IBVS?6114" TargetMode="External"/><Relationship Id="rId3" Type="http://schemas.openxmlformats.org/officeDocument/2006/relationships/hyperlink" Target="http://www.konkoly.hu/cgi-bin/IBVS?1994" TargetMode="External"/><Relationship Id="rId12" Type="http://schemas.openxmlformats.org/officeDocument/2006/relationships/hyperlink" Target="http://www.konkoly.hu/cgi-bin/IBVS?2906" TargetMode="External"/><Relationship Id="rId17" Type="http://schemas.openxmlformats.org/officeDocument/2006/relationships/hyperlink" Target="http://www.konkoly.hu/cgi-bin/IBVS?2906" TargetMode="External"/><Relationship Id="rId25" Type="http://schemas.openxmlformats.org/officeDocument/2006/relationships/hyperlink" Target="http://www.konkoly.hu/cgi-bin/IBVS?3423" TargetMode="External"/><Relationship Id="rId33" Type="http://schemas.openxmlformats.org/officeDocument/2006/relationships/hyperlink" Target="http://www.konkoly.hu/cgi-bin/IBVS?3538" TargetMode="External"/><Relationship Id="rId38" Type="http://schemas.openxmlformats.org/officeDocument/2006/relationships/hyperlink" Target="http://www.konkoly.hu/cgi-bin/IBVS?3714" TargetMode="External"/><Relationship Id="rId46" Type="http://schemas.openxmlformats.org/officeDocument/2006/relationships/hyperlink" Target="http://www.konkoly.hu/cgi-bin/IBVS?5502" TargetMode="External"/><Relationship Id="rId59" Type="http://schemas.openxmlformats.org/officeDocument/2006/relationships/hyperlink" Target="http://www.bav-astro.de/sfs/BAVM_link.php?BAVMnr=201" TargetMode="External"/><Relationship Id="rId67" Type="http://schemas.openxmlformats.org/officeDocument/2006/relationships/hyperlink" Target="http://var.astro.cz/oejv/issues/oejv0137.pdf" TargetMode="External"/><Relationship Id="rId20" Type="http://schemas.openxmlformats.org/officeDocument/2006/relationships/hyperlink" Target="http://www.konkoly.hu/cgi-bin/IBVS?2906" TargetMode="External"/><Relationship Id="rId41" Type="http://schemas.openxmlformats.org/officeDocument/2006/relationships/hyperlink" Target="http://www.konkoly.hu/cgi-bin/IBVS?3714" TargetMode="External"/><Relationship Id="rId54" Type="http://schemas.openxmlformats.org/officeDocument/2006/relationships/hyperlink" Target="http://www.bav-astro.de/sfs/BAVM_link.php?BAVMnr=178" TargetMode="External"/><Relationship Id="rId62" Type="http://schemas.openxmlformats.org/officeDocument/2006/relationships/hyperlink" Target="http://var.astro.cz/oejv/issues/oejv0107.pdf" TargetMode="External"/><Relationship Id="rId70" Type="http://schemas.openxmlformats.org/officeDocument/2006/relationships/hyperlink" Target="http://vsolj.cetus-net.org/vsoljno51.pdf" TargetMode="External"/><Relationship Id="rId75" Type="http://schemas.openxmlformats.org/officeDocument/2006/relationships/hyperlink" Target="http://var.astro.cz/oejv/issues/oejv0160.pdf" TargetMode="External"/><Relationship Id="rId83" Type="http://schemas.openxmlformats.org/officeDocument/2006/relationships/hyperlink" Target="http://www.bav-astro.de/sfs/BAVM_link.php?BAVMnr=228" TargetMode="External"/><Relationship Id="rId88" Type="http://schemas.openxmlformats.org/officeDocument/2006/relationships/hyperlink" Target="http://www.konkoly.hu/cgi-bin/IBVS?6114" TargetMode="External"/><Relationship Id="rId91" Type="http://schemas.openxmlformats.org/officeDocument/2006/relationships/hyperlink" Target="http://www.konkoly.hu/cgi-bin/IBVS?611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1994" TargetMode="External"/><Relationship Id="rId15" Type="http://schemas.openxmlformats.org/officeDocument/2006/relationships/hyperlink" Target="http://www.konkoly.hu/cgi-bin/IBVS?2906" TargetMode="External"/><Relationship Id="rId23" Type="http://schemas.openxmlformats.org/officeDocument/2006/relationships/hyperlink" Target="http://www.konkoly.hu/cgi-bin/IBVS?2682" TargetMode="External"/><Relationship Id="rId28" Type="http://schemas.openxmlformats.org/officeDocument/2006/relationships/hyperlink" Target="http://www.konkoly.hu/cgi-bin/IBVS?3377" TargetMode="External"/><Relationship Id="rId36" Type="http://schemas.openxmlformats.org/officeDocument/2006/relationships/hyperlink" Target="http://www.konkoly.hu/cgi-bin/IBVS?3714" TargetMode="External"/><Relationship Id="rId49" Type="http://schemas.openxmlformats.org/officeDocument/2006/relationships/hyperlink" Target="http://vsolj.cetus-net.org/no43.pdf" TargetMode="External"/><Relationship Id="rId57" Type="http://schemas.openxmlformats.org/officeDocument/2006/relationships/hyperlink" Target="http://www.bav-astro.de/sfs/BAVM_link.php?BAVMnr=204" TargetMode="External"/><Relationship Id="rId10" Type="http://schemas.openxmlformats.org/officeDocument/2006/relationships/hyperlink" Target="http://www.konkoly.hu/cgi-bin/IBVS?1994" TargetMode="External"/><Relationship Id="rId31" Type="http://schemas.openxmlformats.org/officeDocument/2006/relationships/hyperlink" Target="http://www.konkoly.hu/cgi-bin/IBVS?3538" TargetMode="External"/><Relationship Id="rId44" Type="http://schemas.openxmlformats.org/officeDocument/2006/relationships/hyperlink" Target="http://www.konkoly.hu/cgi-bin/IBVS?5694" TargetMode="External"/><Relationship Id="rId52" Type="http://schemas.openxmlformats.org/officeDocument/2006/relationships/hyperlink" Target="http://vsolj.cetus-net.org/no44.pdf" TargetMode="External"/><Relationship Id="rId60" Type="http://schemas.openxmlformats.org/officeDocument/2006/relationships/hyperlink" Target="http://www.bav-astro.de/sfs/BAVM_link.php?BAVMnr=201" TargetMode="External"/><Relationship Id="rId65" Type="http://schemas.openxmlformats.org/officeDocument/2006/relationships/hyperlink" Target="http://www.konkoly.hu/cgi-bin/IBVS?5929" TargetMode="External"/><Relationship Id="rId73" Type="http://schemas.openxmlformats.org/officeDocument/2006/relationships/hyperlink" Target="http://www.konkoly.hu/cgi-bin/IBVS?6007" TargetMode="External"/><Relationship Id="rId78" Type="http://schemas.openxmlformats.org/officeDocument/2006/relationships/hyperlink" Target="http://var.astro.cz/oejv/issues/oejv0160.pdf" TargetMode="External"/><Relationship Id="rId81" Type="http://schemas.openxmlformats.org/officeDocument/2006/relationships/hyperlink" Target="http://www.bav-astro.de/sfs/BAVM_link.php?BAVMnr=228" TargetMode="External"/><Relationship Id="rId86" Type="http://schemas.openxmlformats.org/officeDocument/2006/relationships/hyperlink" Target="http://www.bav-astro.de/sfs/BAVM_link.php?BAVMnr=231" TargetMode="External"/><Relationship Id="rId4" Type="http://schemas.openxmlformats.org/officeDocument/2006/relationships/hyperlink" Target="http://www.konkoly.hu/cgi-bin/IBVS?1994" TargetMode="External"/><Relationship Id="rId9" Type="http://schemas.openxmlformats.org/officeDocument/2006/relationships/hyperlink" Target="http://www.konkoly.hu/cgi-bin/IBVS?1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D792"/>
  <sheetViews>
    <sheetView tabSelected="1" workbookViewId="0">
      <pane xSplit="13" ySplit="21" topLeftCell="N182" activePane="bottomRight" state="frozen"/>
      <selection pane="topRight" activeCell="N1" sqref="N1"/>
      <selection pane="bottomLeft" activeCell="A22" sqref="A22"/>
      <selection pane="bottomRight" activeCell="E7" sqref="E7"/>
    </sheetView>
  </sheetViews>
  <sheetFormatPr defaultColWidth="10.28515625" defaultRowHeight="12.75" x14ac:dyDescent="0.2"/>
  <cols>
    <col min="1" max="1" width="19.42578125" customWidth="1"/>
    <col min="2" max="2" width="4.42578125" customWidth="1"/>
    <col min="3" max="3" width="13.140625" style="99" customWidth="1"/>
    <col min="4" max="4" width="10.7109375" style="99" customWidth="1"/>
    <col min="5" max="5" width="9.140625" style="11" customWidth="1"/>
    <col min="6" max="6" width="17.28515625" customWidth="1"/>
    <col min="7" max="7" width="8.140625" style="12" customWidth="1"/>
    <col min="8" max="11" width="8.5703125" style="12" customWidth="1"/>
    <col min="12" max="12" width="13.140625" style="12" bestFit="1" customWidth="1"/>
    <col min="13" max="14" width="8.5703125" style="12" customWidth="1"/>
    <col min="15" max="15" width="8" style="107" customWidth="1"/>
    <col min="16" max="16" width="10.5703125" style="12" customWidth="1"/>
    <col min="17" max="17" width="10.140625" style="10" bestFit="1" customWidth="1"/>
    <col min="18" max="18" width="10.28515625" customWidth="1"/>
    <col min="19" max="19" width="9.140625" customWidth="1"/>
  </cols>
  <sheetData>
    <row r="1" spans="1:17" ht="20.25" x14ac:dyDescent="0.3">
      <c r="A1" s="1" t="s">
        <v>189</v>
      </c>
      <c r="E1"/>
      <c r="G1"/>
      <c r="H1"/>
      <c r="I1"/>
      <c r="J1"/>
      <c r="K1"/>
      <c r="L1"/>
      <c r="M1"/>
      <c r="N1"/>
      <c r="O1" s="104"/>
      <c r="P1"/>
      <c r="Q1"/>
    </row>
    <row r="2" spans="1:17" x14ac:dyDescent="0.2">
      <c r="A2" t="s">
        <v>42</v>
      </c>
      <c r="B2" t="s">
        <v>57</v>
      </c>
      <c r="E2"/>
      <c r="G2"/>
      <c r="H2"/>
      <c r="I2"/>
      <c r="J2"/>
      <c r="K2"/>
      <c r="L2"/>
      <c r="M2"/>
      <c r="N2"/>
      <c r="O2" s="104"/>
      <c r="P2"/>
      <c r="Q2"/>
    </row>
    <row r="3" spans="1:17" ht="13.5" thickBot="1" x14ac:dyDescent="0.25">
      <c r="A3" s="13" t="s">
        <v>56</v>
      </c>
      <c r="E3"/>
      <c r="G3"/>
      <c r="H3"/>
      <c r="I3"/>
      <c r="J3"/>
      <c r="K3"/>
      <c r="L3"/>
      <c r="M3"/>
      <c r="N3"/>
      <c r="O3" s="104"/>
      <c r="P3"/>
      <c r="Q3"/>
    </row>
    <row r="4" spans="1:17" ht="14.25" thickTop="1" thickBot="1" x14ac:dyDescent="0.25">
      <c r="A4" s="7" t="s">
        <v>18</v>
      </c>
      <c r="C4" s="141">
        <v>44474.326999999997</v>
      </c>
      <c r="D4" s="142">
        <v>0.35006710000000002</v>
      </c>
      <c r="E4"/>
      <c r="G4"/>
      <c r="H4"/>
      <c r="I4"/>
      <c r="J4"/>
      <c r="K4"/>
      <c r="L4"/>
      <c r="M4"/>
      <c r="N4"/>
      <c r="O4" s="104"/>
      <c r="P4"/>
      <c r="Q4"/>
    </row>
    <row r="5" spans="1:17" ht="13.5" thickTop="1" x14ac:dyDescent="0.2">
      <c r="A5" s="81" t="s">
        <v>176</v>
      </c>
      <c r="B5" s="45"/>
      <c r="C5" s="164">
        <v>-9.5</v>
      </c>
      <c r="D5" s="143" t="s">
        <v>177</v>
      </c>
      <c r="E5"/>
      <c r="G5"/>
      <c r="H5"/>
      <c r="I5"/>
      <c r="J5"/>
      <c r="K5"/>
      <c r="L5"/>
      <c r="M5"/>
      <c r="N5"/>
      <c r="O5" s="104"/>
      <c r="P5"/>
      <c r="Q5"/>
    </row>
    <row r="6" spans="1:17" x14ac:dyDescent="0.2">
      <c r="A6" s="7" t="s">
        <v>19</v>
      </c>
      <c r="E6"/>
      <c r="G6"/>
      <c r="H6"/>
      <c r="I6"/>
      <c r="J6"/>
      <c r="K6"/>
      <c r="L6"/>
      <c r="M6"/>
      <c r="N6"/>
      <c r="O6" s="104"/>
      <c r="P6"/>
      <c r="Q6"/>
    </row>
    <row r="7" spans="1:17" x14ac:dyDescent="0.2">
      <c r="A7" t="s">
        <v>20</v>
      </c>
      <c r="C7" s="99">
        <v>53099.275699999998</v>
      </c>
      <c r="E7"/>
      <c r="G7"/>
      <c r="H7"/>
      <c r="I7"/>
      <c r="J7"/>
      <c r="K7"/>
      <c r="L7"/>
      <c r="M7"/>
      <c r="N7"/>
      <c r="O7" s="104"/>
      <c r="P7"/>
      <c r="Q7"/>
    </row>
    <row r="8" spans="1:17" x14ac:dyDescent="0.2">
      <c r="A8" t="s">
        <v>21</v>
      </c>
      <c r="C8" s="99">
        <v>0.350067933</v>
      </c>
      <c r="E8"/>
      <c r="G8"/>
      <c r="H8"/>
      <c r="I8"/>
      <c r="J8"/>
      <c r="K8"/>
      <c r="L8"/>
      <c r="M8"/>
      <c r="N8"/>
      <c r="O8" s="104"/>
      <c r="P8"/>
      <c r="Q8"/>
    </row>
    <row r="9" spans="1:17" x14ac:dyDescent="0.2">
      <c r="A9" s="22" t="s">
        <v>93</v>
      </c>
      <c r="B9" s="163">
        <v>150</v>
      </c>
      <c r="C9" s="144" t="str">
        <f>"F"&amp;B9</f>
        <v>F150</v>
      </c>
      <c r="D9" s="22" t="str">
        <f>"G"&amp;B9</f>
        <v>G150</v>
      </c>
      <c r="G9"/>
      <c r="H9"/>
      <c r="I9"/>
      <c r="J9"/>
      <c r="K9"/>
      <c r="L9"/>
      <c r="M9"/>
      <c r="N9"/>
      <c r="O9" s="104"/>
      <c r="P9"/>
      <c r="Q9"/>
    </row>
    <row r="10" spans="1:17" ht="13.5" thickBot="1" x14ac:dyDescent="0.25">
      <c r="C10" s="145" t="s">
        <v>37</v>
      </c>
      <c r="D10" s="145" t="s">
        <v>38</v>
      </c>
      <c r="E10"/>
      <c r="G10"/>
      <c r="H10"/>
      <c r="I10"/>
      <c r="J10"/>
      <c r="K10"/>
      <c r="L10"/>
      <c r="M10"/>
      <c r="N10"/>
      <c r="O10" s="104"/>
      <c r="P10"/>
      <c r="Q10"/>
    </row>
    <row r="11" spans="1:17" x14ac:dyDescent="0.2">
      <c r="A11" t="s">
        <v>33</v>
      </c>
      <c r="C11" s="111">
        <f ca="1">INTERCEPT(INDIRECT(D9):G997,INDIRECT(C9):$F997)</f>
        <v>-8.0913669265560498E-3</v>
      </c>
      <c r="D11" s="99">
        <f>+E11*F11</f>
        <v>9.9828774803961773E-8</v>
      </c>
      <c r="E11" s="14">
        <v>0.99828774803961773</v>
      </c>
      <c r="F11">
        <v>9.9999999999999995E-8</v>
      </c>
      <c r="G11"/>
      <c r="H11"/>
      <c r="I11"/>
      <c r="J11"/>
      <c r="K11"/>
      <c r="L11"/>
      <c r="M11"/>
      <c r="N11"/>
      <c r="O11" s="104"/>
      <c r="P11"/>
      <c r="Q11"/>
    </row>
    <row r="12" spans="1:17" x14ac:dyDescent="0.2">
      <c r="A12" t="s">
        <v>34</v>
      </c>
      <c r="C12" s="111">
        <f ca="1">SLOPE(INDIRECT(D9):G997,INDIRECT(C9):$F997)</f>
        <v>6.5601336498362266E-7</v>
      </c>
      <c r="D12" s="99">
        <f>+E12*F12</f>
        <v>-3.8448925849729715E-7</v>
      </c>
      <c r="E12" s="15">
        <v>-3.8448925849729716</v>
      </c>
      <c r="F12">
        <v>9.9999999999999995E-8</v>
      </c>
      <c r="G12"/>
      <c r="H12"/>
      <c r="I12"/>
      <c r="J12"/>
      <c r="K12"/>
      <c r="L12"/>
      <c r="M12"/>
      <c r="N12"/>
      <c r="O12" s="104"/>
      <c r="P12"/>
      <c r="Q12"/>
    </row>
    <row r="13" spans="1:17" ht="13.5" thickBot="1" x14ac:dyDescent="0.25">
      <c r="A13" t="s">
        <v>36</v>
      </c>
      <c r="C13" s="99" t="s">
        <v>31</v>
      </c>
      <c r="D13" s="99">
        <f>+E13*F13</f>
        <v>1.7655449770850178E-11</v>
      </c>
      <c r="E13" s="16">
        <v>0.17655449770850176</v>
      </c>
      <c r="F13">
        <v>1E-10</v>
      </c>
      <c r="G13"/>
      <c r="H13"/>
      <c r="I13"/>
      <c r="J13"/>
      <c r="K13"/>
      <c r="L13"/>
      <c r="M13"/>
      <c r="N13"/>
      <c r="O13" s="104"/>
      <c r="P13"/>
      <c r="Q13"/>
    </row>
    <row r="14" spans="1:17" x14ac:dyDescent="0.2">
      <c r="A14" t="s">
        <v>41</v>
      </c>
      <c r="E14">
        <f>SUM(T21:T901)</f>
        <v>3.789614442497492E-3</v>
      </c>
      <c r="G14"/>
      <c r="H14"/>
      <c r="I14"/>
      <c r="J14"/>
      <c r="K14"/>
      <c r="L14"/>
      <c r="M14"/>
      <c r="N14"/>
      <c r="O14" s="104"/>
      <c r="P14"/>
      <c r="Q14"/>
    </row>
    <row r="15" spans="1:17" x14ac:dyDescent="0.2">
      <c r="A15" s="4" t="s">
        <v>35</v>
      </c>
      <c r="C15" s="146">
        <f ca="1">(C7+C11)+(C8+C12)*INT(MAX(F21:F3524))</f>
        <v>60125.494258720319</v>
      </c>
      <c r="D15" s="146">
        <f>+C7+INT(MAX(F21:F1579))*C8+D11+D12*INT(MAX(F21:F4014))+D13*INT(MAX(F21:F4041)^2)</f>
        <v>60125.488578669305</v>
      </c>
      <c r="E15" s="83" t="s">
        <v>178</v>
      </c>
      <c r="F15" s="82">
        <v>1</v>
      </c>
      <c r="G15"/>
      <c r="H15"/>
      <c r="I15"/>
      <c r="J15"/>
      <c r="K15"/>
      <c r="L15"/>
      <c r="M15"/>
      <c r="N15"/>
      <c r="O15" s="104"/>
      <c r="P15"/>
      <c r="Q15"/>
    </row>
    <row r="16" spans="1:17" x14ac:dyDescent="0.2">
      <c r="A16" s="7" t="s">
        <v>22</v>
      </c>
      <c r="C16" s="147">
        <f ca="1">+C8+C12</f>
        <v>0.35006858901336496</v>
      </c>
      <c r="D16" s="146">
        <f>+C8+D12+2*D13*F95</f>
        <v>0.35006700112117684</v>
      </c>
      <c r="E16" s="83" t="s">
        <v>179</v>
      </c>
      <c r="F16" s="84">
        <f ca="1">NOW()+15018.5+$C$5/24</f>
        <v>60309.757134374995</v>
      </c>
      <c r="G16"/>
      <c r="H16"/>
      <c r="I16"/>
      <c r="J16"/>
      <c r="K16"/>
      <c r="L16"/>
      <c r="M16"/>
      <c r="N16"/>
      <c r="O16" s="104"/>
      <c r="P16"/>
      <c r="Q16"/>
    </row>
    <row r="17" spans="1:22" ht="13.5" thickBot="1" x14ac:dyDescent="0.25">
      <c r="A17" s="23" t="s">
        <v>88</v>
      </c>
      <c r="C17" s="167">
        <f>COUNT(C21:C2182)</f>
        <v>184</v>
      </c>
      <c r="E17" s="83" t="s">
        <v>180</v>
      </c>
      <c r="F17" s="84">
        <f ca="1">ROUND(2*(F16-$C$7)/$C$8,0)/2+F15</f>
        <v>20598.5</v>
      </c>
      <c r="G17"/>
      <c r="H17"/>
      <c r="I17"/>
      <c r="J17"/>
      <c r="K17"/>
      <c r="L17"/>
      <c r="M17"/>
      <c r="N17"/>
      <c r="O17" s="104"/>
      <c r="P17"/>
      <c r="Q17"/>
    </row>
    <row r="18" spans="1:22" ht="14.25" thickTop="1" thickBot="1" x14ac:dyDescent="0.25">
      <c r="A18" s="7" t="s">
        <v>183</v>
      </c>
      <c r="C18" s="148">
        <f ca="1">+C15</f>
        <v>60125.494258720319</v>
      </c>
      <c r="D18" s="149">
        <f ca="1">C16</f>
        <v>0.35006858901336496</v>
      </c>
      <c r="E18" s="83" t="s">
        <v>181</v>
      </c>
      <c r="F18" s="19">
        <f ca="1">ROUND(2*(F16-$C$15)/$C$16,0)/2+F15</f>
        <v>527.5</v>
      </c>
      <c r="G18"/>
      <c r="H18"/>
      <c r="I18"/>
      <c r="J18"/>
      <c r="K18"/>
      <c r="L18"/>
      <c r="M18"/>
      <c r="N18"/>
      <c r="O18" s="104"/>
      <c r="P18"/>
      <c r="Q18"/>
    </row>
    <row r="19" spans="1:22" ht="13.5" thickBot="1" x14ac:dyDescent="0.25">
      <c r="A19" s="7" t="s">
        <v>184</v>
      </c>
      <c r="B19">
        <f>COUNT(C21:C4730)</f>
        <v>184</v>
      </c>
      <c r="C19" s="150">
        <f>+D15</f>
        <v>60125.488578669305</v>
      </c>
      <c r="D19" s="151">
        <f>+D16</f>
        <v>0.35006700112117684</v>
      </c>
      <c r="E19" s="83" t="s">
        <v>182</v>
      </c>
      <c r="F19" s="85">
        <f ca="1">+$C$15+$C$16*F18-15018.5-$C$5/24</f>
        <v>45292.051272758203</v>
      </c>
      <c r="G19"/>
      <c r="H19"/>
      <c r="I19"/>
      <c r="J19"/>
      <c r="K19"/>
      <c r="L19"/>
      <c r="M19"/>
      <c r="N19"/>
      <c r="O19" s="104"/>
      <c r="P19"/>
      <c r="Q19"/>
    </row>
    <row r="20" spans="1:22" ht="15" thickBot="1" x14ac:dyDescent="0.25">
      <c r="A20" s="6" t="s">
        <v>23</v>
      </c>
      <c r="B20" s="6" t="s">
        <v>24</v>
      </c>
      <c r="C20" s="6" t="s">
        <v>25</v>
      </c>
      <c r="D20" s="145" t="s">
        <v>30</v>
      </c>
      <c r="E20" s="6" t="s">
        <v>26</v>
      </c>
      <c r="F20" s="6" t="s">
        <v>27</v>
      </c>
      <c r="G20" s="6" t="s">
        <v>28</v>
      </c>
      <c r="H20" s="9" t="s">
        <v>293</v>
      </c>
      <c r="I20" s="9" t="s">
        <v>96</v>
      </c>
      <c r="J20" s="9" t="s">
        <v>294</v>
      </c>
      <c r="K20" s="9" t="s">
        <v>245</v>
      </c>
      <c r="L20" s="9" t="s">
        <v>295</v>
      </c>
      <c r="M20" s="9" t="s">
        <v>296</v>
      </c>
      <c r="N20" s="9" t="s">
        <v>90</v>
      </c>
      <c r="O20" s="105" t="s">
        <v>40</v>
      </c>
      <c r="P20" s="8" t="s">
        <v>39</v>
      </c>
      <c r="Q20" s="6" t="s">
        <v>32</v>
      </c>
      <c r="R20" s="8" t="s">
        <v>196</v>
      </c>
      <c r="S20" s="8" t="s">
        <v>198</v>
      </c>
      <c r="T20" s="8" t="s">
        <v>197</v>
      </c>
      <c r="U20" t="s">
        <v>298</v>
      </c>
      <c r="V20" s="95" t="s">
        <v>102</v>
      </c>
    </row>
    <row r="21" spans="1:22" s="24" customFormat="1" x14ac:dyDescent="0.2">
      <c r="A21" s="24" t="s">
        <v>191</v>
      </c>
      <c r="B21" s="29" t="s">
        <v>48</v>
      </c>
      <c r="C21" s="25">
        <v>38882.885699999999</v>
      </c>
      <c r="D21" s="25" t="s">
        <v>190</v>
      </c>
      <c r="E21" s="26">
        <f t="shared" ref="E21:E52" si="0">+(C21-C$7)/C$8</f>
        <v>-40610.374901148112</v>
      </c>
      <c r="F21" s="24">
        <f t="shared" ref="F21:F52" si="1">ROUND(2*E21,0)/2</f>
        <v>-40610.5</v>
      </c>
      <c r="G21" s="27">
        <f t="shared" ref="G21:G52" si="2">+C21-(C$7+F21*C$8)</f>
        <v>4.3793096498120576E-2</v>
      </c>
      <c r="H21" s="27"/>
      <c r="I21" s="27"/>
      <c r="J21" s="27">
        <f>+G21</f>
        <v>4.3793096498120576E-2</v>
      </c>
      <c r="K21" s="27"/>
      <c r="L21" s="27"/>
      <c r="M21" s="27"/>
      <c r="N21" s="27"/>
      <c r="O21" s="27"/>
      <c r="P21" s="27">
        <f t="shared" ref="P21:P52" si="3">+D$11+D$12*F21+D$13*F21^2</f>
        <v>4.4731993028245855E-2</v>
      </c>
      <c r="Q21" s="28">
        <f t="shared" ref="Q21:Q52" si="4">+C21-15018.5</f>
        <v>23864.385699999999</v>
      </c>
      <c r="R21" s="24">
        <f t="shared" ref="R21:R52" si="5">+(P21-G21)^2</f>
        <v>8.8152669428128811E-7</v>
      </c>
      <c r="S21" s="24">
        <v>1</v>
      </c>
      <c r="T21" s="24">
        <f t="shared" ref="T21:T52" si="6">+S21*R21</f>
        <v>8.8152669428128811E-7</v>
      </c>
      <c r="U21" s="27">
        <f t="shared" ref="U21:U52" si="7">+G21-P21</f>
        <v>-9.3889653012527857E-4</v>
      </c>
    </row>
    <row r="22" spans="1:22" s="24" customFormat="1" x14ac:dyDescent="0.2">
      <c r="A22" s="24" t="s">
        <v>191</v>
      </c>
      <c r="B22" s="29" t="s">
        <v>53</v>
      </c>
      <c r="C22" s="25">
        <v>38883.760399999999</v>
      </c>
      <c r="D22" s="25" t="s">
        <v>190</v>
      </c>
      <c r="E22" s="26">
        <f t="shared" si="0"/>
        <v>-40607.87624326619</v>
      </c>
      <c r="F22" s="24">
        <f t="shared" si="1"/>
        <v>-40608</v>
      </c>
      <c r="G22" s="27">
        <f t="shared" si="2"/>
        <v>4.3323263998900075E-2</v>
      </c>
      <c r="H22" s="27"/>
      <c r="I22" s="27"/>
      <c r="J22" s="27">
        <f>+G22</f>
        <v>4.3323263998900075E-2</v>
      </c>
      <c r="K22" s="27"/>
      <c r="L22" s="27"/>
      <c r="M22" s="27"/>
      <c r="N22" s="27"/>
      <c r="O22" s="27"/>
      <c r="P22" s="27">
        <f t="shared" si="3"/>
        <v>4.4727446932231574E-2</v>
      </c>
      <c r="Q22" s="28">
        <f t="shared" si="4"/>
        <v>23865.260399999999</v>
      </c>
      <c r="R22" s="24">
        <f t="shared" si="5"/>
        <v>1.9717297102594535E-6</v>
      </c>
      <c r="S22" s="24">
        <v>1</v>
      </c>
      <c r="T22" s="24">
        <f t="shared" si="6"/>
        <v>1.9717297102594535E-6</v>
      </c>
      <c r="U22" s="27">
        <f t="shared" si="7"/>
        <v>-1.4041829333314992E-3</v>
      </c>
    </row>
    <row r="23" spans="1:22" s="24" customFormat="1" x14ac:dyDescent="0.2">
      <c r="A23" s="24" t="s">
        <v>191</v>
      </c>
      <c r="B23" s="29" t="s">
        <v>53</v>
      </c>
      <c r="C23" s="25">
        <v>38884.810400000002</v>
      </c>
      <c r="D23" s="25" t="s">
        <v>190</v>
      </c>
      <c r="E23" s="26">
        <f t="shared" si="0"/>
        <v>-40604.87682543604</v>
      </c>
      <c r="F23" s="24">
        <f t="shared" si="1"/>
        <v>-40605</v>
      </c>
      <c r="G23" s="27">
        <f t="shared" si="2"/>
        <v>4.3119465000927448E-2</v>
      </c>
      <c r="H23" s="27"/>
      <c r="I23" s="27"/>
      <c r="J23" s="27">
        <f>+G23</f>
        <v>4.3119465000927448E-2</v>
      </c>
      <c r="K23" s="27"/>
      <c r="L23" s="27"/>
      <c r="M23" s="27"/>
      <c r="N23" s="27"/>
      <c r="O23" s="27"/>
      <c r="P23" s="27">
        <f t="shared" si="3"/>
        <v>4.4721991908329359E-2</v>
      </c>
      <c r="Q23" s="28">
        <f t="shared" si="4"/>
        <v>23866.310400000002</v>
      </c>
      <c r="R23" s="24">
        <f t="shared" si="5"/>
        <v>2.5680924889471314E-6</v>
      </c>
      <c r="S23" s="24">
        <v>1</v>
      </c>
      <c r="T23" s="24">
        <f t="shared" si="6"/>
        <v>2.5680924889471314E-6</v>
      </c>
      <c r="U23" s="27">
        <f t="shared" si="7"/>
        <v>-1.6025269074019105E-3</v>
      </c>
    </row>
    <row r="24" spans="1:22" s="24" customFormat="1" x14ac:dyDescent="0.2">
      <c r="A24" s="24" t="s">
        <v>191</v>
      </c>
      <c r="B24" s="29" t="s">
        <v>48</v>
      </c>
      <c r="C24" s="25">
        <v>38941.696900000003</v>
      </c>
      <c r="D24" s="25" t="s">
        <v>190</v>
      </c>
      <c r="E24" s="26">
        <f t="shared" si="0"/>
        <v>-40442.375508870151</v>
      </c>
      <c r="F24" s="24">
        <f t="shared" si="1"/>
        <v>-40442.5</v>
      </c>
      <c r="G24" s="27">
        <f t="shared" si="2"/>
        <v>4.3580352503340691E-2</v>
      </c>
      <c r="H24" s="27"/>
      <c r="I24" s="27"/>
      <c r="J24" s="27">
        <f>+G24</f>
        <v>4.3580352503340691E-2</v>
      </c>
      <c r="K24" s="27"/>
      <c r="L24" s="27"/>
      <c r="M24" s="27"/>
      <c r="N24" s="27"/>
      <c r="O24" s="27"/>
      <c r="P24" s="27">
        <f t="shared" si="3"/>
        <v>4.4426986268211816E-2</v>
      </c>
      <c r="Q24" s="28">
        <f t="shared" si="4"/>
        <v>23923.196900000003</v>
      </c>
      <c r="R24" s="24">
        <f t="shared" si="5"/>
        <v>7.1678873181985394E-7</v>
      </c>
      <c r="S24" s="24">
        <v>1</v>
      </c>
      <c r="T24" s="24">
        <f t="shared" si="6"/>
        <v>7.1678873181985394E-7</v>
      </c>
      <c r="U24" s="27">
        <f t="shared" si="7"/>
        <v>-8.4663376487112418E-4</v>
      </c>
      <c r="V24" s="96"/>
    </row>
    <row r="25" spans="1:22" s="24" customFormat="1" x14ac:dyDescent="0.2">
      <c r="A25" s="24" t="s">
        <v>61</v>
      </c>
      <c r="C25" s="25">
        <v>40362.788500000002</v>
      </c>
      <c r="D25" s="25"/>
      <c r="E25" s="26">
        <f t="shared" si="0"/>
        <v>-36382.90171525078</v>
      </c>
      <c r="F25" s="24">
        <f t="shared" si="1"/>
        <v>-36383</v>
      </c>
      <c r="G25" s="27">
        <f t="shared" si="2"/>
        <v>3.4406339000270236E-2</v>
      </c>
      <c r="H25" s="27"/>
      <c r="I25" s="27"/>
      <c r="J25" s="27">
        <f>G25</f>
        <v>3.4406339000270236E-2</v>
      </c>
      <c r="K25" s="27"/>
      <c r="L25" s="27"/>
      <c r="M25" s="27"/>
      <c r="N25" s="27"/>
      <c r="O25" s="27"/>
      <c r="P25" s="27">
        <f t="shared" si="3"/>
        <v>3.7359891966856199E-2</v>
      </c>
      <c r="Q25" s="28">
        <f t="shared" si="4"/>
        <v>25344.288500000002</v>
      </c>
      <c r="R25" s="24">
        <f t="shared" si="5"/>
        <v>8.7234751264287378E-6</v>
      </c>
      <c r="S25" s="24">
        <v>1</v>
      </c>
      <c r="T25" s="24">
        <f t="shared" si="6"/>
        <v>8.7234751264287378E-6</v>
      </c>
      <c r="U25" s="27">
        <f t="shared" si="7"/>
        <v>-2.9535529665859622E-3</v>
      </c>
      <c r="V25" s="96"/>
    </row>
    <row r="26" spans="1:22" s="24" customFormat="1" x14ac:dyDescent="0.2">
      <c r="A26" s="24" t="s">
        <v>62</v>
      </c>
      <c r="B26" s="29"/>
      <c r="C26" s="25">
        <v>42470.893100000001</v>
      </c>
      <c r="D26" s="25"/>
      <c r="E26" s="26">
        <f t="shared" si="0"/>
        <v>-30360.914548548488</v>
      </c>
      <c r="F26" s="24">
        <f t="shared" si="1"/>
        <v>-30361</v>
      </c>
      <c r="G26" s="27">
        <f t="shared" si="2"/>
        <v>2.9913813006714918E-2</v>
      </c>
      <c r="H26" s="27"/>
      <c r="I26" s="27"/>
      <c r="J26" s="27"/>
      <c r="K26" s="27">
        <f>G26</f>
        <v>2.9913813006714918E-2</v>
      </c>
      <c r="L26" s="27"/>
      <c r="M26" s="27"/>
      <c r="N26" s="27"/>
      <c r="O26" s="27"/>
      <c r="P26" s="27">
        <f t="shared" si="3"/>
        <v>2.7948200917682606E-2</v>
      </c>
      <c r="Q26" s="28">
        <f t="shared" si="4"/>
        <v>27452.393100000001</v>
      </c>
      <c r="R26" s="24">
        <f t="shared" si="5"/>
        <v>3.863630884549967E-6</v>
      </c>
      <c r="S26" s="24">
        <v>1</v>
      </c>
      <c r="T26" s="24">
        <f t="shared" si="6"/>
        <v>3.863630884549967E-6</v>
      </c>
      <c r="U26" s="27">
        <f t="shared" si="7"/>
        <v>1.9656120890323113E-3</v>
      </c>
      <c r="V26" s="96"/>
    </row>
    <row r="27" spans="1:22" s="24" customFormat="1" x14ac:dyDescent="0.2">
      <c r="A27" s="24" t="s">
        <v>62</v>
      </c>
      <c r="B27" s="29"/>
      <c r="C27" s="25">
        <v>42471.943200000002</v>
      </c>
      <c r="D27" s="25"/>
      <c r="E27" s="26">
        <f t="shared" si="0"/>
        <v>-30357.914845059506</v>
      </c>
      <c r="F27" s="24">
        <f t="shared" si="1"/>
        <v>-30358</v>
      </c>
      <c r="G27" s="27">
        <f t="shared" si="2"/>
        <v>2.9810013998940121E-2</v>
      </c>
      <c r="H27" s="27"/>
      <c r="I27" s="27"/>
      <c r="J27" s="27">
        <f>G27</f>
        <v>2.9810013998940121E-2</v>
      </c>
      <c r="K27" s="12"/>
      <c r="L27" s="27"/>
      <c r="M27" s="27"/>
      <c r="N27" s="27"/>
      <c r="O27" s="27"/>
      <c r="P27" s="27">
        <f t="shared" si="3"/>
        <v>2.7943831386143203E-2</v>
      </c>
      <c r="Q27" s="28">
        <f t="shared" si="4"/>
        <v>27453.443200000002</v>
      </c>
      <c r="R27" s="24">
        <f t="shared" si="5"/>
        <v>3.482637544305533E-6</v>
      </c>
      <c r="S27" s="24">
        <v>1</v>
      </c>
      <c r="T27" s="24">
        <f t="shared" si="6"/>
        <v>3.482637544305533E-6</v>
      </c>
      <c r="U27" s="27">
        <f t="shared" si="7"/>
        <v>1.8661826127969183E-3</v>
      </c>
      <c r="V27" s="96"/>
    </row>
    <row r="28" spans="1:22" s="24" customFormat="1" x14ac:dyDescent="0.2">
      <c r="A28" s="24" t="s">
        <v>62</v>
      </c>
      <c r="B28" s="29"/>
      <c r="C28" s="25">
        <v>42472.992299999998</v>
      </c>
      <c r="D28" s="25"/>
      <c r="E28" s="26">
        <f t="shared" si="0"/>
        <v>-30354.917998158948</v>
      </c>
      <c r="F28" s="24">
        <f t="shared" si="1"/>
        <v>-30355</v>
      </c>
      <c r="G28" s="27">
        <f t="shared" si="2"/>
        <v>2.8706215001875535E-2</v>
      </c>
      <c r="H28" s="27"/>
      <c r="I28" s="27"/>
      <c r="J28" s="27">
        <f>G28</f>
        <v>2.8706215001875535E-2</v>
      </c>
      <c r="K28" s="12"/>
      <c r="L28" s="27"/>
      <c r="M28" s="27"/>
      <c r="N28" s="27"/>
      <c r="O28" s="27"/>
      <c r="P28" s="27">
        <f t="shared" si="3"/>
        <v>2.79394621724019E-2</v>
      </c>
      <c r="Q28" s="28">
        <f t="shared" si="4"/>
        <v>27454.492299999998</v>
      </c>
      <c r="R28" s="24">
        <f t="shared" si="5"/>
        <v>5.8790990150582461E-7</v>
      </c>
      <c r="S28" s="24">
        <v>1</v>
      </c>
      <c r="T28" s="24">
        <f t="shared" si="6"/>
        <v>5.8790990150582461E-7</v>
      </c>
      <c r="U28" s="27">
        <f t="shared" si="7"/>
        <v>7.6675282947363463E-4</v>
      </c>
      <c r="V28" s="96"/>
    </row>
    <row r="29" spans="1:22" s="24" customFormat="1" x14ac:dyDescent="0.2">
      <c r="A29" s="24" t="s">
        <v>63</v>
      </c>
      <c r="B29" s="29"/>
      <c r="C29" s="25">
        <v>42858.243699999999</v>
      </c>
      <c r="D29" s="25"/>
      <c r="E29" s="26">
        <f t="shared" si="0"/>
        <v>-29254.413314115234</v>
      </c>
      <c r="F29" s="24">
        <f t="shared" si="1"/>
        <v>-29254.5</v>
      </c>
      <c r="G29" s="27">
        <f t="shared" si="2"/>
        <v>3.0345948500325903E-2</v>
      </c>
      <c r="H29" s="27"/>
      <c r="I29" s="27">
        <f t="shared" ref="I29:I43" si="8">G29</f>
        <v>3.0345948500325903E-2</v>
      </c>
      <c r="J29" s="27"/>
      <c r="K29" s="27"/>
      <c r="L29" s="27"/>
      <c r="M29" s="27"/>
      <c r="N29" s="27"/>
      <c r="O29" s="27"/>
      <c r="P29" s="27">
        <f t="shared" si="3"/>
        <v>2.6358129740732025E-2</v>
      </c>
      <c r="Q29" s="28">
        <f t="shared" si="4"/>
        <v>27839.743699999999</v>
      </c>
      <c r="R29" s="24">
        <f t="shared" si="5"/>
        <v>1.5902698459368855E-5</v>
      </c>
      <c r="S29" s="24">
        <v>0.1</v>
      </c>
      <c r="T29" s="24">
        <f t="shared" si="6"/>
        <v>1.5902698459368856E-6</v>
      </c>
      <c r="U29" s="27">
        <f t="shared" si="7"/>
        <v>3.987818759593878E-3</v>
      </c>
      <c r="V29" s="96"/>
    </row>
    <row r="30" spans="1:22" s="24" customFormat="1" x14ac:dyDescent="0.2">
      <c r="A30" s="24" t="s">
        <v>64</v>
      </c>
      <c r="B30" s="29"/>
      <c r="C30" s="25">
        <v>42878.372000000003</v>
      </c>
      <c r="D30" s="25"/>
      <c r="E30" s="26">
        <f t="shared" si="0"/>
        <v>-29196.915045629146</v>
      </c>
      <c r="F30" s="24">
        <f t="shared" si="1"/>
        <v>-29197</v>
      </c>
      <c r="G30" s="27">
        <f t="shared" si="2"/>
        <v>2.9739801000687294E-2</v>
      </c>
      <c r="H30" s="27"/>
      <c r="I30" s="27">
        <f t="shared" si="8"/>
        <v>2.9739801000687294E-2</v>
      </c>
      <c r="J30" s="27"/>
      <c r="K30" s="27"/>
      <c r="L30" s="27"/>
      <c r="M30" s="27"/>
      <c r="N30" s="27"/>
      <c r="O30" s="27"/>
      <c r="P30" s="27">
        <f t="shared" si="3"/>
        <v>2.627668232583728E-2</v>
      </c>
      <c r="Q30" s="28">
        <f t="shared" si="4"/>
        <v>27859.872000000003</v>
      </c>
      <c r="R30" s="24">
        <f t="shared" si="5"/>
        <v>1.1993190956094916E-5</v>
      </c>
      <c r="S30" s="24">
        <v>0.1</v>
      </c>
      <c r="T30" s="24">
        <f t="shared" si="6"/>
        <v>1.1993190956094917E-6</v>
      </c>
      <c r="U30" s="27">
        <f t="shared" si="7"/>
        <v>3.4631186748500138E-3</v>
      </c>
      <c r="V30" s="96"/>
    </row>
    <row r="31" spans="1:22" s="24" customFormat="1" x14ac:dyDescent="0.2">
      <c r="A31" s="24" t="s">
        <v>64</v>
      </c>
      <c r="B31" s="29"/>
      <c r="C31" s="25">
        <v>42878.546999999999</v>
      </c>
      <c r="D31" s="25"/>
      <c r="E31" s="26">
        <f t="shared" si="0"/>
        <v>-29196.415142657468</v>
      </c>
      <c r="F31" s="24">
        <f t="shared" si="1"/>
        <v>-29196.5</v>
      </c>
      <c r="G31" s="27">
        <f t="shared" si="2"/>
        <v>2.9705834502237849E-2</v>
      </c>
      <c r="H31" s="27"/>
      <c r="I31" s="27">
        <f t="shared" si="8"/>
        <v>2.9705834502237849E-2</v>
      </c>
      <c r="J31" s="27"/>
      <c r="K31" s="27"/>
      <c r="L31" s="27"/>
      <c r="M31" s="27"/>
      <c r="N31" s="27"/>
      <c r="O31" s="27"/>
      <c r="P31" s="27">
        <f t="shared" si="3"/>
        <v>2.6275974599454934E-2</v>
      </c>
      <c r="Q31" s="28">
        <f t="shared" si="4"/>
        <v>27860.046999999999</v>
      </c>
      <c r="R31" s="24">
        <f t="shared" si="5"/>
        <v>1.1763938952718026E-5</v>
      </c>
      <c r="S31" s="24">
        <v>0.1</v>
      </c>
      <c r="T31" s="24">
        <f t="shared" si="6"/>
        <v>1.1763938952718026E-6</v>
      </c>
      <c r="U31" s="27">
        <f t="shared" si="7"/>
        <v>3.4298599027829148E-3</v>
      </c>
      <c r="V31" s="96"/>
    </row>
    <row r="32" spans="1:22" s="24" customFormat="1" x14ac:dyDescent="0.2">
      <c r="A32" s="24" t="s">
        <v>65</v>
      </c>
      <c r="B32" s="29"/>
      <c r="C32" s="25">
        <v>42912.510999999999</v>
      </c>
      <c r="D32" s="25"/>
      <c r="E32" s="26">
        <f t="shared" si="0"/>
        <v>-29099.393973911916</v>
      </c>
      <c r="F32" s="24">
        <f t="shared" si="1"/>
        <v>-29099.5</v>
      </c>
      <c r="G32" s="27">
        <f t="shared" si="2"/>
        <v>3.7116333500307519E-2</v>
      </c>
      <c r="H32" s="27"/>
      <c r="I32" s="12">
        <f t="shared" si="8"/>
        <v>3.7116333500307519E-2</v>
      </c>
      <c r="J32" s="27"/>
      <c r="K32" s="27"/>
      <c r="L32" s="27"/>
      <c r="M32" s="27"/>
      <c r="N32" s="27"/>
      <c r="O32" s="27"/>
      <c r="P32" s="27">
        <f t="shared" si="3"/>
        <v>2.6138842657696074E-2</v>
      </c>
      <c r="Q32" s="28">
        <f t="shared" si="4"/>
        <v>27894.010999999999</v>
      </c>
      <c r="R32" s="24">
        <f t="shared" si="5"/>
        <v>1.2050530519961814E-4</v>
      </c>
      <c r="S32" s="24">
        <v>0.1</v>
      </c>
      <c r="T32" s="24">
        <f t="shared" si="6"/>
        <v>1.2050530519961815E-5</v>
      </c>
      <c r="U32" s="27">
        <f t="shared" si="7"/>
        <v>1.0977490842611445E-2</v>
      </c>
      <c r="V32" s="96"/>
    </row>
    <row r="33" spans="1:30" s="24" customFormat="1" x14ac:dyDescent="0.2">
      <c r="A33" s="36" t="s">
        <v>65</v>
      </c>
      <c r="B33" s="77"/>
      <c r="C33" s="32">
        <v>42921.417999999998</v>
      </c>
      <c r="D33" s="32"/>
      <c r="E33" s="26">
        <f t="shared" si="0"/>
        <v>-29073.950340947111</v>
      </c>
      <c r="F33" s="24">
        <f t="shared" si="1"/>
        <v>-29074</v>
      </c>
      <c r="G33" s="27">
        <f t="shared" si="2"/>
        <v>1.7384041995683219E-2</v>
      </c>
      <c r="H33" s="27"/>
      <c r="I33" s="12">
        <f t="shared" si="8"/>
        <v>1.7384041995683219E-2</v>
      </c>
      <c r="J33" s="27"/>
      <c r="K33" s="27"/>
      <c r="L33" s="27"/>
      <c r="M33" s="27"/>
      <c r="N33" s="27"/>
      <c r="O33" s="27"/>
      <c r="P33" s="27">
        <f t="shared" si="3"/>
        <v>2.6102847659269655E-2</v>
      </c>
      <c r="Q33" s="28">
        <f t="shared" si="4"/>
        <v>27902.917999999998</v>
      </c>
      <c r="R33" s="24">
        <f t="shared" si="5"/>
        <v>7.6017572199386899E-5</v>
      </c>
      <c r="S33" s="24">
        <v>0.1</v>
      </c>
      <c r="T33" s="24">
        <f t="shared" si="6"/>
        <v>7.6017572199386901E-6</v>
      </c>
      <c r="U33" s="27">
        <f t="shared" si="7"/>
        <v>-8.7188056635864354E-3</v>
      </c>
      <c r="V33" s="96"/>
    </row>
    <row r="34" spans="1:30" s="24" customFormat="1" x14ac:dyDescent="0.2">
      <c r="A34" s="36" t="s">
        <v>66</v>
      </c>
      <c r="B34" s="77"/>
      <c r="C34" s="32">
        <v>43014.36</v>
      </c>
      <c r="D34" s="32"/>
      <c r="E34" s="26">
        <f t="shared" si="0"/>
        <v>-28808.453300976864</v>
      </c>
      <c r="F34" s="24">
        <f t="shared" si="1"/>
        <v>-28808.5</v>
      </c>
      <c r="G34" s="27">
        <f t="shared" si="2"/>
        <v>1.634783050394617E-2</v>
      </c>
      <c r="H34" s="27"/>
      <c r="I34" s="12">
        <f t="shared" si="8"/>
        <v>1.634783050394617E-2</v>
      </c>
      <c r="J34" s="27"/>
      <c r="K34" s="27"/>
      <c r="L34" s="27"/>
      <c r="M34" s="27"/>
      <c r="N34" s="27"/>
      <c r="O34" s="27"/>
      <c r="P34" s="27">
        <f t="shared" si="3"/>
        <v>2.5729440273942215E-2</v>
      </c>
      <c r="Q34" s="28">
        <f t="shared" si="4"/>
        <v>27995.86</v>
      </c>
      <c r="R34" s="24">
        <f t="shared" si="5"/>
        <v>8.8014601876485244E-5</v>
      </c>
      <c r="S34" s="24">
        <v>0.1</v>
      </c>
      <c r="T34" s="24">
        <f t="shared" si="6"/>
        <v>8.801460187648524E-6</v>
      </c>
      <c r="U34" s="27">
        <f t="shared" si="7"/>
        <v>-9.3816097699960452E-3</v>
      </c>
      <c r="V34" s="96"/>
    </row>
    <row r="35" spans="1:30" s="24" customFormat="1" x14ac:dyDescent="0.2">
      <c r="A35" s="36" t="s">
        <v>63</v>
      </c>
      <c r="B35" s="77"/>
      <c r="C35" s="32">
        <v>43215.310400000002</v>
      </c>
      <c r="D35" s="32"/>
      <c r="E35" s="26">
        <f t="shared" si="0"/>
        <v>-28234.420717421141</v>
      </c>
      <c r="F35" s="24">
        <f t="shared" si="1"/>
        <v>-28234.5</v>
      </c>
      <c r="G35" s="27">
        <f t="shared" si="2"/>
        <v>2.7754288501455449E-2</v>
      </c>
      <c r="H35" s="27"/>
      <c r="I35" s="27">
        <f t="shared" si="8"/>
        <v>2.7754288501455449E-2</v>
      </c>
      <c r="J35" s="27"/>
      <c r="K35" s="27"/>
      <c r="L35" s="27"/>
      <c r="M35" s="27"/>
      <c r="N35" s="27"/>
      <c r="O35" s="27"/>
      <c r="P35" s="27">
        <f t="shared" si="3"/>
        <v>2.4930656662150847E-2</v>
      </c>
      <c r="Q35" s="28">
        <f t="shared" si="4"/>
        <v>28196.810400000002</v>
      </c>
      <c r="R35" s="24">
        <f t="shared" si="5"/>
        <v>7.972896763934687E-6</v>
      </c>
      <c r="S35" s="24">
        <v>0.1</v>
      </c>
      <c r="T35" s="24">
        <f t="shared" si="6"/>
        <v>7.9728967639346872E-7</v>
      </c>
      <c r="U35" s="27">
        <f t="shared" si="7"/>
        <v>2.8236318393046016E-3</v>
      </c>
      <c r="V35" s="96"/>
    </row>
    <row r="36" spans="1:30" s="24" customFormat="1" x14ac:dyDescent="0.2">
      <c r="A36" s="36" t="s">
        <v>63</v>
      </c>
      <c r="B36" s="77"/>
      <c r="C36" s="32">
        <v>43244.190399999999</v>
      </c>
      <c r="D36" s="32"/>
      <c r="E36" s="26">
        <f t="shared" si="0"/>
        <v>-28151.922444150288</v>
      </c>
      <c r="F36" s="24">
        <f t="shared" si="1"/>
        <v>-28152</v>
      </c>
      <c r="G36" s="27">
        <f t="shared" si="2"/>
        <v>2.71498160000192E-2</v>
      </c>
      <c r="H36" s="27"/>
      <c r="I36" s="27">
        <f t="shared" si="8"/>
        <v>2.71498160000192E-2</v>
      </c>
      <c r="J36" s="27"/>
      <c r="K36" s="27"/>
      <c r="L36" s="27"/>
      <c r="M36" s="27"/>
      <c r="N36" s="27"/>
      <c r="O36" s="27"/>
      <c r="P36" s="27">
        <f t="shared" si="3"/>
        <v>2.4816805154298235E-2</v>
      </c>
      <c r="Q36" s="28">
        <f t="shared" si="4"/>
        <v>28225.690399999999</v>
      </c>
      <c r="R36" s="24">
        <f t="shared" si="5"/>
        <v>5.4429396062516542E-6</v>
      </c>
      <c r="S36" s="24">
        <v>0.1</v>
      </c>
      <c r="T36" s="24">
        <f t="shared" si="6"/>
        <v>5.442939606251654E-7</v>
      </c>
      <c r="U36" s="27">
        <f t="shared" si="7"/>
        <v>2.3330108457209654E-3</v>
      </c>
      <c r="V36" s="96"/>
      <c r="Z36" s="24">
        <v>11</v>
      </c>
      <c r="AB36" s="24" t="s">
        <v>44</v>
      </c>
      <c r="AD36" s="24" t="s">
        <v>46</v>
      </c>
    </row>
    <row r="37" spans="1:30" s="24" customFormat="1" x14ac:dyDescent="0.2">
      <c r="A37" s="36" t="s">
        <v>67</v>
      </c>
      <c r="B37" s="77"/>
      <c r="C37" s="32">
        <v>43248.389000000003</v>
      </c>
      <c r="D37" s="32"/>
      <c r="E37" s="26">
        <f t="shared" si="0"/>
        <v>-28139.928772053496</v>
      </c>
      <c r="F37" s="24">
        <f t="shared" si="1"/>
        <v>-28140</v>
      </c>
      <c r="G37" s="27">
        <f t="shared" si="2"/>
        <v>2.4934620007115882E-2</v>
      </c>
      <c r="H37" s="27"/>
      <c r="I37" s="27">
        <f t="shared" si="8"/>
        <v>2.4934620007115882E-2</v>
      </c>
      <c r="J37" s="27"/>
      <c r="K37" s="27"/>
      <c r="L37" s="27"/>
      <c r="M37" s="27"/>
      <c r="N37" s="27"/>
      <c r="O37" s="27"/>
      <c r="P37" s="27">
        <f t="shared" si="3"/>
        <v>2.4800264956254259E-2</v>
      </c>
      <c r="Q37" s="28">
        <f t="shared" si="4"/>
        <v>28229.889000000003</v>
      </c>
      <c r="R37" s="24">
        <f t="shared" si="5"/>
        <v>1.8051279692029339E-8</v>
      </c>
      <c r="S37" s="24">
        <v>0.1</v>
      </c>
      <c r="T37" s="24">
        <f t="shared" si="6"/>
        <v>1.8051279692029339E-9</v>
      </c>
      <c r="U37" s="27">
        <f t="shared" si="7"/>
        <v>1.3435505086162314E-4</v>
      </c>
      <c r="V37" s="96"/>
      <c r="Z37" s="24">
        <v>10</v>
      </c>
      <c r="AB37" s="24" t="s">
        <v>44</v>
      </c>
      <c r="AD37" s="24" t="s">
        <v>46</v>
      </c>
    </row>
    <row r="38" spans="1:30" s="24" customFormat="1" x14ac:dyDescent="0.2">
      <c r="A38" s="36" t="s">
        <v>67</v>
      </c>
      <c r="B38" s="77"/>
      <c r="C38" s="32">
        <v>43258.368000000002</v>
      </c>
      <c r="D38" s="32"/>
      <c r="E38" s="26">
        <f t="shared" si="0"/>
        <v>-28111.422876313543</v>
      </c>
      <c r="F38" s="24">
        <f t="shared" si="1"/>
        <v>-28111.5</v>
      </c>
      <c r="G38" s="27">
        <f t="shared" si="2"/>
        <v>2.6998529501724988E-2</v>
      </c>
      <c r="H38" s="27"/>
      <c r="I38" s="27">
        <f t="shared" si="8"/>
        <v>2.6998529501724988E-2</v>
      </c>
      <c r="J38" s="27"/>
      <c r="K38" s="27"/>
      <c r="L38" s="27"/>
      <c r="M38" s="27"/>
      <c r="N38" s="27"/>
      <c r="O38" s="27"/>
      <c r="P38" s="27">
        <f t="shared" si="3"/>
        <v>2.4761002364702717E-2</v>
      </c>
      <c r="Q38" s="28">
        <f t="shared" si="4"/>
        <v>28239.868000000002</v>
      </c>
      <c r="R38" s="24">
        <f t="shared" si="5"/>
        <v>5.0065276889110829E-6</v>
      </c>
      <c r="S38" s="24">
        <v>0.1</v>
      </c>
      <c r="T38" s="24">
        <f t="shared" si="6"/>
        <v>5.0065276889110832E-7</v>
      </c>
      <c r="U38" s="27">
        <f t="shared" si="7"/>
        <v>2.2375271370222716E-3</v>
      </c>
      <c r="V38" s="96"/>
    </row>
    <row r="39" spans="1:30" s="24" customFormat="1" x14ac:dyDescent="0.2">
      <c r="A39" s="36" t="s">
        <v>63</v>
      </c>
      <c r="B39" s="77"/>
      <c r="C39" s="32">
        <v>43277.097199999997</v>
      </c>
      <c r="D39" s="32"/>
      <c r="E39" s="26">
        <f t="shared" si="0"/>
        <v>-28057.921260671432</v>
      </c>
      <c r="F39" s="24">
        <f t="shared" si="1"/>
        <v>-28058</v>
      </c>
      <c r="G39" s="27">
        <f t="shared" si="2"/>
        <v>2.7564113996049855E-2</v>
      </c>
      <c r="H39" s="27"/>
      <c r="I39" s="27">
        <f t="shared" si="8"/>
        <v>2.7564113996049855E-2</v>
      </c>
      <c r="J39" s="27"/>
      <c r="K39" s="27"/>
      <c r="L39" s="27"/>
      <c r="M39" s="27"/>
      <c r="N39" s="27"/>
      <c r="O39" s="27"/>
      <c r="P39" s="27">
        <f t="shared" si="3"/>
        <v>2.4687376357827258E-2</v>
      </c>
      <c r="Q39" s="28">
        <f t="shared" si="4"/>
        <v>28258.597199999997</v>
      </c>
      <c r="R39" s="24">
        <f t="shared" si="5"/>
        <v>8.2756194391665249E-6</v>
      </c>
      <c r="S39" s="24">
        <v>0.1</v>
      </c>
      <c r="T39" s="24">
        <f t="shared" si="6"/>
        <v>8.2756194391665253E-7</v>
      </c>
      <c r="U39" s="27">
        <f t="shared" si="7"/>
        <v>2.876737638222597E-3</v>
      </c>
      <c r="V39" s="96"/>
    </row>
    <row r="40" spans="1:30" s="24" customFormat="1" x14ac:dyDescent="0.2">
      <c r="A40" s="36" t="s">
        <v>63</v>
      </c>
      <c r="B40" s="77"/>
      <c r="C40" s="32">
        <v>43280.074200000003</v>
      </c>
      <c r="D40" s="32"/>
      <c r="E40" s="26">
        <f t="shared" si="0"/>
        <v>-28049.417196975868</v>
      </c>
      <c r="F40" s="24">
        <f t="shared" si="1"/>
        <v>-28049.5</v>
      </c>
      <c r="G40" s="27">
        <f t="shared" si="2"/>
        <v>2.8986683508264832E-2</v>
      </c>
      <c r="H40" s="27"/>
      <c r="I40" s="27">
        <f t="shared" si="8"/>
        <v>2.8986683508264832E-2</v>
      </c>
      <c r="J40" s="27"/>
      <c r="K40" s="27"/>
      <c r="L40" s="27"/>
      <c r="M40" s="27"/>
      <c r="N40" s="27"/>
      <c r="O40" s="27"/>
      <c r="P40" s="27">
        <f t="shared" si="3"/>
        <v>2.4675688072371877E-2</v>
      </c>
      <c r="Q40" s="28">
        <f t="shared" si="4"/>
        <v>28261.574200000003</v>
      </c>
      <c r="R40" s="24">
        <f t="shared" si="5"/>
        <v>1.858468164828989E-5</v>
      </c>
      <c r="S40" s="24">
        <v>0.1</v>
      </c>
      <c r="T40" s="24">
        <f t="shared" si="6"/>
        <v>1.858468164828989E-6</v>
      </c>
      <c r="U40" s="27">
        <f t="shared" si="7"/>
        <v>4.3109954358929552E-3</v>
      </c>
      <c r="V40" s="96"/>
    </row>
    <row r="41" spans="1:30" s="24" customFormat="1" x14ac:dyDescent="0.2">
      <c r="A41" s="36" t="s">
        <v>67</v>
      </c>
      <c r="B41" s="77"/>
      <c r="C41" s="32">
        <v>43292.508999999998</v>
      </c>
      <c r="D41" s="32"/>
      <c r="E41" s="26">
        <f t="shared" si="0"/>
        <v>-28013.89609141949</v>
      </c>
      <c r="F41" s="24">
        <f t="shared" si="1"/>
        <v>-28014</v>
      </c>
      <c r="G41" s="27">
        <f t="shared" si="2"/>
        <v>3.6375062001752667E-2</v>
      </c>
      <c r="H41" s="27"/>
      <c r="I41" s="27">
        <f t="shared" si="8"/>
        <v>3.6375062001752667E-2</v>
      </c>
      <c r="J41" s="27"/>
      <c r="K41" s="27"/>
      <c r="L41" s="27"/>
      <c r="M41" s="27"/>
      <c r="N41" s="27"/>
      <c r="O41" s="27"/>
      <c r="P41" s="27">
        <f t="shared" si="3"/>
        <v>2.4626899869753128E-2</v>
      </c>
      <c r="Q41" s="28">
        <f t="shared" si="4"/>
        <v>28274.008999999998</v>
      </c>
      <c r="R41" s="24">
        <f t="shared" si="5"/>
        <v>1.3801931347974796E-4</v>
      </c>
      <c r="S41" s="24">
        <v>0.1</v>
      </c>
      <c r="T41" s="24">
        <f t="shared" si="6"/>
        <v>1.3801931347974796E-5</v>
      </c>
      <c r="U41" s="27">
        <f t="shared" si="7"/>
        <v>1.1748162131999539E-2</v>
      </c>
      <c r="V41" s="96"/>
    </row>
    <row r="42" spans="1:30" s="24" customFormat="1" x14ac:dyDescent="0.2">
      <c r="A42" s="36" t="s">
        <v>67</v>
      </c>
      <c r="B42" s="77"/>
      <c r="C42" s="32">
        <v>43294.438999999998</v>
      </c>
      <c r="D42" s="32"/>
      <c r="E42" s="26">
        <f t="shared" si="0"/>
        <v>-28008.382875788855</v>
      </c>
      <c r="F42" s="24">
        <f t="shared" si="1"/>
        <v>-28008.5</v>
      </c>
      <c r="G42" s="27">
        <f t="shared" si="2"/>
        <v>4.1001430501637515E-2</v>
      </c>
      <c r="H42" s="27"/>
      <c r="I42" s="27">
        <f t="shared" si="8"/>
        <v>4.1001430501637515E-2</v>
      </c>
      <c r="J42" s="27"/>
      <c r="K42" s="27"/>
      <c r="L42" s="27"/>
      <c r="M42" s="27"/>
      <c r="N42" s="27"/>
      <c r="O42" s="27"/>
      <c r="P42" s="27">
        <f t="shared" si="3"/>
        <v>2.4619345115440061E-2</v>
      </c>
      <c r="Q42" s="28">
        <f t="shared" si="4"/>
        <v>28275.938999999998</v>
      </c>
      <c r="R42" s="24">
        <f t="shared" si="5"/>
        <v>2.6837272160066416E-4</v>
      </c>
      <c r="S42" s="24">
        <v>0.1</v>
      </c>
      <c r="T42" s="24">
        <f t="shared" si="6"/>
        <v>2.6837272160066416E-5</v>
      </c>
      <c r="U42" s="27">
        <f t="shared" si="7"/>
        <v>1.6382085386197454E-2</v>
      </c>
      <c r="V42" s="96"/>
    </row>
    <row r="43" spans="1:30" s="24" customFormat="1" x14ac:dyDescent="0.2">
      <c r="A43" s="36" t="s">
        <v>67</v>
      </c>
      <c r="B43" s="77"/>
      <c r="C43" s="32">
        <v>43296.540999999997</v>
      </c>
      <c r="D43" s="32"/>
      <c r="E43" s="26">
        <f t="shared" si="0"/>
        <v>-28002.378326951759</v>
      </c>
      <c r="F43" s="24">
        <f t="shared" si="1"/>
        <v>-28002.5</v>
      </c>
      <c r="G43" s="27">
        <f t="shared" si="2"/>
        <v>4.2593832498823758E-2</v>
      </c>
      <c r="H43" s="27"/>
      <c r="I43" s="27">
        <f t="shared" si="8"/>
        <v>4.2593832498823758E-2</v>
      </c>
      <c r="J43" s="27"/>
      <c r="K43" s="27"/>
      <c r="L43" s="27"/>
      <c r="M43" s="27"/>
      <c r="N43" s="27"/>
      <c r="O43" s="27"/>
      <c r="P43" s="27">
        <f t="shared" si="3"/>
        <v>2.4611104783506386E-2</v>
      </c>
      <c r="Q43" s="28">
        <f t="shared" si="4"/>
        <v>28278.040999999997</v>
      </c>
      <c r="R43" s="24">
        <f t="shared" si="5"/>
        <v>3.2337849608324353E-4</v>
      </c>
      <c r="S43" s="24">
        <v>0.1</v>
      </c>
      <c r="T43" s="24">
        <f t="shared" si="6"/>
        <v>3.2337849608324353E-5</v>
      </c>
      <c r="U43" s="27">
        <f t="shared" si="7"/>
        <v>1.7982727715317372E-2</v>
      </c>
      <c r="V43" s="96"/>
    </row>
    <row r="44" spans="1:30" s="24" customFormat="1" x14ac:dyDescent="0.2">
      <c r="A44" s="36" t="s">
        <v>68</v>
      </c>
      <c r="B44" s="77"/>
      <c r="C44" s="32">
        <v>43657.444000000003</v>
      </c>
      <c r="D44" s="32"/>
      <c r="E44" s="26">
        <f t="shared" si="0"/>
        <v>-26971.427000141699</v>
      </c>
      <c r="F44" s="24">
        <f t="shared" si="1"/>
        <v>-26971.5</v>
      </c>
      <c r="G44" s="27">
        <f t="shared" si="2"/>
        <v>2.5554909501806833E-2</v>
      </c>
      <c r="H44" s="27"/>
      <c r="I44" s="27"/>
      <c r="J44" s="27"/>
      <c r="K44" s="27">
        <f>+G44</f>
        <v>2.5554909501806833E-2</v>
      </c>
      <c r="L44" s="27"/>
      <c r="M44" s="27"/>
      <c r="O44" s="27"/>
      <c r="P44" s="27">
        <f t="shared" si="3"/>
        <v>2.3214017350726174E-2</v>
      </c>
      <c r="Q44" s="28">
        <f t="shared" si="4"/>
        <v>28638.944000000003</v>
      </c>
      <c r="R44" s="24">
        <f t="shared" si="5"/>
        <v>5.4797760629910356E-6</v>
      </c>
      <c r="S44" s="24">
        <v>1</v>
      </c>
      <c r="T44" s="24">
        <f t="shared" si="6"/>
        <v>5.4797760629910356E-6</v>
      </c>
      <c r="U44" s="27">
        <f t="shared" si="7"/>
        <v>2.3408921510806591E-3</v>
      </c>
      <c r="V44" s="96"/>
    </row>
    <row r="45" spans="1:30" s="24" customFormat="1" x14ac:dyDescent="0.2">
      <c r="A45" s="36" t="s">
        <v>64</v>
      </c>
      <c r="B45" s="77"/>
      <c r="C45" s="32">
        <v>44053.543899999997</v>
      </c>
      <c r="D45" s="32"/>
      <c r="E45" s="26">
        <f t="shared" si="0"/>
        <v>-25839.932616735852</v>
      </c>
      <c r="F45" s="24">
        <f t="shared" si="1"/>
        <v>-25840</v>
      </c>
      <c r="G45" s="27">
        <f t="shared" si="2"/>
        <v>2.3588719996041618E-2</v>
      </c>
      <c r="H45" s="27"/>
      <c r="I45" s="27"/>
      <c r="J45" s="27">
        <f>G45</f>
        <v>2.3588719996041618E-2</v>
      </c>
      <c r="K45" s="27"/>
      <c r="L45" s="27"/>
      <c r="M45" s="27"/>
      <c r="N45" s="27"/>
      <c r="O45" s="27"/>
      <c r="P45" s="27">
        <f t="shared" si="3"/>
        <v>2.1723944950860344E-2</v>
      </c>
      <c r="Q45" s="28">
        <f t="shared" si="4"/>
        <v>29035.043899999997</v>
      </c>
      <c r="R45" s="24">
        <f t="shared" si="5"/>
        <v>3.477385969130824E-6</v>
      </c>
      <c r="S45" s="24">
        <v>1</v>
      </c>
      <c r="T45" s="24">
        <f t="shared" si="6"/>
        <v>3.477385969130824E-6</v>
      </c>
      <c r="U45" s="27">
        <f t="shared" si="7"/>
        <v>1.8647750451812745E-3</v>
      </c>
      <c r="V45" s="96"/>
    </row>
    <row r="46" spans="1:30" s="24" customFormat="1" x14ac:dyDescent="0.2">
      <c r="A46" s="36" t="s">
        <v>64</v>
      </c>
      <c r="B46" s="77"/>
      <c r="C46" s="32">
        <v>44129.335299999999</v>
      </c>
      <c r="D46" s="32"/>
      <c r="E46" s="26">
        <f t="shared" si="0"/>
        <v>-25623.427781944254</v>
      </c>
      <c r="F46" s="24">
        <f t="shared" si="1"/>
        <v>-25623.5</v>
      </c>
      <c r="G46" s="27">
        <f t="shared" si="2"/>
        <v>2.5281225498474669E-2</v>
      </c>
      <c r="H46" s="27"/>
      <c r="I46" s="27"/>
      <c r="J46" s="27">
        <f>G46</f>
        <v>2.5281225498474669E-2</v>
      </c>
      <c r="K46" s="27"/>
      <c r="L46" s="27"/>
      <c r="M46" s="27"/>
      <c r="N46" s="27"/>
      <c r="O46" s="27"/>
      <c r="P46" s="27">
        <f t="shared" si="3"/>
        <v>2.1443988693091092E-2</v>
      </c>
      <c r="Q46" s="28">
        <f t="shared" si="4"/>
        <v>29110.835299999999</v>
      </c>
      <c r="R46" s="24">
        <f t="shared" si="5"/>
        <v>1.4724386300590357E-5</v>
      </c>
      <c r="S46" s="24">
        <v>1</v>
      </c>
      <c r="T46" s="24">
        <f t="shared" si="6"/>
        <v>1.4724386300590357E-5</v>
      </c>
      <c r="U46" s="27">
        <f t="shared" si="7"/>
        <v>3.8372368053835766E-3</v>
      </c>
      <c r="V46" s="96"/>
    </row>
    <row r="47" spans="1:30" s="24" customFormat="1" x14ac:dyDescent="0.2">
      <c r="A47" s="36" t="s">
        <v>64</v>
      </c>
      <c r="B47" s="77"/>
      <c r="C47" s="32">
        <v>44140.361100000002</v>
      </c>
      <c r="D47" s="32"/>
      <c r="E47" s="26">
        <f t="shared" si="0"/>
        <v>-25591.93160945706</v>
      </c>
      <c r="F47" s="24">
        <f t="shared" si="1"/>
        <v>-25592</v>
      </c>
      <c r="G47" s="27">
        <f t="shared" si="2"/>
        <v>2.3941336003190372E-2</v>
      </c>
      <c r="H47" s="27"/>
      <c r="I47" s="27"/>
      <c r="J47" s="27">
        <f>G47</f>
        <v>2.3941336003190372E-2</v>
      </c>
      <c r="K47" s="27"/>
      <c r="L47" s="27"/>
      <c r="M47" s="27"/>
      <c r="N47" s="27"/>
      <c r="O47" s="27"/>
      <c r="P47" s="27">
        <f t="shared" si="3"/>
        <v>2.1403393951784651E-2</v>
      </c>
      <c r="Q47" s="28">
        <f t="shared" si="4"/>
        <v>29121.861100000002</v>
      </c>
      <c r="R47" s="24">
        <f t="shared" si="5"/>
        <v>6.4411498562934813E-6</v>
      </c>
      <c r="S47" s="24">
        <v>1</v>
      </c>
      <c r="T47" s="24">
        <f t="shared" si="6"/>
        <v>6.4411498562934813E-6</v>
      </c>
      <c r="U47" s="27">
        <f t="shared" si="7"/>
        <v>2.5379420514057213E-3</v>
      </c>
      <c r="V47" s="96"/>
    </row>
    <row r="48" spans="1:30" s="24" customFormat="1" x14ac:dyDescent="0.2">
      <c r="A48" s="36" t="s">
        <v>64</v>
      </c>
      <c r="B48" s="77"/>
      <c r="C48" s="32">
        <v>44344.448700000001</v>
      </c>
      <c r="D48" s="32"/>
      <c r="E48" s="26">
        <f t="shared" si="0"/>
        <v>-25008.937336742572</v>
      </c>
      <c r="F48" s="24">
        <f t="shared" si="1"/>
        <v>-25009</v>
      </c>
      <c r="G48" s="27">
        <f t="shared" si="2"/>
        <v>2.1936397002718877E-2</v>
      </c>
      <c r="H48" s="27"/>
      <c r="I48" s="27"/>
      <c r="J48" s="27">
        <f>G48</f>
        <v>2.1936397002718877E-2</v>
      </c>
      <c r="K48" s="27"/>
      <c r="L48" s="27"/>
      <c r="M48" s="27"/>
      <c r="N48" s="27"/>
      <c r="O48" s="27"/>
      <c r="P48" s="27">
        <f t="shared" si="3"/>
        <v>2.0658394183803386E-2</v>
      </c>
      <c r="Q48" s="28">
        <f t="shared" si="4"/>
        <v>29325.948700000001</v>
      </c>
      <c r="R48" s="24">
        <f t="shared" si="5"/>
        <v>1.633291205155942E-6</v>
      </c>
      <c r="S48" s="24">
        <v>1</v>
      </c>
      <c r="T48" s="24">
        <f t="shared" si="6"/>
        <v>1.633291205155942E-6</v>
      </c>
      <c r="U48" s="27">
        <f t="shared" si="7"/>
        <v>1.2780028189154913E-3</v>
      </c>
      <c r="V48" s="96"/>
    </row>
    <row r="49" spans="1:22" s="24" customFormat="1" x14ac:dyDescent="0.2">
      <c r="A49" s="36" t="s">
        <v>64</v>
      </c>
      <c r="B49" s="77"/>
      <c r="C49" s="32">
        <v>44345.500599999999</v>
      </c>
      <c r="D49" s="32"/>
      <c r="E49" s="26">
        <f t="shared" si="0"/>
        <v>-25005.932491394462</v>
      </c>
      <c r="F49" s="24">
        <f t="shared" si="1"/>
        <v>-25006</v>
      </c>
      <c r="G49" s="27">
        <f t="shared" si="2"/>
        <v>2.3632598000403959E-2</v>
      </c>
      <c r="H49" s="27"/>
      <c r="I49" s="27"/>
      <c r="J49" s="27">
        <f>G49</f>
        <v>2.3632598000403959E-2</v>
      </c>
      <c r="K49" s="27"/>
      <c r="L49" s="27"/>
      <c r="M49" s="27"/>
      <c r="N49" s="27"/>
      <c r="O49" s="27"/>
      <c r="P49" s="27">
        <f t="shared" si="3"/>
        <v>2.0654591604067025E-2</v>
      </c>
      <c r="Q49" s="28">
        <f t="shared" si="4"/>
        <v>29327.000599999999</v>
      </c>
      <c r="R49" s="24">
        <f t="shared" si="5"/>
        <v>8.8685220966236911E-6</v>
      </c>
      <c r="S49" s="24">
        <v>1</v>
      </c>
      <c r="T49" s="24">
        <f t="shared" si="6"/>
        <v>8.8685220966236911E-6</v>
      </c>
      <c r="U49" s="27">
        <f t="shared" si="7"/>
        <v>2.9780063963369338E-3</v>
      </c>
      <c r="V49" s="96"/>
    </row>
    <row r="50" spans="1:22" s="24" customFormat="1" x14ac:dyDescent="0.2">
      <c r="A50" s="36" t="s">
        <v>69</v>
      </c>
      <c r="B50" s="77"/>
      <c r="C50" s="32">
        <v>44473.451200000003</v>
      </c>
      <c r="D50" s="32"/>
      <c r="E50" s="26">
        <f t="shared" si="0"/>
        <v>-24640.430290425931</v>
      </c>
      <c r="F50" s="24">
        <f t="shared" si="1"/>
        <v>-24640.5</v>
      </c>
      <c r="G50" s="27">
        <f t="shared" si="2"/>
        <v>2.4403086506936233E-2</v>
      </c>
      <c r="H50" s="27"/>
      <c r="I50" s="27"/>
      <c r="J50" s="12"/>
      <c r="K50" s="27">
        <f>G50</f>
        <v>2.4403086506936233E-2</v>
      </c>
      <c r="L50" s="27"/>
      <c r="M50" s="27"/>
      <c r="N50" s="27"/>
      <c r="O50" s="27"/>
      <c r="P50" s="27">
        <f t="shared" si="3"/>
        <v>2.019368859467003E-2</v>
      </c>
      <c r="Q50" s="28">
        <f t="shared" si="4"/>
        <v>29454.951200000003</v>
      </c>
      <c r="R50" s="24">
        <f t="shared" si="5"/>
        <v>1.7719030783791075E-5</v>
      </c>
      <c r="S50" s="24">
        <v>1</v>
      </c>
      <c r="T50" s="24">
        <f t="shared" si="6"/>
        <v>1.7719030783791075E-5</v>
      </c>
      <c r="U50" s="27">
        <f t="shared" si="7"/>
        <v>4.2093979122662037E-3</v>
      </c>
      <c r="V50" s="96"/>
    </row>
    <row r="51" spans="1:22" s="24" customFormat="1" x14ac:dyDescent="0.2">
      <c r="A51" s="36" t="s">
        <v>69</v>
      </c>
      <c r="B51" s="77"/>
      <c r="C51" s="32">
        <v>44474.326699999998</v>
      </c>
      <c r="D51" s="32"/>
      <c r="E51" s="26">
        <f t="shared" si="0"/>
        <v>-24637.929347273293</v>
      </c>
      <c r="F51" s="24">
        <f t="shared" si="1"/>
        <v>-24638</v>
      </c>
      <c r="G51" s="27">
        <f t="shared" si="2"/>
        <v>2.4733254002057947E-2</v>
      </c>
      <c r="H51" s="27"/>
      <c r="I51" s="27"/>
      <c r="J51" s="12"/>
      <c r="K51" s="27">
        <f>G51</f>
        <v>2.4733254002057947E-2</v>
      </c>
      <c r="L51" s="27"/>
      <c r="M51" s="27"/>
      <c r="N51" s="27"/>
      <c r="O51" s="27"/>
      <c r="P51" s="27">
        <f t="shared" si="3"/>
        <v>2.0190552286319954E-2</v>
      </c>
      <c r="Q51" s="28">
        <f t="shared" si="4"/>
        <v>29455.826699999998</v>
      </c>
      <c r="R51" s="24">
        <f t="shared" si="5"/>
        <v>2.0636138878168904E-5</v>
      </c>
      <c r="S51" s="24">
        <v>1</v>
      </c>
      <c r="T51" s="24">
        <f t="shared" si="6"/>
        <v>2.0636138878168904E-5</v>
      </c>
      <c r="U51" s="27">
        <f t="shared" si="7"/>
        <v>4.5427017157379929E-3</v>
      </c>
      <c r="V51" s="96"/>
    </row>
    <row r="52" spans="1:22" s="24" customFormat="1" x14ac:dyDescent="0.2">
      <c r="A52" s="36" t="s">
        <v>29</v>
      </c>
      <c r="B52" s="77"/>
      <c r="C52" s="32">
        <v>44474.326999999997</v>
      </c>
      <c r="D52" s="32" t="s">
        <v>31</v>
      </c>
      <c r="E52" s="26">
        <f t="shared" si="0"/>
        <v>-24637.92849029677</v>
      </c>
      <c r="F52" s="24">
        <f t="shared" si="1"/>
        <v>-24638</v>
      </c>
      <c r="G52" s="27">
        <f t="shared" si="2"/>
        <v>2.5033254001755267E-2</v>
      </c>
      <c r="H52" s="27">
        <f>+C52-(C$7+F52*C$8)</f>
        <v>2.5033254001755267E-2</v>
      </c>
      <c r="I52" s="27"/>
      <c r="J52" s="27"/>
      <c r="K52" s="27"/>
      <c r="L52" s="27"/>
      <c r="M52" s="27"/>
      <c r="N52" s="27"/>
      <c r="O52" s="27"/>
      <c r="P52" s="27">
        <f t="shared" si="3"/>
        <v>2.0190552286319954E-2</v>
      </c>
      <c r="Q52" s="28">
        <f t="shared" si="4"/>
        <v>29455.826999999997</v>
      </c>
      <c r="R52" s="24">
        <f t="shared" si="5"/>
        <v>2.3451759904680125E-5</v>
      </c>
      <c r="S52" s="24">
        <v>0.1</v>
      </c>
      <c r="T52" s="24">
        <f t="shared" si="6"/>
        <v>2.3451759904680128E-6</v>
      </c>
      <c r="U52" s="27">
        <f t="shared" si="7"/>
        <v>4.842701715435313E-3</v>
      </c>
      <c r="V52" s="96"/>
    </row>
    <row r="53" spans="1:22" s="24" customFormat="1" x14ac:dyDescent="0.2">
      <c r="A53" s="36" t="s">
        <v>69</v>
      </c>
      <c r="B53" s="77"/>
      <c r="C53" s="32">
        <v>44475.378100000002</v>
      </c>
      <c r="D53" s="32"/>
      <c r="E53" s="26">
        <f t="shared" ref="E53:E84" si="9">+(C53-C$7)/C$8</f>
        <v>-24634.925930219368</v>
      </c>
      <c r="F53" s="24">
        <f t="shared" ref="F53:F84" si="10">ROUND(2*E53,0)/2</f>
        <v>-24635</v>
      </c>
      <c r="G53" s="27">
        <f t="shared" ref="G53:G84" si="11">+C53-(C$7+F53*C$8)</f>
        <v>2.5929455005098134E-2</v>
      </c>
      <c r="H53" s="27"/>
      <c r="I53" s="27"/>
      <c r="J53" s="12"/>
      <c r="K53" s="27">
        <f t="shared" ref="K53:K72" si="12">G53</f>
        <v>2.5929455005098134E-2</v>
      </c>
      <c r="L53" s="27"/>
      <c r="M53" s="27"/>
      <c r="N53" s="27"/>
      <c r="O53" s="27"/>
      <c r="P53" s="27">
        <f t="shared" ref="P53:P84" si="13">+D$11+D$12*F53+D$13*F53^2</f>
        <v>2.0186789007614787E-2</v>
      </c>
      <c r="Q53" s="28">
        <f t="shared" ref="Q53:Q84" si="14">+C53-15018.5</f>
        <v>29456.878100000002</v>
      </c>
      <c r="R53" s="24">
        <f t="shared" ref="R53:R84" si="15">+(P53-G53)^2</f>
        <v>3.2978212758651403E-5</v>
      </c>
      <c r="S53" s="24">
        <v>1</v>
      </c>
      <c r="T53" s="24">
        <f t="shared" ref="T53:T84" si="16">+S53*R53</f>
        <v>3.2978212758651403E-5</v>
      </c>
      <c r="U53" s="27">
        <f t="shared" ref="U53:U84" si="17">+G53-P53</f>
        <v>5.7426659974833469E-3</v>
      </c>
      <c r="V53" s="96"/>
    </row>
    <row r="54" spans="1:22" s="24" customFormat="1" x14ac:dyDescent="0.2">
      <c r="A54" s="36" t="s">
        <v>69</v>
      </c>
      <c r="B54" s="77"/>
      <c r="C54" s="32">
        <v>44476.4283</v>
      </c>
      <c r="D54" s="32"/>
      <c r="E54" s="26">
        <f t="shared" si="9"/>
        <v>-24631.925941071553</v>
      </c>
      <c r="F54" s="24">
        <f t="shared" si="10"/>
        <v>-24632</v>
      </c>
      <c r="G54" s="27">
        <f t="shared" si="11"/>
        <v>2.5925656002073083E-2</v>
      </c>
      <c r="H54" s="27"/>
      <c r="I54" s="27"/>
      <c r="J54" s="12"/>
      <c r="K54" s="27">
        <f t="shared" si="12"/>
        <v>2.5925656002073083E-2</v>
      </c>
      <c r="L54" s="27"/>
      <c r="M54" s="27"/>
      <c r="N54" s="27"/>
      <c r="O54" s="27"/>
      <c r="P54" s="27">
        <f t="shared" si="13"/>
        <v>2.0183026046707714E-2</v>
      </c>
      <c r="Q54" s="28">
        <f t="shared" si="14"/>
        <v>29457.9283</v>
      </c>
      <c r="R54" s="24">
        <f t="shared" si="15"/>
        <v>3.2977798804259663E-5</v>
      </c>
      <c r="S54" s="24">
        <v>1</v>
      </c>
      <c r="T54" s="24">
        <f t="shared" si="16"/>
        <v>3.2977798804259663E-5</v>
      </c>
      <c r="U54" s="27">
        <f t="shared" si="17"/>
        <v>5.7426299553653692E-3</v>
      </c>
      <c r="V54" s="96"/>
    </row>
    <row r="55" spans="1:22" s="24" customFormat="1" x14ac:dyDescent="0.2">
      <c r="A55" s="36" t="s">
        <v>69</v>
      </c>
      <c r="B55" s="77"/>
      <c r="C55" s="32">
        <v>44478.352899999998</v>
      </c>
      <c r="D55" s="32"/>
      <c r="E55" s="26">
        <f t="shared" si="9"/>
        <v>-24626.428151018335</v>
      </c>
      <c r="F55" s="24">
        <f t="shared" si="10"/>
        <v>-24626.5</v>
      </c>
      <c r="G55" s="27">
        <f t="shared" si="11"/>
        <v>2.515202450013021E-2</v>
      </c>
      <c r="H55" s="27"/>
      <c r="I55" s="27"/>
      <c r="J55" s="12"/>
      <c r="K55" s="27">
        <f t="shared" si="12"/>
        <v>2.515202450013021E-2</v>
      </c>
      <c r="L55" s="27"/>
      <c r="M55" s="27"/>
      <c r="N55" s="27"/>
      <c r="O55" s="27"/>
      <c r="P55" s="27">
        <f t="shared" si="13"/>
        <v>2.0176128110437022E-2</v>
      </c>
      <c r="Q55" s="28">
        <f t="shared" si="14"/>
        <v>29459.852899999998</v>
      </c>
      <c r="R55" s="24">
        <f t="shared" si="15"/>
        <v>2.4759544880961702E-5</v>
      </c>
      <c r="S55" s="24">
        <v>1</v>
      </c>
      <c r="T55" s="24">
        <f t="shared" si="16"/>
        <v>2.4759544880961702E-5</v>
      </c>
      <c r="U55" s="27">
        <f t="shared" si="17"/>
        <v>4.9758963896931879E-3</v>
      </c>
      <c r="V55" s="96"/>
    </row>
    <row r="56" spans="1:22" s="24" customFormat="1" x14ac:dyDescent="0.2">
      <c r="A56" s="36" t="s">
        <v>69</v>
      </c>
      <c r="B56" s="77"/>
      <c r="C56" s="32">
        <v>44480.277199999997</v>
      </c>
      <c r="D56" s="32"/>
      <c r="E56" s="26">
        <f t="shared" si="9"/>
        <v>-24620.931217941637</v>
      </c>
      <c r="F56" s="24">
        <f t="shared" si="10"/>
        <v>-24621</v>
      </c>
      <c r="G56" s="27">
        <f t="shared" si="11"/>
        <v>2.4078392998490017E-2</v>
      </c>
      <c r="H56" s="27"/>
      <c r="I56" s="27"/>
      <c r="J56" s="12"/>
      <c r="K56" s="27">
        <f t="shared" si="12"/>
        <v>2.4078392998490017E-2</v>
      </c>
      <c r="L56" s="27"/>
      <c r="M56" s="27"/>
      <c r="N56" s="27"/>
      <c r="O56" s="27"/>
      <c r="P56" s="27">
        <f t="shared" si="13"/>
        <v>2.0169231242321041E-2</v>
      </c>
      <c r="Q56" s="28">
        <f t="shared" si="14"/>
        <v>29461.777199999997</v>
      </c>
      <c r="R56" s="24">
        <f t="shared" si="15"/>
        <v>1.5281545635894111E-5</v>
      </c>
      <c r="S56" s="24">
        <v>1</v>
      </c>
      <c r="T56" s="24">
        <f t="shared" si="16"/>
        <v>1.5281545635894111E-5</v>
      </c>
      <c r="U56" s="27">
        <f t="shared" si="17"/>
        <v>3.9091617561689759E-3</v>
      </c>
      <c r="V56" s="96"/>
    </row>
    <row r="57" spans="1:22" s="24" customFormat="1" x14ac:dyDescent="0.2">
      <c r="A57" s="36" t="s">
        <v>69</v>
      </c>
      <c r="B57" s="77"/>
      <c r="C57" s="32">
        <v>44480.453099999999</v>
      </c>
      <c r="D57" s="32"/>
      <c r="E57" s="26">
        <f t="shared" si="9"/>
        <v>-24620.428744040375</v>
      </c>
      <c r="F57" s="24">
        <f t="shared" si="10"/>
        <v>-24620.5</v>
      </c>
      <c r="G57" s="27">
        <f t="shared" si="11"/>
        <v>2.4944426499132533E-2</v>
      </c>
      <c r="H57" s="27"/>
      <c r="I57" s="27"/>
      <c r="J57" s="12"/>
      <c r="K57" s="27">
        <f t="shared" si="12"/>
        <v>2.4944426499132533E-2</v>
      </c>
      <c r="L57" s="27"/>
      <c r="M57" s="27"/>
      <c r="N57" s="27"/>
      <c r="O57" s="27"/>
      <c r="P57" s="27">
        <f t="shared" si="13"/>
        <v>2.0168604307276849E-2</v>
      </c>
      <c r="Q57" s="28">
        <f t="shared" si="14"/>
        <v>29461.953099999999</v>
      </c>
      <c r="R57" s="24">
        <f t="shared" si="15"/>
        <v>2.2808477608221221E-5</v>
      </c>
      <c r="S57" s="24">
        <v>1</v>
      </c>
      <c r="T57" s="24">
        <f t="shared" si="16"/>
        <v>2.2808477608221221E-5</v>
      </c>
      <c r="U57" s="27">
        <f t="shared" si="17"/>
        <v>4.7758221918556831E-3</v>
      </c>
      <c r="V57" s="96"/>
    </row>
    <row r="58" spans="1:22" s="24" customFormat="1" x14ac:dyDescent="0.2">
      <c r="A58" s="36" t="s">
        <v>69</v>
      </c>
      <c r="B58" s="77"/>
      <c r="C58" s="32">
        <v>44500.405100000004</v>
      </c>
      <c r="D58" s="32"/>
      <c r="E58" s="26">
        <f t="shared" si="9"/>
        <v>-24563.434092090905</v>
      </c>
      <c r="F58" s="24">
        <f t="shared" si="10"/>
        <v>-24563.5</v>
      </c>
      <c r="G58" s="27">
        <f t="shared" si="11"/>
        <v>2.30722455016803E-2</v>
      </c>
      <c r="H58" s="27"/>
      <c r="I58" s="27"/>
      <c r="J58" s="12"/>
      <c r="K58" s="27">
        <f t="shared" si="12"/>
        <v>2.30722455016803E-2</v>
      </c>
      <c r="L58" s="27"/>
      <c r="M58" s="27"/>
      <c r="N58" s="27"/>
      <c r="O58" s="27"/>
      <c r="P58" s="27">
        <f t="shared" si="13"/>
        <v>2.0097191577975321E-2</v>
      </c>
      <c r="Q58" s="28">
        <f t="shared" si="14"/>
        <v>29481.905100000004</v>
      </c>
      <c r="R58" s="24">
        <f t="shared" si="15"/>
        <v>8.85094584895239E-6</v>
      </c>
      <c r="S58" s="24">
        <v>1</v>
      </c>
      <c r="T58" s="24">
        <f t="shared" si="16"/>
        <v>8.85094584895239E-6</v>
      </c>
      <c r="U58" s="27">
        <f t="shared" si="17"/>
        <v>2.9750539237049789E-3</v>
      </c>
      <c r="V58" s="96"/>
    </row>
    <row r="59" spans="1:22" s="24" customFormat="1" x14ac:dyDescent="0.2">
      <c r="A59" s="36" t="s">
        <v>69</v>
      </c>
      <c r="B59" s="77"/>
      <c r="C59" s="32">
        <v>44506.357799999998</v>
      </c>
      <c r="D59" s="32"/>
      <c r="E59" s="26">
        <f t="shared" si="9"/>
        <v>-24546.429678264762</v>
      </c>
      <c r="F59" s="24">
        <f t="shared" si="10"/>
        <v>-24546.5</v>
      </c>
      <c r="G59" s="27">
        <f t="shared" si="11"/>
        <v>2.4617384500743356E-2</v>
      </c>
      <c r="H59" s="27"/>
      <c r="I59" s="27"/>
      <c r="J59" s="12"/>
      <c r="K59" s="27">
        <f t="shared" si="12"/>
        <v>2.4617384500743356E-2</v>
      </c>
      <c r="L59" s="27"/>
      <c r="M59" s="27"/>
      <c r="N59" s="27"/>
      <c r="O59" s="27"/>
      <c r="P59" s="27">
        <f t="shared" si="13"/>
        <v>2.0075915255230677E-2</v>
      </c>
      <c r="Q59" s="28">
        <f t="shared" si="14"/>
        <v>29487.857799999998</v>
      </c>
      <c r="R59" s="24">
        <f t="shared" si="15"/>
        <v>2.0624942907937501E-5</v>
      </c>
      <c r="S59" s="24">
        <v>1</v>
      </c>
      <c r="T59" s="24">
        <f t="shared" si="16"/>
        <v>2.0624942907937501E-5</v>
      </c>
      <c r="U59" s="27">
        <f t="shared" si="17"/>
        <v>4.541469245512679E-3</v>
      </c>
      <c r="V59" s="96"/>
    </row>
    <row r="60" spans="1:22" s="24" customFormat="1" x14ac:dyDescent="0.2">
      <c r="A60" s="36" t="s">
        <v>70</v>
      </c>
      <c r="B60" s="77"/>
      <c r="C60" s="32">
        <v>44707.453000000001</v>
      </c>
      <c r="D60" s="32"/>
      <c r="E60" s="26">
        <f t="shared" si="9"/>
        <v>-23971.983460707317</v>
      </c>
      <c r="F60" s="24">
        <f t="shared" si="10"/>
        <v>-23972</v>
      </c>
      <c r="G60" s="27">
        <f t="shared" si="11"/>
        <v>5.7898760060197674E-3</v>
      </c>
      <c r="H60" s="27"/>
      <c r="I60" s="27"/>
      <c r="J60" s="27"/>
      <c r="K60" s="27">
        <f t="shared" si="12"/>
        <v>5.7898760060197674E-3</v>
      </c>
      <c r="L60" s="27"/>
      <c r="M60" s="27"/>
      <c r="N60" s="27"/>
      <c r="O60" s="27"/>
      <c r="P60" s="27">
        <f t="shared" si="13"/>
        <v>1.9362900318862314E-2</v>
      </c>
      <c r="Q60" s="28">
        <f t="shared" si="14"/>
        <v>29688.953000000001</v>
      </c>
      <c r="R60" s="24">
        <f t="shared" si="15"/>
        <v>1.8422698899701488E-4</v>
      </c>
      <c r="S60" s="24">
        <v>1</v>
      </c>
      <c r="T60" s="24">
        <f t="shared" si="16"/>
        <v>1.8422698899701488E-4</v>
      </c>
      <c r="U60" s="27">
        <f t="shared" si="17"/>
        <v>-1.3573024312842547E-2</v>
      </c>
      <c r="V60" s="96"/>
    </row>
    <row r="61" spans="1:22" s="24" customFormat="1" x14ac:dyDescent="0.2">
      <c r="A61" s="36" t="s">
        <v>69</v>
      </c>
      <c r="B61" s="77"/>
      <c r="C61" s="32">
        <v>44752.457900000001</v>
      </c>
      <c r="D61" s="32"/>
      <c r="E61" s="26">
        <f t="shared" si="9"/>
        <v>-23843.422984989593</v>
      </c>
      <c r="F61" s="24">
        <f t="shared" si="10"/>
        <v>-23843.5</v>
      </c>
      <c r="G61" s="27">
        <f t="shared" si="11"/>
        <v>2.6960485505696852E-2</v>
      </c>
      <c r="H61" s="27"/>
      <c r="I61" s="27"/>
      <c r="J61" s="12"/>
      <c r="K61" s="27">
        <f t="shared" si="12"/>
        <v>2.6960485505696852E-2</v>
      </c>
      <c r="L61" s="27"/>
      <c r="M61" s="27"/>
      <c r="N61" s="27"/>
      <c r="O61" s="27"/>
      <c r="P61" s="27">
        <f t="shared" si="13"/>
        <v>1.9205013214775836E-2</v>
      </c>
      <c r="Q61" s="28">
        <f t="shared" si="14"/>
        <v>29733.957900000001</v>
      </c>
      <c r="R61" s="24">
        <f t="shared" si="15"/>
        <v>6.0147350455243668E-5</v>
      </c>
      <c r="S61" s="24">
        <v>1</v>
      </c>
      <c r="T61" s="24">
        <f t="shared" si="16"/>
        <v>6.0147350455243668E-5</v>
      </c>
      <c r="U61" s="27">
        <f t="shared" si="17"/>
        <v>7.7554722909210158E-3</v>
      </c>
      <c r="V61" s="96"/>
    </row>
    <row r="62" spans="1:22" s="24" customFormat="1" x14ac:dyDescent="0.2">
      <c r="A62" s="36" t="s">
        <v>71</v>
      </c>
      <c r="B62" s="77"/>
      <c r="C62" s="32">
        <v>45739.289700000001</v>
      </c>
      <c r="D62" s="32"/>
      <c r="E62" s="26">
        <f t="shared" si="9"/>
        <v>-21024.450702829719</v>
      </c>
      <c r="F62" s="24">
        <f t="shared" si="10"/>
        <v>-21024.5</v>
      </c>
      <c r="G62" s="27">
        <f t="shared" si="11"/>
        <v>1.7257358500501141E-2</v>
      </c>
      <c r="H62" s="27"/>
      <c r="I62" s="27"/>
      <c r="J62" s="12"/>
      <c r="K62" s="27">
        <f t="shared" si="12"/>
        <v>1.7257358500501141E-2</v>
      </c>
      <c r="L62" s="27"/>
      <c r="M62" s="27"/>
      <c r="N62" s="27"/>
      <c r="O62" s="27"/>
      <c r="P62" s="27">
        <f t="shared" si="13"/>
        <v>1.5888025648494085E-2</v>
      </c>
      <c r="Q62" s="28">
        <f t="shared" si="14"/>
        <v>30720.789700000001</v>
      </c>
      <c r="R62" s="24">
        <f t="shared" si="15"/>
        <v>1.8750724595857781E-6</v>
      </c>
      <c r="S62" s="24">
        <v>1</v>
      </c>
      <c r="T62" s="24">
        <f t="shared" si="16"/>
        <v>1.8750724595857781E-6</v>
      </c>
      <c r="U62" s="27">
        <f t="shared" si="17"/>
        <v>1.3693328520070561E-3</v>
      </c>
      <c r="V62" s="96"/>
    </row>
    <row r="63" spans="1:22" s="24" customFormat="1" x14ac:dyDescent="0.2">
      <c r="A63" s="36" t="s">
        <v>71</v>
      </c>
      <c r="B63" s="77"/>
      <c r="C63" s="32">
        <v>45740.339399999997</v>
      </c>
      <c r="D63" s="32"/>
      <c r="E63" s="26">
        <f t="shared" si="9"/>
        <v>-21021.452141976115</v>
      </c>
      <c r="F63" s="24">
        <f t="shared" si="10"/>
        <v>-21021.5</v>
      </c>
      <c r="G63" s="27">
        <f t="shared" si="11"/>
        <v>1.6753559495555237E-2</v>
      </c>
      <c r="H63" s="27"/>
      <c r="I63" s="27"/>
      <c r="J63" s="12"/>
      <c r="K63" s="27">
        <f t="shared" si="12"/>
        <v>1.6753559495555237E-2</v>
      </c>
      <c r="L63" s="27"/>
      <c r="M63" s="27"/>
      <c r="N63" s="27"/>
      <c r="O63" s="27"/>
      <c r="P63" s="27">
        <f t="shared" si="13"/>
        <v>1.5884645157595398E-2</v>
      </c>
      <c r="Q63" s="28">
        <f t="shared" si="14"/>
        <v>30721.839399999997</v>
      </c>
      <c r="R63" s="24">
        <f t="shared" si="15"/>
        <v>7.5501212671218543E-7</v>
      </c>
      <c r="S63" s="24">
        <v>1</v>
      </c>
      <c r="T63" s="24">
        <f t="shared" si="16"/>
        <v>7.5501212671218543E-7</v>
      </c>
      <c r="U63" s="27">
        <f t="shared" si="17"/>
        <v>8.6891433795983908E-4</v>
      </c>
      <c r="V63" s="96"/>
    </row>
    <row r="64" spans="1:22" s="24" customFormat="1" x14ac:dyDescent="0.2">
      <c r="A64" s="36" t="s">
        <v>71</v>
      </c>
      <c r="B64" s="77"/>
      <c r="C64" s="32">
        <v>45740.513099999996</v>
      </c>
      <c r="D64" s="32"/>
      <c r="E64" s="26">
        <f t="shared" si="9"/>
        <v>-21020.955952569358</v>
      </c>
      <c r="F64" s="24">
        <f t="shared" si="10"/>
        <v>-21021</v>
      </c>
      <c r="G64" s="27">
        <f t="shared" si="11"/>
        <v>1.5419593000842724E-2</v>
      </c>
      <c r="H64" s="27"/>
      <c r="I64" s="27"/>
      <c r="J64" s="12"/>
      <c r="K64" s="27">
        <f t="shared" si="12"/>
        <v>1.5419593000842724E-2</v>
      </c>
      <c r="L64" s="27"/>
      <c r="M64" s="27"/>
      <c r="N64" s="27"/>
      <c r="O64" s="27"/>
      <c r="P64" s="27">
        <f t="shared" si="13"/>
        <v>1.5884081773342655E-2</v>
      </c>
      <c r="Q64" s="28">
        <f t="shared" si="14"/>
        <v>30722.013099999996</v>
      </c>
      <c r="R64" s="24">
        <f t="shared" si="15"/>
        <v>2.1574981977849275E-7</v>
      </c>
      <c r="S64" s="24">
        <v>1</v>
      </c>
      <c r="T64" s="24">
        <f t="shared" si="16"/>
        <v>2.1574981977849275E-7</v>
      </c>
      <c r="U64" s="27">
        <f t="shared" si="17"/>
        <v>-4.6448877249993109E-4</v>
      </c>
      <c r="V64" s="96"/>
    </row>
    <row r="65" spans="1:24" s="24" customFormat="1" x14ac:dyDescent="0.2">
      <c r="A65" s="36" t="s">
        <v>71</v>
      </c>
      <c r="B65" s="77"/>
      <c r="C65" s="32">
        <v>45753.292000000001</v>
      </c>
      <c r="D65" s="32"/>
      <c r="E65" s="26">
        <f t="shared" si="9"/>
        <v>-20984.451894941194</v>
      </c>
      <c r="F65" s="24">
        <f t="shared" si="10"/>
        <v>-20984.5</v>
      </c>
      <c r="G65" s="27">
        <f t="shared" si="11"/>
        <v>1.6840038500959054E-2</v>
      </c>
      <c r="H65" s="27"/>
      <c r="I65" s="27"/>
      <c r="J65" s="12"/>
      <c r="K65" s="27">
        <f t="shared" si="12"/>
        <v>1.6840038500959054E-2</v>
      </c>
      <c r="L65" s="27"/>
      <c r="M65" s="27"/>
      <c r="N65" s="27"/>
      <c r="O65" s="27"/>
      <c r="P65" s="27">
        <f t="shared" si="13"/>
        <v>1.5842978566577248E-2</v>
      </c>
      <c r="Q65" s="28">
        <f t="shared" si="14"/>
        <v>30734.792000000001</v>
      </c>
      <c r="R65" s="24">
        <f t="shared" si="15"/>
        <v>9.9412851274945139E-7</v>
      </c>
      <c r="S65" s="24">
        <v>1</v>
      </c>
      <c r="T65" s="24">
        <f t="shared" si="16"/>
        <v>9.9412851274945139E-7</v>
      </c>
      <c r="U65" s="27">
        <f t="shared" si="17"/>
        <v>9.970599343818061E-4</v>
      </c>
      <c r="V65" s="96"/>
    </row>
    <row r="66" spans="1:24" s="24" customFormat="1" x14ac:dyDescent="0.2">
      <c r="A66" s="36" t="s">
        <v>71</v>
      </c>
      <c r="B66" s="77"/>
      <c r="C66" s="32">
        <v>45761.519099999998</v>
      </c>
      <c r="D66" s="32"/>
      <c r="E66" s="26">
        <f t="shared" si="9"/>
        <v>-20960.950456436123</v>
      </c>
      <c r="F66" s="24">
        <f t="shared" si="10"/>
        <v>-20961</v>
      </c>
      <c r="G66" s="27">
        <f t="shared" si="11"/>
        <v>1.7343612998956814E-2</v>
      </c>
      <c r="H66" s="27"/>
      <c r="I66" s="27"/>
      <c r="J66" s="12"/>
      <c r="K66" s="27">
        <f t="shared" si="12"/>
        <v>1.7343612998956814E-2</v>
      </c>
      <c r="L66" s="27"/>
      <c r="M66" s="27"/>
      <c r="N66" s="27"/>
      <c r="O66" s="27"/>
      <c r="P66" s="27">
        <f t="shared" si="13"/>
        <v>1.5816539752296029E-2</v>
      </c>
      <c r="Q66" s="28">
        <f t="shared" si="14"/>
        <v>30743.019099999998</v>
      </c>
      <c r="R66" s="24">
        <f t="shared" si="15"/>
        <v>2.3319527006671132E-6</v>
      </c>
      <c r="S66" s="24">
        <v>1</v>
      </c>
      <c r="T66" s="24">
        <f t="shared" si="16"/>
        <v>2.3319527006671132E-6</v>
      </c>
      <c r="U66" s="27">
        <f t="shared" si="17"/>
        <v>1.5270732466607859E-3</v>
      </c>
      <c r="V66" s="96"/>
    </row>
    <row r="67" spans="1:24" s="24" customFormat="1" x14ac:dyDescent="0.2">
      <c r="A67" s="36" t="s">
        <v>71</v>
      </c>
      <c r="B67" s="77"/>
      <c r="C67" s="32">
        <v>45762.2192</v>
      </c>
      <c r="D67" s="32"/>
      <c r="E67" s="26">
        <f t="shared" si="9"/>
        <v>-20958.950558890519</v>
      </c>
      <c r="F67" s="24">
        <f t="shared" si="10"/>
        <v>-20959</v>
      </c>
      <c r="G67" s="27">
        <f t="shared" si="11"/>
        <v>1.7307747002632823E-2</v>
      </c>
      <c r="H67" s="27"/>
      <c r="I67" s="27"/>
      <c r="J67" s="12"/>
      <c r="K67" s="27">
        <f t="shared" si="12"/>
        <v>1.7307747002632823E-2</v>
      </c>
      <c r="L67" s="27"/>
      <c r="M67" s="27"/>
      <c r="N67" s="27"/>
      <c r="O67" s="27"/>
      <c r="P67" s="27">
        <f t="shared" si="13"/>
        <v>1.5814290540870246E-2</v>
      </c>
      <c r="Q67" s="28">
        <f t="shared" si="14"/>
        <v>30743.7192</v>
      </c>
      <c r="R67" s="24">
        <f t="shared" si="15"/>
        <v>2.2304122031803949E-6</v>
      </c>
      <c r="S67" s="24">
        <v>1</v>
      </c>
      <c r="T67" s="24">
        <f t="shared" si="16"/>
        <v>2.2304122031803949E-6</v>
      </c>
      <c r="U67" s="27">
        <f t="shared" si="17"/>
        <v>1.4934564617625767E-3</v>
      </c>
      <c r="V67" s="96"/>
    </row>
    <row r="68" spans="1:24" s="24" customFormat="1" x14ac:dyDescent="0.2">
      <c r="A68" s="36" t="s">
        <v>71</v>
      </c>
      <c r="B68" s="77"/>
      <c r="C68" s="32">
        <v>45762.393700000001</v>
      </c>
      <c r="D68" s="32"/>
      <c r="E68" s="26">
        <f t="shared" si="9"/>
        <v>-20958.45208421303</v>
      </c>
      <c r="F68" s="24">
        <f t="shared" si="10"/>
        <v>-20958.5</v>
      </c>
      <c r="G68" s="27">
        <f t="shared" si="11"/>
        <v>1.6773780502262525E-2</v>
      </c>
      <c r="H68" s="27"/>
      <c r="I68" s="27"/>
      <c r="J68" s="12"/>
      <c r="K68" s="27">
        <f t="shared" si="12"/>
        <v>1.6773780502262525E-2</v>
      </c>
      <c r="L68" s="27"/>
      <c r="M68" s="27"/>
      <c r="N68" s="27"/>
      <c r="O68" s="27"/>
      <c r="P68" s="27">
        <f t="shared" si="13"/>
        <v>1.5813728260083114E-2</v>
      </c>
      <c r="Q68" s="28">
        <f t="shared" si="14"/>
        <v>30743.893700000001</v>
      </c>
      <c r="R68" s="24">
        <f t="shared" si="15"/>
        <v>9.217003077137151E-7</v>
      </c>
      <c r="S68" s="24">
        <v>1</v>
      </c>
      <c r="T68" s="24">
        <f t="shared" si="16"/>
        <v>9.217003077137151E-7</v>
      </c>
      <c r="U68" s="27">
        <f t="shared" si="17"/>
        <v>9.6005224217941137E-4</v>
      </c>
      <c r="V68" s="96"/>
    </row>
    <row r="69" spans="1:24" s="24" customFormat="1" x14ac:dyDescent="0.2">
      <c r="A69" s="36" t="s">
        <v>71</v>
      </c>
      <c r="B69" s="77"/>
      <c r="C69" s="32">
        <v>45763.273099999999</v>
      </c>
      <c r="D69" s="32"/>
      <c r="E69" s="26">
        <f t="shared" si="9"/>
        <v>-20955.940000365586</v>
      </c>
      <c r="F69" s="24">
        <f t="shared" si="10"/>
        <v>-20956</v>
      </c>
      <c r="G69" s="27">
        <f t="shared" si="11"/>
        <v>2.1003948000725359E-2</v>
      </c>
      <c r="H69" s="27"/>
      <c r="I69" s="27"/>
      <c r="J69" s="12"/>
      <c r="K69" s="27">
        <f t="shared" si="12"/>
        <v>2.1003948000725359E-2</v>
      </c>
      <c r="L69" s="27"/>
      <c r="M69" s="27"/>
      <c r="N69" s="27"/>
      <c r="O69" s="27"/>
      <c r="P69" s="27">
        <f t="shared" si="13"/>
        <v>1.5810916988563316E-2</v>
      </c>
      <c r="Q69" s="28">
        <f t="shared" si="14"/>
        <v>30744.773099999999</v>
      </c>
      <c r="R69" s="24">
        <f t="shared" si="15"/>
        <v>2.6967571093276732E-5</v>
      </c>
      <c r="S69" s="24">
        <v>1</v>
      </c>
      <c r="T69" s="24">
        <f t="shared" si="16"/>
        <v>2.6967571093276732E-5</v>
      </c>
      <c r="U69" s="27">
        <f t="shared" si="17"/>
        <v>5.1930310121620429E-3</v>
      </c>
      <c r="V69" s="96"/>
    </row>
    <row r="70" spans="1:24" s="24" customFormat="1" x14ac:dyDescent="0.2">
      <c r="A70" s="36" t="s">
        <v>71</v>
      </c>
      <c r="B70" s="77"/>
      <c r="C70" s="32">
        <v>45802.302600000003</v>
      </c>
      <c r="D70" s="32"/>
      <c r="E70" s="26">
        <f t="shared" si="9"/>
        <v>-20844.448783030908</v>
      </c>
      <c r="F70" s="24">
        <f t="shared" si="10"/>
        <v>-20844.5</v>
      </c>
      <c r="G70" s="27">
        <f t="shared" si="11"/>
        <v>1.7929418507264927E-2</v>
      </c>
      <c r="H70" s="27"/>
      <c r="I70" s="27"/>
      <c r="J70" s="12"/>
      <c r="K70" s="27">
        <f t="shared" si="12"/>
        <v>1.7929418507264927E-2</v>
      </c>
      <c r="L70" s="27"/>
      <c r="M70" s="27"/>
      <c r="N70" s="27"/>
      <c r="O70" s="27"/>
      <c r="P70" s="27">
        <f t="shared" si="13"/>
        <v>1.5685758697202543E-2</v>
      </c>
      <c r="Q70" s="28">
        <f t="shared" si="14"/>
        <v>30783.802600000003</v>
      </c>
      <c r="R70" s="24">
        <f t="shared" si="15"/>
        <v>5.0340093432891721E-6</v>
      </c>
      <c r="S70" s="24">
        <v>1</v>
      </c>
      <c r="T70" s="24">
        <f t="shared" si="16"/>
        <v>5.0340093432891721E-6</v>
      </c>
      <c r="U70" s="27">
        <f t="shared" si="17"/>
        <v>2.2436598100623838E-3</v>
      </c>
      <c r="V70" s="96"/>
    </row>
    <row r="71" spans="1:24" s="24" customFormat="1" x14ac:dyDescent="0.2">
      <c r="A71" s="36" t="s">
        <v>71</v>
      </c>
      <c r="B71" s="77"/>
      <c r="C71" s="32">
        <v>45813.329100000003</v>
      </c>
      <c r="D71" s="32"/>
      <c r="E71" s="26">
        <f t="shared" si="9"/>
        <v>-20812.950610931839</v>
      </c>
      <c r="F71" s="24">
        <f t="shared" si="10"/>
        <v>-20813</v>
      </c>
      <c r="G71" s="27">
        <f t="shared" si="11"/>
        <v>1.7289529001573101E-2</v>
      </c>
      <c r="H71" s="27"/>
      <c r="I71" s="27"/>
      <c r="J71" s="12"/>
      <c r="K71" s="27">
        <f t="shared" si="12"/>
        <v>1.7289529001573101E-2</v>
      </c>
      <c r="L71" s="27"/>
      <c r="M71" s="27"/>
      <c r="N71" s="27"/>
      <c r="O71" s="27"/>
      <c r="P71" s="27">
        <f t="shared" si="13"/>
        <v>1.565047960574676E-2</v>
      </c>
      <c r="Q71" s="28">
        <f t="shared" si="14"/>
        <v>30794.829100000003</v>
      </c>
      <c r="R71" s="24">
        <f t="shared" si="15"/>
        <v>2.686482921958692E-6</v>
      </c>
      <c r="S71" s="24">
        <v>1</v>
      </c>
      <c r="T71" s="24">
        <f t="shared" si="16"/>
        <v>2.686482921958692E-6</v>
      </c>
      <c r="U71" s="27">
        <f t="shared" si="17"/>
        <v>1.6390493958263405E-3</v>
      </c>
      <c r="V71" s="96"/>
    </row>
    <row r="72" spans="1:24" s="24" customFormat="1" x14ac:dyDescent="0.2">
      <c r="A72" s="36" t="s">
        <v>71</v>
      </c>
      <c r="B72" s="77"/>
      <c r="C72" s="32">
        <v>45814.379200000003</v>
      </c>
      <c r="D72" s="32"/>
      <c r="E72" s="26">
        <f t="shared" si="9"/>
        <v>-20809.950907442857</v>
      </c>
      <c r="F72" s="24">
        <f t="shared" si="10"/>
        <v>-20810</v>
      </c>
      <c r="G72" s="27">
        <f t="shared" si="11"/>
        <v>1.718573000835022E-2</v>
      </c>
      <c r="H72" s="27"/>
      <c r="I72" s="27"/>
      <c r="J72" s="12"/>
      <c r="K72" s="27">
        <f t="shared" si="12"/>
        <v>1.718573000835022E-2</v>
      </c>
      <c r="L72" s="27"/>
      <c r="M72" s="27"/>
      <c r="N72" s="27"/>
      <c r="O72" s="27"/>
      <c r="P72" s="27">
        <f t="shared" si="13"/>
        <v>1.5647121519613831E-2</v>
      </c>
      <c r="Q72" s="28">
        <f t="shared" si="14"/>
        <v>30795.879200000003</v>
      </c>
      <c r="R72" s="24">
        <f t="shared" si="15"/>
        <v>2.3673160816116734E-6</v>
      </c>
      <c r="S72" s="24">
        <v>1</v>
      </c>
      <c r="T72" s="24">
        <f t="shared" si="16"/>
        <v>2.3673160816116734E-6</v>
      </c>
      <c r="U72" s="27">
        <f t="shared" si="17"/>
        <v>1.5386084887363885E-3</v>
      </c>
      <c r="V72" s="96"/>
    </row>
    <row r="73" spans="1:24" s="24" customFormat="1" x14ac:dyDescent="0.2">
      <c r="A73" s="36" t="s">
        <v>72</v>
      </c>
      <c r="B73" s="77"/>
      <c r="C73" s="32">
        <v>45857.262199999997</v>
      </c>
      <c r="D73" s="32"/>
      <c r="E73" s="26">
        <f t="shared" si="9"/>
        <v>-20687.4518266716</v>
      </c>
      <c r="F73" s="24">
        <f t="shared" si="10"/>
        <v>-20687.5</v>
      </c>
      <c r="G73" s="27">
        <f t="shared" si="11"/>
        <v>1.6863937496964354E-2</v>
      </c>
      <c r="H73" s="27"/>
      <c r="I73" s="27"/>
      <c r="J73" s="27">
        <f>G73</f>
        <v>1.6863937496964354E-2</v>
      </c>
      <c r="K73" s="27"/>
      <c r="L73" s="27"/>
      <c r="M73" s="27"/>
      <c r="N73" s="27"/>
      <c r="O73" s="27"/>
      <c r="P73" s="27">
        <f t="shared" si="13"/>
        <v>1.5510271099656844E-2</v>
      </c>
      <c r="Q73" s="28">
        <f t="shared" si="14"/>
        <v>30838.762199999997</v>
      </c>
      <c r="R73" s="24">
        <f t="shared" si="15"/>
        <v>1.8324127151994927E-6</v>
      </c>
      <c r="S73" s="24">
        <v>1</v>
      </c>
      <c r="T73" s="24">
        <f t="shared" si="16"/>
        <v>1.8324127151994927E-6</v>
      </c>
      <c r="U73" s="27">
        <f t="shared" si="17"/>
        <v>1.3536663973075097E-3</v>
      </c>
      <c r="V73" s="96"/>
    </row>
    <row r="74" spans="1:24" s="24" customFormat="1" x14ac:dyDescent="0.2">
      <c r="A74" s="36" t="s">
        <v>72</v>
      </c>
      <c r="B74" s="77"/>
      <c r="C74" s="32">
        <v>45860.239200000004</v>
      </c>
      <c r="D74" s="32"/>
      <c r="E74" s="26">
        <f t="shared" si="9"/>
        <v>-20678.947762976037</v>
      </c>
      <c r="F74" s="24">
        <f t="shared" si="10"/>
        <v>-20679</v>
      </c>
      <c r="G74" s="27">
        <f t="shared" si="11"/>
        <v>1.8286507001903374E-2</v>
      </c>
      <c r="H74" s="27"/>
      <c r="I74" s="27"/>
      <c r="J74" s="27">
        <f>G74</f>
        <v>1.8286507001903374E-2</v>
      </c>
      <c r="K74" s="27"/>
      <c r="L74" s="27"/>
      <c r="M74" s="27"/>
      <c r="N74" s="27"/>
      <c r="O74" s="27"/>
      <c r="P74" s="27">
        <f t="shared" si="13"/>
        <v>1.5500795015574578E-2</v>
      </c>
      <c r="Q74" s="28">
        <f t="shared" si="14"/>
        <v>30841.739200000004</v>
      </c>
      <c r="R74" s="24">
        <f t="shared" si="15"/>
        <v>7.7601912707759276E-6</v>
      </c>
      <c r="S74" s="24">
        <v>1</v>
      </c>
      <c r="T74" s="24">
        <f t="shared" si="16"/>
        <v>7.7601912707759276E-6</v>
      </c>
      <c r="U74" s="27">
        <f t="shared" si="17"/>
        <v>2.7857119863287962E-3</v>
      </c>
      <c r="V74" s="96"/>
    </row>
    <row r="75" spans="1:24" s="24" customFormat="1" x14ac:dyDescent="0.2">
      <c r="A75" s="36" t="s">
        <v>194</v>
      </c>
      <c r="B75" s="77"/>
      <c r="C75" s="32">
        <v>46127.688800000004</v>
      </c>
      <c r="D75" s="32"/>
      <c r="E75" s="26">
        <f t="shared" si="9"/>
        <v>-19914.954335448929</v>
      </c>
      <c r="F75" s="24">
        <f t="shared" si="10"/>
        <v>-19915</v>
      </c>
      <c r="G75" s="27">
        <f t="shared" si="11"/>
        <v>1.5985695004928857E-2</v>
      </c>
      <c r="H75" s="27"/>
      <c r="I75" s="27"/>
      <c r="J75" s="27">
        <f>G75</f>
        <v>1.5985695004928857E-2</v>
      </c>
      <c r="K75" s="27"/>
      <c r="L75" s="27"/>
      <c r="M75" s="27"/>
      <c r="N75" s="27"/>
      <c r="O75" s="27"/>
      <c r="P75" s="27">
        <f t="shared" si="13"/>
        <v>1.4659482351492252E-2</v>
      </c>
      <c r="Q75" s="28">
        <f t="shared" si="14"/>
        <v>31109.188800000004</v>
      </c>
      <c r="R75" s="24">
        <f t="shared" si="15"/>
        <v>1.7588400021353616E-6</v>
      </c>
      <c r="S75" s="24">
        <v>1</v>
      </c>
      <c r="T75" s="24">
        <f t="shared" si="16"/>
        <v>1.7588400021353616E-6</v>
      </c>
      <c r="U75" s="27">
        <f t="shared" si="17"/>
        <v>1.3262126534366054E-3</v>
      </c>
      <c r="V75" s="96"/>
      <c r="X75" s="24" t="s">
        <v>195</v>
      </c>
    </row>
    <row r="76" spans="1:24" s="24" customFormat="1" x14ac:dyDescent="0.2">
      <c r="A76" s="36" t="s">
        <v>73</v>
      </c>
      <c r="B76" s="77"/>
      <c r="C76" s="32">
        <v>46649.440000000002</v>
      </c>
      <c r="D76" s="32"/>
      <c r="E76" s="26">
        <f t="shared" si="9"/>
        <v>-18424.525904804872</v>
      </c>
      <c r="F76" s="24">
        <f t="shared" si="10"/>
        <v>-18424.5</v>
      </c>
      <c r="G76" s="27">
        <f t="shared" si="11"/>
        <v>-9.0684414972201921E-3</v>
      </c>
      <c r="H76" s="27"/>
      <c r="I76" s="27">
        <f>G76</f>
        <v>-9.0684414972201921E-3</v>
      </c>
      <c r="J76" s="27"/>
      <c r="K76" s="12"/>
      <c r="L76" s="27"/>
      <c r="M76" s="27"/>
      <c r="N76" s="27"/>
      <c r="O76" s="27"/>
      <c r="P76" s="27">
        <f t="shared" si="13"/>
        <v>1.3077479997574415E-2</v>
      </c>
      <c r="Q76" s="28">
        <f t="shared" si="14"/>
        <v>31630.940000000002</v>
      </c>
      <c r="R76" s="24">
        <f t="shared" si="15"/>
        <v>4.9044183885360582E-4</v>
      </c>
      <c r="S76" s="24">
        <v>0.1</v>
      </c>
      <c r="T76" s="24">
        <f t="shared" si="16"/>
        <v>4.9044183885360586E-5</v>
      </c>
      <c r="U76" s="27">
        <f t="shared" si="17"/>
        <v>-2.2145921494794607E-2</v>
      </c>
      <c r="V76" s="96"/>
    </row>
    <row r="77" spans="1:24" s="24" customFormat="1" x14ac:dyDescent="0.2">
      <c r="A77" s="36" t="s">
        <v>74</v>
      </c>
      <c r="B77" s="77"/>
      <c r="C77" s="32">
        <v>46649.445</v>
      </c>
      <c r="D77" s="32"/>
      <c r="E77" s="26">
        <f t="shared" si="9"/>
        <v>-18424.511621862832</v>
      </c>
      <c r="F77" s="24">
        <f t="shared" si="10"/>
        <v>-18424.5</v>
      </c>
      <c r="G77" s="27">
        <f t="shared" si="11"/>
        <v>-4.0684414998395368E-3</v>
      </c>
      <c r="H77" s="27"/>
      <c r="I77" s="27"/>
      <c r="J77" s="27"/>
      <c r="K77" s="27">
        <f>G77</f>
        <v>-4.0684414998395368E-3</v>
      </c>
      <c r="L77" s="27"/>
      <c r="M77" s="27"/>
      <c r="N77" s="27"/>
      <c r="O77" s="27"/>
      <c r="P77" s="27">
        <f t="shared" si="13"/>
        <v>1.3077479997574415E-2</v>
      </c>
      <c r="Q77" s="28">
        <f t="shared" si="14"/>
        <v>31630.945</v>
      </c>
      <c r="R77" s="24">
        <f t="shared" si="15"/>
        <v>2.9398262399548189E-4</v>
      </c>
      <c r="S77" s="24">
        <v>1</v>
      </c>
      <c r="T77" s="24">
        <f t="shared" si="16"/>
        <v>2.9398262399548189E-4</v>
      </c>
      <c r="U77" s="27">
        <f t="shared" si="17"/>
        <v>-1.7145921497413952E-2</v>
      </c>
      <c r="V77" s="96"/>
    </row>
    <row r="78" spans="1:24" s="24" customFormat="1" x14ac:dyDescent="0.2">
      <c r="A78" s="36" t="s">
        <v>75</v>
      </c>
      <c r="B78" s="77"/>
      <c r="C78" s="32">
        <v>46649.449000000001</v>
      </c>
      <c r="D78" s="32"/>
      <c r="E78" s="26">
        <f t="shared" si="9"/>
        <v>-18424.50019550919</v>
      </c>
      <c r="F78" s="24">
        <f t="shared" si="10"/>
        <v>-18424.5</v>
      </c>
      <c r="G78" s="27">
        <f t="shared" si="11"/>
        <v>-6.8441499024629593E-5</v>
      </c>
      <c r="H78" s="27"/>
      <c r="I78" s="27">
        <f>G78</f>
        <v>-6.8441499024629593E-5</v>
      </c>
      <c r="J78" s="27"/>
      <c r="L78" s="27"/>
      <c r="M78" s="27"/>
      <c r="N78" s="27"/>
      <c r="O78" s="27"/>
      <c r="P78" s="27">
        <f t="shared" si="13"/>
        <v>1.3077479997574415E-2</v>
      </c>
      <c r="Q78" s="28">
        <f t="shared" si="14"/>
        <v>31630.949000000001</v>
      </c>
      <c r="R78" s="24">
        <f t="shared" si="15"/>
        <v>1.7281525199474486E-4</v>
      </c>
      <c r="S78" s="24">
        <v>0.1</v>
      </c>
      <c r="T78" s="24">
        <f t="shared" si="16"/>
        <v>1.7281525199474486E-5</v>
      </c>
      <c r="U78" s="27">
        <f t="shared" si="17"/>
        <v>-1.3145921496599045E-2</v>
      </c>
      <c r="V78" s="96"/>
    </row>
    <row r="79" spans="1:24" s="24" customFormat="1" x14ac:dyDescent="0.2">
      <c r="A79" s="36" t="s">
        <v>76</v>
      </c>
      <c r="B79" s="77"/>
      <c r="C79" s="32">
        <v>46649.451000000001</v>
      </c>
      <c r="D79" s="32"/>
      <c r="E79" s="26">
        <f t="shared" si="9"/>
        <v>-18424.494482332368</v>
      </c>
      <c r="F79" s="24">
        <f t="shared" si="10"/>
        <v>-18424.5</v>
      </c>
      <c r="G79" s="27">
        <f t="shared" si="11"/>
        <v>1.931558501382824E-3</v>
      </c>
      <c r="H79" s="27"/>
      <c r="I79" s="27"/>
      <c r="J79" s="27"/>
      <c r="K79" s="27">
        <f>G79</f>
        <v>1.931558501382824E-3</v>
      </c>
      <c r="L79" s="27"/>
      <c r="M79" s="27"/>
      <c r="N79" s="27"/>
      <c r="O79" s="27"/>
      <c r="P79" s="27">
        <f t="shared" si="13"/>
        <v>1.3077479997574415E-2</v>
      </c>
      <c r="Q79" s="28">
        <f t="shared" si="14"/>
        <v>31630.951000000001</v>
      </c>
      <c r="R79" s="24">
        <f t="shared" si="15"/>
        <v>1.242315659992658E-4</v>
      </c>
      <c r="S79" s="24">
        <v>1</v>
      </c>
      <c r="T79" s="24">
        <f t="shared" si="16"/>
        <v>1.242315659992658E-4</v>
      </c>
      <c r="U79" s="27">
        <f t="shared" si="17"/>
        <v>-1.1145921496191591E-2</v>
      </c>
      <c r="V79" s="96"/>
    </row>
    <row r="80" spans="1:24" s="24" customFormat="1" x14ac:dyDescent="0.2">
      <c r="A80" s="36" t="s">
        <v>77</v>
      </c>
      <c r="B80" s="77"/>
      <c r="C80" s="32">
        <v>46649.453999999998</v>
      </c>
      <c r="D80" s="32"/>
      <c r="E80" s="26">
        <f t="shared" si="9"/>
        <v>-18424.48591256715</v>
      </c>
      <c r="F80" s="24">
        <f t="shared" si="10"/>
        <v>-18424.5</v>
      </c>
      <c r="G80" s="27">
        <f t="shared" si="11"/>
        <v>4.9315584983560257E-3</v>
      </c>
      <c r="H80" s="27"/>
      <c r="I80" s="27"/>
      <c r="J80" s="27"/>
      <c r="K80" s="27">
        <f>G80</f>
        <v>4.9315584983560257E-3</v>
      </c>
      <c r="L80" s="27"/>
      <c r="M80" s="27"/>
      <c r="N80" s="27"/>
      <c r="O80" s="27"/>
      <c r="P80" s="27">
        <f t="shared" si="13"/>
        <v>1.3077479997574415E-2</v>
      </c>
      <c r="Q80" s="28">
        <f t="shared" si="14"/>
        <v>31630.953999999998</v>
      </c>
      <c r="R80" s="24">
        <f t="shared" si="15"/>
        <v>6.6356037071428365E-5</v>
      </c>
      <c r="S80" s="24">
        <v>1</v>
      </c>
      <c r="T80" s="24">
        <f t="shared" si="16"/>
        <v>6.6356037071428365E-5</v>
      </c>
      <c r="U80" s="27">
        <f t="shared" si="17"/>
        <v>-8.1459214992183893E-3</v>
      </c>
      <c r="V80" s="96"/>
    </row>
    <row r="81" spans="1:22" s="24" customFormat="1" x14ac:dyDescent="0.2">
      <c r="A81" s="36" t="s">
        <v>78</v>
      </c>
      <c r="B81" s="77"/>
      <c r="C81" s="32">
        <v>46650.491999999998</v>
      </c>
      <c r="D81" s="32"/>
      <c r="E81" s="26">
        <f t="shared" si="9"/>
        <v>-18421.520773797925</v>
      </c>
      <c r="F81" s="24">
        <f t="shared" si="10"/>
        <v>-18421.5</v>
      </c>
      <c r="G81" s="27">
        <f t="shared" si="11"/>
        <v>-7.2722405020613223E-3</v>
      </c>
      <c r="H81" s="27"/>
      <c r="I81" s="27">
        <f>G81</f>
        <v>-7.2722405020613223E-3</v>
      </c>
      <c r="J81" s="27"/>
      <c r="K81" s="12"/>
      <c r="L81" s="27"/>
      <c r="M81" s="27"/>
      <c r="N81" s="27"/>
      <c r="O81" s="27"/>
      <c r="P81" s="27">
        <f t="shared" si="13"/>
        <v>1.3074374931692154E-2</v>
      </c>
      <c r="Q81" s="28">
        <f t="shared" si="14"/>
        <v>31631.991999999998</v>
      </c>
      <c r="R81" s="24">
        <f t="shared" si="15"/>
        <v>4.1398475960905513E-4</v>
      </c>
      <c r="S81" s="24">
        <v>0.1</v>
      </c>
      <c r="T81" s="24">
        <f t="shared" si="16"/>
        <v>4.1398475960905514E-5</v>
      </c>
      <c r="U81" s="27">
        <f t="shared" si="17"/>
        <v>-2.0346615433753476E-2</v>
      </c>
      <c r="V81" s="96"/>
    </row>
    <row r="82" spans="1:22" s="24" customFormat="1" x14ac:dyDescent="0.2">
      <c r="A82" s="36" t="s">
        <v>77</v>
      </c>
      <c r="B82" s="77"/>
      <c r="C82" s="32">
        <v>46650.500999999997</v>
      </c>
      <c r="D82" s="32"/>
      <c r="E82" s="26">
        <f t="shared" si="9"/>
        <v>-18421.495064502244</v>
      </c>
      <c r="F82" s="24">
        <f t="shared" si="10"/>
        <v>-18421.5</v>
      </c>
      <c r="G82" s="27">
        <f t="shared" si="11"/>
        <v>1.7277594961342402E-3</v>
      </c>
      <c r="H82" s="27"/>
      <c r="I82" s="27"/>
      <c r="J82" s="27"/>
      <c r="K82" s="27">
        <f>G82</f>
        <v>1.7277594961342402E-3</v>
      </c>
      <c r="L82" s="27"/>
      <c r="M82" s="27"/>
      <c r="N82" s="27"/>
      <c r="O82" s="27"/>
      <c r="P82" s="27">
        <f t="shared" si="13"/>
        <v>1.3074374931692154E-2</v>
      </c>
      <c r="Q82" s="28">
        <f t="shared" si="14"/>
        <v>31632.000999999997</v>
      </c>
      <c r="R82" s="24">
        <f t="shared" si="15"/>
        <v>1.2874568184244111E-4</v>
      </c>
      <c r="S82" s="24">
        <v>1</v>
      </c>
      <c r="T82" s="24">
        <f t="shared" si="16"/>
        <v>1.2874568184244111E-4</v>
      </c>
      <c r="U82" s="27">
        <f t="shared" si="17"/>
        <v>-1.1346615435557914E-2</v>
      </c>
      <c r="V82" s="96"/>
    </row>
    <row r="83" spans="1:22" s="24" customFormat="1" x14ac:dyDescent="0.2">
      <c r="A83" s="36" t="s">
        <v>76</v>
      </c>
      <c r="B83" s="77"/>
      <c r="C83" s="32">
        <v>46650.502</v>
      </c>
      <c r="D83" s="32"/>
      <c r="E83" s="26">
        <f t="shared" si="9"/>
        <v>-18421.492207913823</v>
      </c>
      <c r="F83" s="24">
        <f t="shared" si="10"/>
        <v>-18421.5</v>
      </c>
      <c r="G83" s="27">
        <f t="shared" si="11"/>
        <v>2.7277594999759458E-3</v>
      </c>
      <c r="H83" s="27"/>
      <c r="I83" s="27"/>
      <c r="J83" s="27"/>
      <c r="K83" s="27">
        <f>G83</f>
        <v>2.7277594999759458E-3</v>
      </c>
      <c r="L83" s="27"/>
      <c r="M83" s="27"/>
      <c r="N83" s="27"/>
      <c r="O83" s="27"/>
      <c r="P83" s="27">
        <f t="shared" si="13"/>
        <v>1.3074374931692154E-2</v>
      </c>
      <c r="Q83" s="28">
        <f t="shared" si="14"/>
        <v>31632.002</v>
      </c>
      <c r="R83" s="24">
        <f t="shared" si="15"/>
        <v>1.0705245089182797E-4</v>
      </c>
      <c r="S83" s="24">
        <v>1</v>
      </c>
      <c r="T83" s="24">
        <f t="shared" si="16"/>
        <v>1.0705245089182797E-4</v>
      </c>
      <c r="U83" s="27">
        <f t="shared" si="17"/>
        <v>-1.0346615431716208E-2</v>
      </c>
      <c r="V83" s="96"/>
    </row>
    <row r="84" spans="1:22" s="24" customFormat="1" x14ac:dyDescent="0.2">
      <c r="A84" s="36" t="s">
        <v>74</v>
      </c>
      <c r="B84" s="77"/>
      <c r="C84" s="32">
        <v>46650.502999999997</v>
      </c>
      <c r="D84" s="32"/>
      <c r="E84" s="26">
        <f t="shared" si="9"/>
        <v>-18421.489351325421</v>
      </c>
      <c r="F84" s="24">
        <f t="shared" si="10"/>
        <v>-18421.5</v>
      </c>
      <c r="G84" s="27">
        <f t="shared" si="11"/>
        <v>3.7277594965416938E-3</v>
      </c>
      <c r="H84" s="27"/>
      <c r="I84" s="27"/>
      <c r="J84" s="27"/>
      <c r="K84" s="27">
        <f>G84</f>
        <v>3.7277594965416938E-3</v>
      </c>
      <c r="L84" s="27"/>
      <c r="M84" s="27"/>
      <c r="N84" s="27"/>
      <c r="O84" s="27"/>
      <c r="P84" s="27">
        <f t="shared" si="13"/>
        <v>1.3074374931692154E-2</v>
      </c>
      <c r="Q84" s="28">
        <f t="shared" si="14"/>
        <v>31632.002999999997</v>
      </c>
      <c r="R84" s="24">
        <f t="shared" si="15"/>
        <v>8.7359220092592821E-5</v>
      </c>
      <c r="S84" s="24">
        <v>1</v>
      </c>
      <c r="T84" s="24">
        <f t="shared" si="16"/>
        <v>8.7359220092592821E-5</v>
      </c>
      <c r="U84" s="27">
        <f t="shared" si="17"/>
        <v>-9.3466154351504599E-3</v>
      </c>
      <c r="V84" s="96"/>
    </row>
    <row r="85" spans="1:22" s="24" customFormat="1" x14ac:dyDescent="0.2">
      <c r="A85" s="36" t="s">
        <v>79</v>
      </c>
      <c r="B85" s="77"/>
      <c r="C85" s="32">
        <v>47240.364999999998</v>
      </c>
      <c r="D85" s="32"/>
      <c r="E85" s="26">
        <f t="shared" ref="E85:E116" si="18">+(C85-C$7)/C$8</f>
        <v>-16736.496398828967</v>
      </c>
      <c r="F85" s="24">
        <f t="shared" ref="F85:F116" si="19">ROUND(2*E85,0)/2</f>
        <v>-16736.5</v>
      </c>
      <c r="G85" s="27">
        <f t="shared" ref="G85:G116" si="20">+C85-(C$7+F85*C$8)</f>
        <v>1.2606544987647794E-3</v>
      </c>
      <c r="H85" s="27"/>
      <c r="I85" s="27">
        <f>G85</f>
        <v>1.2606544987647794E-3</v>
      </c>
      <c r="J85" s="27"/>
      <c r="L85" s="27"/>
      <c r="M85" s="27"/>
      <c r="N85" s="27"/>
      <c r="O85" s="27"/>
      <c r="P85" s="27">
        <f t="shared" ref="P85:P116" si="21">+D$11+D$12*F85+D$13*F85^2</f>
        <v>1.1380579970495824E-2</v>
      </c>
      <c r="Q85" s="28">
        <f t="shared" ref="Q85:Q116" si="22">+C85-15018.5</f>
        <v>32221.864999999998</v>
      </c>
      <c r="R85" s="24">
        <f t="shared" ref="R85:R116" si="23">+(P85-G85)^2</f>
        <v>1.0241289155339081E-4</v>
      </c>
      <c r="S85" s="24">
        <v>0.1</v>
      </c>
      <c r="T85" s="24">
        <f t="shared" ref="T85:T116" si="24">+S85*R85</f>
        <v>1.0241289155339083E-5</v>
      </c>
      <c r="U85" s="27">
        <f t="shared" ref="U85:U119" si="25">+G85-P85</f>
        <v>-1.0119925471731045E-2</v>
      </c>
      <c r="V85" s="96"/>
    </row>
    <row r="86" spans="1:22" s="24" customFormat="1" x14ac:dyDescent="0.2">
      <c r="A86" s="36" t="s">
        <v>80</v>
      </c>
      <c r="B86" s="77"/>
      <c r="C86" s="32">
        <v>47349.425000000003</v>
      </c>
      <c r="D86" s="32"/>
      <c r="E86" s="26">
        <f t="shared" si="18"/>
        <v>-16424.956866871882</v>
      </c>
      <c r="F86" s="24">
        <f t="shared" si="19"/>
        <v>-16425</v>
      </c>
      <c r="G86" s="27">
        <f t="shared" si="20"/>
        <v>1.5099525000550784E-2</v>
      </c>
      <c r="H86" s="27"/>
      <c r="I86" s="27">
        <f>G86</f>
        <v>1.5099525000550784E-2</v>
      </c>
      <c r="J86" s="27"/>
      <c r="L86" s="27"/>
      <c r="M86" s="27"/>
      <c r="N86" s="27"/>
      <c r="O86" s="27"/>
      <c r="P86" s="27">
        <f t="shared" si="21"/>
        <v>1.1078434173428978E-2</v>
      </c>
      <c r="Q86" s="28">
        <f t="shared" si="22"/>
        <v>32330.925000000003</v>
      </c>
      <c r="R86" s="24">
        <f t="shared" si="23"/>
        <v>1.6169171439963134E-5</v>
      </c>
      <c r="S86" s="24">
        <v>0.1</v>
      </c>
      <c r="T86" s="24">
        <f t="shared" si="24"/>
        <v>1.6169171439963136E-6</v>
      </c>
      <c r="U86" s="27">
        <f t="shared" si="25"/>
        <v>4.0210908271218065E-3</v>
      </c>
      <c r="V86" s="96"/>
    </row>
    <row r="87" spans="1:22" s="24" customFormat="1" x14ac:dyDescent="0.2">
      <c r="A87" s="36" t="s">
        <v>81</v>
      </c>
      <c r="B87" s="77"/>
      <c r="C87" s="32">
        <v>47349.436000000002</v>
      </c>
      <c r="D87" s="32"/>
      <c r="E87" s="26">
        <f t="shared" si="18"/>
        <v>-16424.925444399378</v>
      </c>
      <c r="F87" s="24">
        <f t="shared" si="19"/>
        <v>-16425</v>
      </c>
      <c r="G87" s="27">
        <f t="shared" si="20"/>
        <v>2.60995249991538E-2</v>
      </c>
      <c r="H87" s="27"/>
      <c r="I87" s="27"/>
      <c r="J87" s="27"/>
      <c r="K87" s="27">
        <f>G87</f>
        <v>2.60995249991538E-2</v>
      </c>
      <c r="L87" s="27"/>
      <c r="M87" s="27"/>
      <c r="N87" s="27"/>
      <c r="O87" s="27"/>
      <c r="P87" s="27">
        <f t="shared" si="21"/>
        <v>1.1078434173428978E-2</v>
      </c>
      <c r="Q87" s="28">
        <f t="shared" si="22"/>
        <v>32330.936000000002</v>
      </c>
      <c r="R87" s="24">
        <f t="shared" si="23"/>
        <v>2.2563316959467444E-4</v>
      </c>
      <c r="S87" s="24">
        <v>1</v>
      </c>
      <c r="T87" s="24">
        <f t="shared" si="24"/>
        <v>2.2563316959467444E-4</v>
      </c>
      <c r="U87" s="27">
        <f t="shared" si="25"/>
        <v>1.5021090825724823E-2</v>
      </c>
      <c r="V87" s="96"/>
    </row>
    <row r="88" spans="1:22" s="24" customFormat="1" x14ac:dyDescent="0.2">
      <c r="A88" s="36" t="s">
        <v>52</v>
      </c>
      <c r="B88" s="77"/>
      <c r="C88" s="32">
        <v>47398.423999999999</v>
      </c>
      <c r="D88" s="32"/>
      <c r="E88" s="26">
        <f t="shared" si="18"/>
        <v>-16284.986891387161</v>
      </c>
      <c r="F88" s="24">
        <f t="shared" si="19"/>
        <v>-16285</v>
      </c>
      <c r="G88" s="27">
        <f t="shared" si="20"/>
        <v>4.5889050015830435E-3</v>
      </c>
      <c r="H88" s="27"/>
      <c r="I88" s="27"/>
      <c r="K88" s="27">
        <f>+G88</f>
        <v>4.5889050015830435E-3</v>
      </c>
      <c r="L88" s="27"/>
      <c r="M88" s="27"/>
      <c r="N88" s="27"/>
      <c r="O88" s="27"/>
      <c r="P88" s="27">
        <f t="shared" si="21"/>
        <v>1.0943754310558725E-2</v>
      </c>
      <c r="Q88" s="28">
        <f t="shared" si="22"/>
        <v>32379.923999999999</v>
      </c>
      <c r="R88" s="24">
        <f t="shared" si="23"/>
        <v>4.0384109739788693E-5</v>
      </c>
      <c r="S88" s="24">
        <v>1</v>
      </c>
      <c r="T88" s="24">
        <f t="shared" si="24"/>
        <v>4.0384109739788693E-5</v>
      </c>
      <c r="U88" s="27">
        <f t="shared" si="25"/>
        <v>-6.3548493089756811E-3</v>
      </c>
      <c r="V88" s="96"/>
    </row>
    <row r="89" spans="1:22" s="24" customFormat="1" x14ac:dyDescent="0.2">
      <c r="A89" s="36" t="s">
        <v>283</v>
      </c>
      <c r="B89" s="77" t="s">
        <v>53</v>
      </c>
      <c r="C89" s="32">
        <v>47398.424700000003</v>
      </c>
      <c r="D89" s="32" t="s">
        <v>190</v>
      </c>
      <c r="E89" s="98">
        <f t="shared" si="18"/>
        <v>-16284.984891775264</v>
      </c>
      <c r="F89" s="24">
        <f t="shared" si="19"/>
        <v>-16285</v>
      </c>
      <c r="G89" s="27">
        <f t="shared" si="20"/>
        <v>5.2889050057274289E-3</v>
      </c>
      <c r="H89" s="27"/>
      <c r="I89" s="27"/>
      <c r="J89" s="27">
        <f>+G89</f>
        <v>5.2889050057274289E-3</v>
      </c>
      <c r="K89" s="27"/>
      <c r="L89" s="27"/>
      <c r="N89" s="12"/>
      <c r="O89" s="27">
        <f ca="1">+C$11+C$12*$F89</f>
        <v>-1.8774544575314345E-2</v>
      </c>
      <c r="P89" s="27">
        <f t="shared" si="21"/>
        <v>1.0943754310558725E-2</v>
      </c>
      <c r="Q89" s="28">
        <f t="shared" si="22"/>
        <v>32379.924700000003</v>
      </c>
      <c r="R89" s="24">
        <f t="shared" si="23"/>
        <v>3.197732066035099E-5</v>
      </c>
      <c r="S89">
        <v>1</v>
      </c>
      <c r="T89" s="24">
        <f t="shared" si="24"/>
        <v>3.197732066035099E-5</v>
      </c>
      <c r="U89" s="27">
        <f t="shared" si="25"/>
        <v>-5.6548493048312956E-3</v>
      </c>
      <c r="V89" s="96"/>
    </row>
    <row r="90" spans="1:22" s="24" customFormat="1" x14ac:dyDescent="0.2">
      <c r="A90" s="36" t="s">
        <v>52</v>
      </c>
      <c r="B90" s="77"/>
      <c r="C90" s="32">
        <v>47398.4254</v>
      </c>
      <c r="D90" s="32"/>
      <c r="E90" s="26">
        <f t="shared" si="18"/>
        <v>-16284.982892163385</v>
      </c>
      <c r="F90" s="24">
        <f t="shared" si="19"/>
        <v>-16285</v>
      </c>
      <c r="G90" s="27">
        <f t="shared" si="20"/>
        <v>5.9889050025958568E-3</v>
      </c>
      <c r="H90" s="27"/>
      <c r="I90" s="27"/>
      <c r="K90" s="27">
        <f>+G90</f>
        <v>5.9889050025958568E-3</v>
      </c>
      <c r="L90" s="27"/>
      <c r="M90" s="27"/>
      <c r="N90" s="27"/>
      <c r="O90" s="27"/>
      <c r="P90" s="27">
        <f t="shared" si="21"/>
        <v>1.0943754310558725E-2</v>
      </c>
      <c r="Q90" s="28">
        <f t="shared" si="22"/>
        <v>32379.9254</v>
      </c>
      <c r="R90" s="24">
        <f t="shared" si="23"/>
        <v>2.4550531664620109E-5</v>
      </c>
      <c r="S90" s="24">
        <v>1</v>
      </c>
      <c r="T90" s="24">
        <f t="shared" si="24"/>
        <v>2.4550531664620109E-5</v>
      </c>
      <c r="U90" s="27">
        <f t="shared" si="25"/>
        <v>-4.9548493079628678E-3</v>
      </c>
      <c r="V90" s="96"/>
    </row>
    <row r="91" spans="1:22" s="24" customFormat="1" x14ac:dyDescent="0.2">
      <c r="A91" s="36" t="s">
        <v>55</v>
      </c>
      <c r="B91" s="77" t="s">
        <v>48</v>
      </c>
      <c r="C91" s="32">
        <v>47668.506300000008</v>
      </c>
      <c r="D91" s="32"/>
      <c r="E91" s="26">
        <f t="shared" si="18"/>
        <v>-15513.472923553927</v>
      </c>
      <c r="F91" s="24">
        <f t="shared" si="19"/>
        <v>-15513.5</v>
      </c>
      <c r="G91" s="27">
        <f t="shared" si="20"/>
        <v>9.4785955079714768E-3</v>
      </c>
      <c r="H91" s="27"/>
      <c r="I91" s="27"/>
      <c r="K91" s="27">
        <f>+G91</f>
        <v>9.4785955079714768E-3</v>
      </c>
      <c r="L91" s="27"/>
      <c r="M91" s="27"/>
      <c r="N91" s="27"/>
      <c r="O91" s="27"/>
      <c r="P91" s="27">
        <f t="shared" si="21"/>
        <v>1.02139877713542E-2</v>
      </c>
      <c r="Q91" s="28">
        <f t="shared" si="22"/>
        <v>32650.006300000008</v>
      </c>
      <c r="R91" s="24">
        <f t="shared" si="23"/>
        <v>5.4080178104316467E-7</v>
      </c>
      <c r="S91" s="24">
        <v>1</v>
      </c>
      <c r="T91" s="24">
        <f t="shared" si="24"/>
        <v>5.4080178104316467E-7</v>
      </c>
      <c r="U91" s="27">
        <f t="shared" si="25"/>
        <v>-7.3539226338272326E-4</v>
      </c>
      <c r="V91" s="96"/>
    </row>
    <row r="92" spans="1:22" s="24" customFormat="1" x14ac:dyDescent="0.2">
      <c r="A92" s="36" t="s">
        <v>284</v>
      </c>
      <c r="B92" s="77" t="s">
        <v>48</v>
      </c>
      <c r="C92" s="32">
        <v>47668.506600000001</v>
      </c>
      <c r="D92" s="32" t="s">
        <v>190</v>
      </c>
      <c r="E92" s="98">
        <f t="shared" si="18"/>
        <v>-15513.472066577426</v>
      </c>
      <c r="F92" s="24">
        <f t="shared" si="19"/>
        <v>-15513.5</v>
      </c>
      <c r="G92" s="27">
        <f t="shared" si="20"/>
        <v>9.7785955003928393E-3</v>
      </c>
      <c r="H92" s="27"/>
      <c r="I92" s="27"/>
      <c r="J92" s="27">
        <f>+G92</f>
        <v>9.7785955003928393E-3</v>
      </c>
      <c r="K92" s="27"/>
      <c r="L92" s="27"/>
      <c r="N92" s="12"/>
      <c r="O92" s="27">
        <f ca="1">+C$11+C$12*$F92</f>
        <v>-1.8268430264229481E-2</v>
      </c>
      <c r="P92" s="27">
        <f t="shared" si="21"/>
        <v>1.02139877713542E-2</v>
      </c>
      <c r="Q92" s="28">
        <f t="shared" si="22"/>
        <v>32650.006600000001</v>
      </c>
      <c r="R92" s="24">
        <f t="shared" si="23"/>
        <v>1.8956642961289095E-7</v>
      </c>
      <c r="S92" s="24">
        <v>1</v>
      </c>
      <c r="T92" s="24">
        <f t="shared" si="24"/>
        <v>1.8956642961289095E-7</v>
      </c>
      <c r="U92" s="27">
        <f t="shared" si="25"/>
        <v>-4.3539227096136071E-4</v>
      </c>
      <c r="V92" s="96"/>
    </row>
    <row r="93" spans="1:22" s="24" customFormat="1" x14ac:dyDescent="0.2">
      <c r="A93" s="36" t="s">
        <v>284</v>
      </c>
      <c r="B93" s="77" t="s">
        <v>48</v>
      </c>
      <c r="C93" s="32">
        <v>47672.356099999997</v>
      </c>
      <c r="D93" s="32" t="s">
        <v>190</v>
      </c>
      <c r="E93" s="98">
        <f t="shared" si="18"/>
        <v>-15502.475629494465</v>
      </c>
      <c r="F93" s="24">
        <f t="shared" si="19"/>
        <v>-15502.5</v>
      </c>
      <c r="G93" s="27">
        <f t="shared" si="20"/>
        <v>8.5313324962044135E-3</v>
      </c>
      <c r="H93" s="27"/>
      <c r="I93" s="27"/>
      <c r="J93" s="27">
        <f>+G93</f>
        <v>8.5313324962044135E-3</v>
      </c>
      <c r="K93" s="27"/>
      <c r="L93" s="27"/>
      <c r="N93" s="12"/>
      <c r="O93" s="27">
        <f ca="1">+C$11+C$12*$F93</f>
        <v>-1.8261214117214659E-2</v>
      </c>
      <c r="P93" s="27">
        <f t="shared" si="21"/>
        <v>1.0203734773779709E-2</v>
      </c>
      <c r="Q93" s="28">
        <f t="shared" si="22"/>
        <v>32653.856099999997</v>
      </c>
      <c r="R93" s="24">
        <f t="shared" si="23"/>
        <v>2.7969293780390375E-6</v>
      </c>
      <c r="S93" s="24">
        <v>1</v>
      </c>
      <c r="T93" s="24">
        <f t="shared" si="24"/>
        <v>2.7969293780390375E-6</v>
      </c>
      <c r="U93" s="27">
        <f t="shared" si="25"/>
        <v>-1.672402277575296E-3</v>
      </c>
      <c r="V93" s="96"/>
    </row>
    <row r="94" spans="1:22" s="24" customFormat="1" x14ac:dyDescent="0.2">
      <c r="A94" s="36" t="s">
        <v>55</v>
      </c>
      <c r="B94" s="77" t="s">
        <v>48</v>
      </c>
      <c r="C94" s="32">
        <v>47672.3572999998</v>
      </c>
      <c r="D94" s="32"/>
      <c r="E94" s="26">
        <f t="shared" si="18"/>
        <v>-15502.472201588938</v>
      </c>
      <c r="F94" s="24">
        <f t="shared" si="19"/>
        <v>-15502.5</v>
      </c>
      <c r="G94" s="27">
        <f t="shared" si="20"/>
        <v>9.7313322985428385E-3</v>
      </c>
      <c r="H94" s="27"/>
      <c r="I94" s="27"/>
      <c r="K94" s="27">
        <f>+G94</f>
        <v>9.7313322985428385E-3</v>
      </c>
      <c r="L94" s="27"/>
      <c r="M94" s="27"/>
      <c r="N94" s="27"/>
      <c r="O94" s="27"/>
      <c r="P94" s="27">
        <f t="shared" si="21"/>
        <v>1.0203734773779709E-2</v>
      </c>
      <c r="Q94" s="28">
        <f t="shared" si="22"/>
        <v>32653.8572999998</v>
      </c>
      <c r="R94" s="24">
        <f t="shared" si="23"/>
        <v>2.2316409860992244E-7</v>
      </c>
      <c r="S94" s="24">
        <v>1</v>
      </c>
      <c r="T94" s="24">
        <f t="shared" si="24"/>
        <v>2.2316409860992244E-7</v>
      </c>
      <c r="U94" s="27">
        <f t="shared" si="25"/>
        <v>-4.7240247523687093E-4</v>
      </c>
      <c r="V94" s="96"/>
    </row>
    <row r="95" spans="1:22" s="24" customFormat="1" x14ac:dyDescent="0.2">
      <c r="A95" s="36" t="s">
        <v>55</v>
      </c>
      <c r="B95" s="77" t="s">
        <v>53</v>
      </c>
      <c r="C95" s="32">
        <v>47672.531599999871</v>
      </c>
      <c r="D95" s="32"/>
      <c r="E95" s="26">
        <f t="shared" si="18"/>
        <v>-15501.97429822893</v>
      </c>
      <c r="F95" s="24">
        <f t="shared" si="19"/>
        <v>-15502</v>
      </c>
      <c r="G95" s="27">
        <f t="shared" si="20"/>
        <v>8.9973658759845421E-3</v>
      </c>
      <c r="H95" s="27"/>
      <c r="I95" s="27"/>
      <c r="K95" s="27">
        <f>+G95</f>
        <v>8.9973658759845421E-3</v>
      </c>
      <c r="L95" s="27"/>
      <c r="M95" s="27"/>
      <c r="N95" s="27"/>
      <c r="O95" s="27"/>
      <c r="P95" s="27">
        <f t="shared" si="21"/>
        <v>1.0203268829954251E-2</v>
      </c>
      <c r="Q95" s="28">
        <f t="shared" si="22"/>
        <v>32654.031599999871</v>
      </c>
      <c r="R95" s="24">
        <f t="shared" si="23"/>
        <v>1.4542019343928696E-6</v>
      </c>
      <c r="S95" s="24">
        <v>1</v>
      </c>
      <c r="T95" s="24">
        <f t="shared" si="24"/>
        <v>1.4542019343928696E-6</v>
      </c>
      <c r="U95" s="27">
        <f t="shared" si="25"/>
        <v>-1.2059029539697088E-3</v>
      </c>
      <c r="V95" s="96"/>
    </row>
    <row r="96" spans="1:22" s="24" customFormat="1" x14ac:dyDescent="0.2">
      <c r="A96" s="140" t="s">
        <v>519</v>
      </c>
      <c r="B96" s="140" t="s">
        <v>53</v>
      </c>
      <c r="C96" s="147">
        <v>47672.532599999999</v>
      </c>
      <c r="D96" s="147" t="s">
        <v>96</v>
      </c>
      <c r="E96" s="98">
        <f t="shared" si="18"/>
        <v>-15501.971441640157</v>
      </c>
      <c r="F96" s="24">
        <f t="shared" si="19"/>
        <v>-15502</v>
      </c>
      <c r="G96" s="27">
        <f t="shared" si="20"/>
        <v>9.9973660035175271E-3</v>
      </c>
      <c r="H96" s="27"/>
      <c r="I96" s="27"/>
      <c r="J96" s="27"/>
      <c r="K96" s="27">
        <f>+G96</f>
        <v>9.9973660035175271E-3</v>
      </c>
      <c r="L96" s="27"/>
      <c r="M96" s="27"/>
      <c r="N96" s="12"/>
      <c r="O96" s="27">
        <f ca="1">+C$11+C$12*$F96</f>
        <v>-1.8260886110532171E-2</v>
      </c>
      <c r="P96" s="27">
        <f t="shared" si="21"/>
        <v>1.0203268829954251E-2</v>
      </c>
      <c r="Q96" s="28">
        <f t="shared" si="22"/>
        <v>32654.032599999999</v>
      </c>
      <c r="R96" s="24">
        <f t="shared" si="23"/>
        <v>4.2395973934631579E-8</v>
      </c>
      <c r="S96" s="24">
        <v>1</v>
      </c>
      <c r="T96" s="24">
        <f t="shared" si="24"/>
        <v>4.2395973934631579E-8</v>
      </c>
      <c r="U96" s="27">
        <f t="shared" si="25"/>
        <v>-2.0590282643672374E-4</v>
      </c>
      <c r="V96" s="96"/>
    </row>
    <row r="97" spans="1:22" s="24" customFormat="1" x14ac:dyDescent="0.2">
      <c r="A97" s="36" t="s">
        <v>284</v>
      </c>
      <c r="B97" s="77" t="s">
        <v>53</v>
      </c>
      <c r="C97" s="32">
        <v>47672.532700000003</v>
      </c>
      <c r="D97" s="32" t="s">
        <v>190</v>
      </c>
      <c r="E97" s="98">
        <f t="shared" si="18"/>
        <v>-15501.971155981302</v>
      </c>
      <c r="F97" s="24">
        <f t="shared" si="19"/>
        <v>-15502</v>
      </c>
      <c r="G97" s="27">
        <f t="shared" si="20"/>
        <v>1.0097366008267272E-2</v>
      </c>
      <c r="H97" s="27"/>
      <c r="I97" s="27"/>
      <c r="J97" s="27">
        <f>+G97</f>
        <v>1.0097366008267272E-2</v>
      </c>
      <c r="K97" s="27"/>
      <c r="L97" s="27"/>
      <c r="N97" s="12"/>
      <c r="O97" s="27">
        <f ca="1">+C$11+C$12*$F97</f>
        <v>-1.8260886110532171E-2</v>
      </c>
      <c r="P97" s="27">
        <f t="shared" si="21"/>
        <v>1.0203268829954251E-2</v>
      </c>
      <c r="Q97" s="28">
        <f t="shared" si="22"/>
        <v>32654.032700000003</v>
      </c>
      <c r="R97" s="24">
        <f t="shared" si="23"/>
        <v>1.1215407641263987E-8</v>
      </c>
      <c r="S97" s="24">
        <v>1</v>
      </c>
      <c r="T97" s="24">
        <f t="shared" si="24"/>
        <v>1.1215407641263987E-8</v>
      </c>
      <c r="U97" s="27">
        <f t="shared" si="25"/>
        <v>-1.0590282168697861E-4</v>
      </c>
      <c r="V97" s="96"/>
    </row>
    <row r="98" spans="1:22" s="24" customFormat="1" x14ac:dyDescent="0.2">
      <c r="A98" s="36" t="s">
        <v>284</v>
      </c>
      <c r="B98" s="77" t="s">
        <v>53</v>
      </c>
      <c r="C98" s="32">
        <v>47676.3799</v>
      </c>
      <c r="D98" s="32" t="s">
        <v>190</v>
      </c>
      <c r="E98" s="98">
        <f t="shared" si="18"/>
        <v>-15490.981289051684</v>
      </c>
      <c r="F98" s="24">
        <f t="shared" si="19"/>
        <v>-15491</v>
      </c>
      <c r="G98" s="27">
        <f t="shared" si="20"/>
        <v>6.5501030039740726E-3</v>
      </c>
      <c r="H98" s="27"/>
      <c r="I98" s="27"/>
      <c r="J98" s="27">
        <f>+G98</f>
        <v>6.5501030039740726E-3</v>
      </c>
      <c r="K98" s="27"/>
      <c r="L98" s="27"/>
      <c r="N98" s="12"/>
      <c r="O98" s="27">
        <f ca="1">+C$11+C$12*$F98</f>
        <v>-1.8253669963517349E-2</v>
      </c>
      <c r="P98" s="27">
        <f t="shared" si="21"/>
        <v>1.0193020299208554E-2</v>
      </c>
      <c r="Q98" s="28">
        <f t="shared" si="22"/>
        <v>32657.8799</v>
      </c>
      <c r="R98" s="24">
        <f t="shared" si="23"/>
        <v>1.3270846419918512E-5</v>
      </c>
      <c r="S98" s="24">
        <v>1</v>
      </c>
      <c r="T98" s="24">
        <f t="shared" si="24"/>
        <v>1.3270846419918512E-5</v>
      </c>
      <c r="U98" s="27">
        <f t="shared" si="25"/>
        <v>-3.6429172952344817E-3</v>
      </c>
      <c r="V98" s="96"/>
    </row>
    <row r="99" spans="1:22" s="24" customFormat="1" x14ac:dyDescent="0.2">
      <c r="A99" s="36" t="s">
        <v>55</v>
      </c>
      <c r="B99" s="77" t="s">
        <v>53</v>
      </c>
      <c r="C99" s="32">
        <v>47676.379900000058</v>
      </c>
      <c r="D99" s="32"/>
      <c r="E99" s="26">
        <f t="shared" si="18"/>
        <v>-15490.981289051517</v>
      </c>
      <c r="F99" s="24">
        <f t="shared" si="19"/>
        <v>-15491</v>
      </c>
      <c r="G99" s="27">
        <f t="shared" si="20"/>
        <v>6.5501030621817335E-3</v>
      </c>
      <c r="H99" s="27"/>
      <c r="I99" s="27"/>
      <c r="K99" s="27">
        <f>+G99</f>
        <v>6.5501030621817335E-3</v>
      </c>
      <c r="L99" s="27"/>
      <c r="M99" s="27"/>
      <c r="N99" s="27"/>
      <c r="O99" s="27"/>
      <c r="P99" s="27">
        <f t="shared" si="21"/>
        <v>1.0193020299208554E-2</v>
      </c>
      <c r="Q99" s="28">
        <f t="shared" si="22"/>
        <v>32657.879900000058</v>
      </c>
      <c r="R99" s="24">
        <f t="shared" si="23"/>
        <v>1.3270845995827125E-5</v>
      </c>
      <c r="S99" s="24">
        <v>1</v>
      </c>
      <c r="T99" s="24">
        <f t="shared" si="24"/>
        <v>1.3270845995827125E-5</v>
      </c>
      <c r="U99" s="27">
        <f t="shared" si="25"/>
        <v>-3.6429172370268208E-3</v>
      </c>
      <c r="V99" s="96"/>
    </row>
    <row r="100" spans="1:22" s="24" customFormat="1" x14ac:dyDescent="0.2">
      <c r="A100" s="36" t="s">
        <v>59</v>
      </c>
      <c r="B100" s="77" t="s">
        <v>53</v>
      </c>
      <c r="C100" s="32">
        <v>47868.916799999999</v>
      </c>
      <c r="D100" s="32"/>
      <c r="E100" s="26">
        <f t="shared" si="18"/>
        <v>-14940.982612080608</v>
      </c>
      <c r="F100" s="24">
        <f t="shared" si="19"/>
        <v>-14941</v>
      </c>
      <c r="G100" s="27">
        <f t="shared" si="20"/>
        <v>6.0869529988849536E-3</v>
      </c>
      <c r="H100" s="27">
        <f>+G100</f>
        <v>6.0869529988849536E-3</v>
      </c>
      <c r="I100" s="27"/>
      <c r="K100" s="27"/>
      <c r="L100" s="27"/>
      <c r="N100" s="27"/>
      <c r="O100" s="27"/>
      <c r="P100" s="27">
        <f t="shared" si="21"/>
        <v>9.6860413509504591E-3</v>
      </c>
      <c r="Q100" s="28">
        <f t="shared" si="22"/>
        <v>32850.416799999999</v>
      </c>
      <c r="R100" s="24">
        <f t="shared" si="23"/>
        <v>1.2953436965973595E-5</v>
      </c>
      <c r="S100" s="24">
        <v>0.1</v>
      </c>
      <c r="T100" s="24">
        <f t="shared" si="24"/>
        <v>1.2953436965973596E-6</v>
      </c>
      <c r="U100" s="27">
        <f t="shared" si="25"/>
        <v>-3.5990883520655055E-3</v>
      </c>
      <c r="V100" s="96"/>
    </row>
    <row r="101" spans="1:22" s="24" customFormat="1" x14ac:dyDescent="0.2">
      <c r="A101" s="36" t="s">
        <v>285</v>
      </c>
      <c r="B101" s="77" t="s">
        <v>48</v>
      </c>
      <c r="C101" s="32">
        <v>48028.374400000001</v>
      </c>
      <c r="D101" s="32" t="s">
        <v>190</v>
      </c>
      <c r="E101" s="98">
        <f t="shared" si="18"/>
        <v>-14485.477880089056</v>
      </c>
      <c r="F101" s="24">
        <f t="shared" si="19"/>
        <v>-14485.5</v>
      </c>
      <c r="G101" s="27">
        <f t="shared" si="20"/>
        <v>7.7434715058188885E-3</v>
      </c>
      <c r="H101" s="27"/>
      <c r="I101" s="27"/>
      <c r="J101" s="27">
        <f>+G101</f>
        <v>7.7434715058188885E-3</v>
      </c>
      <c r="K101" s="27"/>
      <c r="L101" s="27"/>
      <c r="N101" s="12"/>
      <c r="O101" s="27">
        <f ca="1">+C$11+C$12*$F101</f>
        <v>-1.7594048525026315E-2</v>
      </c>
      <c r="P101" s="27">
        <f t="shared" si="21"/>
        <v>9.2742568924883244E-3</v>
      </c>
      <c r="Q101" s="28">
        <f t="shared" si="22"/>
        <v>33009.874400000001</v>
      </c>
      <c r="R101" s="24">
        <f t="shared" si="23"/>
        <v>2.3433039000406943E-6</v>
      </c>
      <c r="S101" s="24">
        <v>1</v>
      </c>
      <c r="T101" s="24">
        <f t="shared" si="24"/>
        <v>2.3433039000406943E-6</v>
      </c>
      <c r="U101" s="27">
        <f t="shared" si="25"/>
        <v>-1.5307853866694358E-3</v>
      </c>
      <c r="V101" s="96"/>
    </row>
    <row r="102" spans="1:22" s="24" customFormat="1" x14ac:dyDescent="0.2">
      <c r="A102" s="36" t="s">
        <v>54</v>
      </c>
      <c r="B102" s="77" t="s">
        <v>48</v>
      </c>
      <c r="C102" s="32">
        <v>48028.374499999918</v>
      </c>
      <c r="D102" s="32"/>
      <c r="E102" s="26">
        <f t="shared" si="18"/>
        <v>-14485.477594430451</v>
      </c>
      <c r="F102" s="24">
        <f t="shared" si="19"/>
        <v>-14485.5</v>
      </c>
      <c r="G102" s="27">
        <f t="shared" si="20"/>
        <v>7.8434714232571423E-3</v>
      </c>
      <c r="H102" s="27"/>
      <c r="I102" s="27"/>
      <c r="K102" s="27">
        <f>+G102</f>
        <v>7.8434714232571423E-3</v>
      </c>
      <c r="L102" s="27"/>
      <c r="M102" s="27"/>
      <c r="N102" s="27"/>
      <c r="O102" s="27"/>
      <c r="P102" s="27">
        <f t="shared" si="21"/>
        <v>9.2742568924883244E-3</v>
      </c>
      <c r="Q102" s="28">
        <f t="shared" si="22"/>
        <v>33009.874499999918</v>
      </c>
      <c r="R102" s="24">
        <f t="shared" si="23"/>
        <v>2.0471470589630939E-6</v>
      </c>
      <c r="S102" s="24">
        <v>1</v>
      </c>
      <c r="T102" s="24">
        <f t="shared" si="24"/>
        <v>2.0471470589630939E-6</v>
      </c>
      <c r="U102" s="27">
        <f t="shared" si="25"/>
        <v>-1.4307854692311821E-3</v>
      </c>
      <c r="V102" s="96"/>
    </row>
    <row r="103" spans="1:22" s="24" customFormat="1" x14ac:dyDescent="0.2">
      <c r="A103" s="36" t="s">
        <v>54</v>
      </c>
      <c r="B103" s="77" t="s">
        <v>53</v>
      </c>
      <c r="C103" s="32">
        <v>48028.54889999982</v>
      </c>
      <c r="D103" s="32"/>
      <c r="E103" s="26">
        <f t="shared" si="18"/>
        <v>-14484.979405412088</v>
      </c>
      <c r="F103" s="24">
        <f t="shared" si="19"/>
        <v>-14485</v>
      </c>
      <c r="G103" s="27">
        <f t="shared" si="20"/>
        <v>7.2095048235496506E-3</v>
      </c>
      <c r="H103" s="27"/>
      <c r="I103" s="27"/>
      <c r="K103" s="27">
        <f>+G103</f>
        <v>7.2095048235496506E-3</v>
      </c>
      <c r="L103" s="27"/>
      <c r="M103" s="27"/>
      <c r="N103" s="27"/>
      <c r="O103" s="27"/>
      <c r="P103" s="27">
        <f t="shared" si="21"/>
        <v>9.2738089042552815E-3</v>
      </c>
      <c r="Q103" s="28">
        <f t="shared" si="22"/>
        <v>33010.04889999982</v>
      </c>
      <c r="R103" s="24">
        <f t="shared" si="23"/>
        <v>4.2613513376179194E-6</v>
      </c>
      <c r="S103" s="24">
        <v>1</v>
      </c>
      <c r="T103" s="24">
        <f t="shared" si="24"/>
        <v>4.2613513376179194E-6</v>
      </c>
      <c r="U103" s="27">
        <f t="shared" si="25"/>
        <v>-2.0643040807056309E-3</v>
      </c>
      <c r="V103" s="96"/>
    </row>
    <row r="104" spans="1:22" s="24" customFormat="1" x14ac:dyDescent="0.2">
      <c r="A104" s="36" t="s">
        <v>285</v>
      </c>
      <c r="B104" s="77" t="s">
        <v>53</v>
      </c>
      <c r="C104" s="32">
        <v>48028.548999999999</v>
      </c>
      <c r="D104" s="32" t="s">
        <v>190</v>
      </c>
      <c r="E104" s="98">
        <f t="shared" si="18"/>
        <v>-14484.979119752734</v>
      </c>
      <c r="F104" s="24">
        <f t="shared" si="19"/>
        <v>-14485</v>
      </c>
      <c r="G104" s="27">
        <f t="shared" si="20"/>
        <v>7.3095050029223785E-3</v>
      </c>
      <c r="H104" s="27"/>
      <c r="I104" s="27"/>
      <c r="J104" s="27">
        <f>+G104</f>
        <v>7.3095050029223785E-3</v>
      </c>
      <c r="K104" s="27"/>
      <c r="L104" s="27"/>
      <c r="N104" s="12"/>
      <c r="O104" s="27">
        <f ca="1">+C$11+C$12*$F104</f>
        <v>-1.7593720518343826E-2</v>
      </c>
      <c r="P104" s="27">
        <f t="shared" si="21"/>
        <v>9.2738089042552815E-3</v>
      </c>
      <c r="Q104" s="28">
        <f t="shared" si="22"/>
        <v>33010.048999999999</v>
      </c>
      <c r="R104" s="24">
        <f t="shared" si="23"/>
        <v>3.8584898167916631E-6</v>
      </c>
      <c r="S104" s="24">
        <v>1</v>
      </c>
      <c r="T104" s="24">
        <f t="shared" si="24"/>
        <v>3.8584898167916631E-6</v>
      </c>
      <c r="U104" s="27">
        <f t="shared" si="25"/>
        <v>-1.964303901332903E-3</v>
      </c>
      <c r="V104" s="96"/>
    </row>
    <row r="105" spans="1:22" s="24" customFormat="1" x14ac:dyDescent="0.2">
      <c r="A105" s="36" t="s">
        <v>285</v>
      </c>
      <c r="B105" s="77" t="s">
        <v>48</v>
      </c>
      <c r="C105" s="32">
        <v>48030.475400000003</v>
      </c>
      <c r="D105" s="32" t="s">
        <v>190</v>
      </c>
      <c r="E105" s="98">
        <f t="shared" si="18"/>
        <v>-14479.476187840362</v>
      </c>
      <c r="F105" s="24">
        <f t="shared" si="19"/>
        <v>-14479.5</v>
      </c>
      <c r="G105" s="27">
        <f t="shared" si="20"/>
        <v>8.3358735064393841E-3</v>
      </c>
      <c r="H105" s="27"/>
      <c r="I105" s="27"/>
      <c r="J105" s="27">
        <f>+G105</f>
        <v>8.3358735064393841E-3</v>
      </c>
      <c r="K105" s="27"/>
      <c r="L105" s="27"/>
      <c r="N105" s="12"/>
      <c r="O105" s="27">
        <f ca="1">+C$11+C$12*$F105</f>
        <v>-1.7590112444836416E-2</v>
      </c>
      <c r="P105" s="27">
        <f t="shared" si="21"/>
        <v>9.2688816163216635E-3</v>
      </c>
      <c r="Q105" s="28">
        <f t="shared" si="22"/>
        <v>33011.975400000003</v>
      </c>
      <c r="R105" s="24">
        <f t="shared" si="23"/>
        <v>8.7050413310610361E-7</v>
      </c>
      <c r="S105" s="24">
        <v>1</v>
      </c>
      <c r="T105" s="24">
        <f t="shared" si="24"/>
        <v>8.7050413310610361E-7</v>
      </c>
      <c r="U105" s="27">
        <f t="shared" si="25"/>
        <v>-9.3300810988227942E-4</v>
      </c>
      <c r="V105" s="96"/>
    </row>
    <row r="106" spans="1:22" s="24" customFormat="1" x14ac:dyDescent="0.2">
      <c r="A106" s="36" t="s">
        <v>54</v>
      </c>
      <c r="B106" s="77" t="s">
        <v>48</v>
      </c>
      <c r="C106" s="32">
        <v>48030.475600000005</v>
      </c>
      <c r="D106" s="32"/>
      <c r="E106" s="26">
        <f t="shared" si="18"/>
        <v>-14479.475616522674</v>
      </c>
      <c r="F106" s="24">
        <f t="shared" si="19"/>
        <v>-14479.5</v>
      </c>
      <c r="G106" s="27">
        <f t="shared" si="20"/>
        <v>8.5358735086629167E-3</v>
      </c>
      <c r="H106" s="27"/>
      <c r="I106" s="27"/>
      <c r="K106" s="27">
        <f>+G106</f>
        <v>8.5358735086629167E-3</v>
      </c>
      <c r="L106" s="27"/>
      <c r="M106" s="27"/>
      <c r="N106" s="27"/>
      <c r="O106" s="27"/>
      <c r="P106" s="27">
        <f t="shared" si="21"/>
        <v>9.2688816163216635E-3</v>
      </c>
      <c r="Q106" s="28">
        <f t="shared" si="22"/>
        <v>33011.975600000005</v>
      </c>
      <c r="R106" s="24">
        <f t="shared" si="23"/>
        <v>5.3730088589345687E-7</v>
      </c>
      <c r="S106" s="24">
        <v>1</v>
      </c>
      <c r="T106" s="24">
        <f t="shared" si="24"/>
        <v>5.3730088589345687E-7</v>
      </c>
      <c r="U106" s="27">
        <f t="shared" si="25"/>
        <v>-7.3300810765874677E-4</v>
      </c>
      <c r="V106" s="96"/>
    </row>
    <row r="107" spans="1:22" x14ac:dyDescent="0.2">
      <c r="A107" s="140" t="s">
        <v>532</v>
      </c>
      <c r="B107" s="140" t="s">
        <v>48</v>
      </c>
      <c r="C107" s="147">
        <v>48035.375800000002</v>
      </c>
      <c r="D107" s="147" t="s">
        <v>294</v>
      </c>
      <c r="E107" s="98">
        <f t="shared" si="18"/>
        <v>-14465.477761997689</v>
      </c>
      <c r="F107" s="24">
        <f t="shared" si="19"/>
        <v>-14465.5</v>
      </c>
      <c r="G107" s="27">
        <f t="shared" si="20"/>
        <v>7.7848115033702925E-3</v>
      </c>
      <c r="H107" s="27"/>
      <c r="I107" s="27"/>
      <c r="J107" s="27"/>
      <c r="K107" s="27">
        <f>+G107</f>
        <v>7.7848115033702925E-3</v>
      </c>
      <c r="L107" s="27"/>
      <c r="M107" s="27"/>
      <c r="O107" s="27">
        <f ca="1">+C$11+C$12*$F107</f>
        <v>-1.7580928257726641E-2</v>
      </c>
      <c r="P107" s="27">
        <f t="shared" si="21"/>
        <v>9.2563442487920596E-3</v>
      </c>
      <c r="Q107" s="28">
        <f t="shared" si="22"/>
        <v>33016.875800000002</v>
      </c>
      <c r="R107" s="24">
        <f t="shared" si="23"/>
        <v>2.1654086208485233E-6</v>
      </c>
      <c r="S107" s="24">
        <v>1</v>
      </c>
      <c r="T107" s="24">
        <f t="shared" si="24"/>
        <v>2.1654086208485233E-6</v>
      </c>
      <c r="U107" s="27">
        <f t="shared" si="25"/>
        <v>-1.4715327454217671E-3</v>
      </c>
      <c r="V107" s="96"/>
    </row>
    <row r="108" spans="1:22" x14ac:dyDescent="0.2">
      <c r="A108" s="36" t="s">
        <v>54</v>
      </c>
      <c r="B108" s="77" t="s">
        <v>48</v>
      </c>
      <c r="C108" s="32">
        <v>48035.375800000038</v>
      </c>
      <c r="D108" s="32"/>
      <c r="E108" s="26">
        <f t="shared" si="18"/>
        <v>-14465.477761997585</v>
      </c>
      <c r="F108" s="24">
        <f t="shared" si="19"/>
        <v>-14465.5</v>
      </c>
      <c r="G108" s="27">
        <f t="shared" si="20"/>
        <v>7.7848115397500806E-3</v>
      </c>
      <c r="H108" s="27"/>
      <c r="I108" s="27"/>
      <c r="J108" s="24"/>
      <c r="K108" s="27">
        <f>+G108</f>
        <v>7.7848115397500806E-3</v>
      </c>
      <c r="L108" s="27"/>
      <c r="M108" s="27"/>
      <c r="N108" s="27"/>
      <c r="O108" s="27"/>
      <c r="P108" s="27">
        <f t="shared" si="21"/>
        <v>9.2563442487920596E-3</v>
      </c>
      <c r="Q108" s="28">
        <f t="shared" si="22"/>
        <v>33016.875800000038</v>
      </c>
      <c r="R108" s="24">
        <f t="shared" si="23"/>
        <v>2.1654085137804256E-6</v>
      </c>
      <c r="S108" s="24">
        <v>1</v>
      </c>
      <c r="T108" s="24">
        <f t="shared" si="24"/>
        <v>2.1654085137804256E-6</v>
      </c>
      <c r="U108" s="27">
        <f t="shared" si="25"/>
        <v>-1.471532709041979E-3</v>
      </c>
      <c r="V108" s="96"/>
    </row>
    <row r="109" spans="1:22" x14ac:dyDescent="0.2">
      <c r="A109" s="36" t="s">
        <v>285</v>
      </c>
      <c r="B109" s="77" t="s">
        <v>48</v>
      </c>
      <c r="C109" s="32">
        <v>48035.375899999999</v>
      </c>
      <c r="D109" s="32" t="s">
        <v>190</v>
      </c>
      <c r="E109" s="98">
        <f t="shared" si="18"/>
        <v>-14465.477476338854</v>
      </c>
      <c r="F109" s="24">
        <f t="shared" si="19"/>
        <v>-14465.5</v>
      </c>
      <c r="G109" s="27">
        <f t="shared" si="20"/>
        <v>7.88481150084408E-3</v>
      </c>
      <c r="H109" s="27"/>
      <c r="I109" s="27"/>
      <c r="J109" s="27">
        <f>+G109</f>
        <v>7.88481150084408E-3</v>
      </c>
      <c r="K109" s="27"/>
      <c r="L109" s="27"/>
      <c r="M109" s="24"/>
      <c r="O109" s="27">
        <f ca="1">+C$11+C$12*$F109</f>
        <v>-1.7580928257726641E-2</v>
      </c>
      <c r="P109" s="27">
        <f t="shared" si="21"/>
        <v>9.2563442487920596E-3</v>
      </c>
      <c r="Q109" s="28">
        <f t="shared" si="22"/>
        <v>33016.875899999999</v>
      </c>
      <c r="R109" s="24">
        <f t="shared" si="23"/>
        <v>1.8811020786937361E-6</v>
      </c>
      <c r="S109" s="24">
        <v>1</v>
      </c>
      <c r="T109" s="24">
        <f t="shared" si="24"/>
        <v>1.8811020786937361E-6</v>
      </c>
      <c r="U109" s="27">
        <f t="shared" si="25"/>
        <v>-1.3715327479479796E-3</v>
      </c>
      <c r="V109" s="96"/>
    </row>
    <row r="110" spans="1:22" x14ac:dyDescent="0.2">
      <c r="A110" s="36" t="s">
        <v>82</v>
      </c>
      <c r="B110" s="77"/>
      <c r="C110" s="32">
        <v>48396.468399999998</v>
      </c>
      <c r="D110" s="32"/>
      <c r="E110" s="26">
        <f t="shared" si="18"/>
        <v>-13433.984826025184</v>
      </c>
      <c r="F110" s="24">
        <f t="shared" si="19"/>
        <v>-13434</v>
      </c>
      <c r="G110" s="27">
        <f t="shared" si="20"/>
        <v>5.3119219955988228E-3</v>
      </c>
      <c r="H110" s="27"/>
      <c r="I110" s="27"/>
      <c r="J110" s="27">
        <f>G110</f>
        <v>5.3119219955988228E-3</v>
      </c>
      <c r="K110" s="27"/>
      <c r="L110" s="27"/>
      <c r="M110" s="27"/>
      <c r="N110" s="27"/>
      <c r="O110" s="27"/>
      <c r="P110" s="27">
        <f t="shared" si="21"/>
        <v>8.3516491438124854E-3</v>
      </c>
      <c r="Q110" s="28">
        <f t="shared" si="22"/>
        <v>33377.968399999998</v>
      </c>
      <c r="R110" s="24">
        <f t="shared" si="23"/>
        <v>9.2399411355871659E-6</v>
      </c>
      <c r="S110" s="24">
        <v>1</v>
      </c>
      <c r="T110" s="24">
        <f t="shared" si="24"/>
        <v>9.2399411355871659E-6</v>
      </c>
      <c r="U110" s="27">
        <f t="shared" si="25"/>
        <v>-3.0397271482136626E-3</v>
      </c>
      <c r="V110" s="96"/>
    </row>
    <row r="111" spans="1:22" x14ac:dyDescent="0.2">
      <c r="A111" s="36" t="s">
        <v>82</v>
      </c>
      <c r="B111" s="77"/>
      <c r="C111" s="32">
        <v>48397.3439</v>
      </c>
      <c r="D111" s="32"/>
      <c r="E111" s="26">
        <f t="shared" si="18"/>
        <v>-13431.483882872524</v>
      </c>
      <c r="F111" s="24">
        <f t="shared" si="19"/>
        <v>-13431.5</v>
      </c>
      <c r="G111" s="27">
        <f t="shared" si="20"/>
        <v>5.6420895052724518E-3</v>
      </c>
      <c r="H111" s="27"/>
      <c r="I111" s="27"/>
      <c r="J111" s="27">
        <f>G111</f>
        <v>5.6420895052724518E-3</v>
      </c>
      <c r="K111" s="27"/>
      <c r="L111" s="27"/>
      <c r="M111" s="27"/>
      <c r="N111" s="27"/>
      <c r="O111" s="27"/>
      <c r="P111" s="27">
        <f t="shared" si="21"/>
        <v>8.3495021144516963E-3</v>
      </c>
      <c r="Q111" s="28">
        <f t="shared" si="22"/>
        <v>33378.8439</v>
      </c>
      <c r="R111" s="24">
        <f t="shared" si="23"/>
        <v>7.3300830363427648E-6</v>
      </c>
      <c r="S111" s="24">
        <v>1</v>
      </c>
      <c r="T111" s="24">
        <f t="shared" si="24"/>
        <v>7.3300830363427648E-6</v>
      </c>
      <c r="U111" s="27">
        <f t="shared" si="25"/>
        <v>-2.7074126091792446E-3</v>
      </c>
      <c r="V111" s="96"/>
    </row>
    <row r="112" spans="1:22" s="24" customFormat="1" x14ac:dyDescent="0.2">
      <c r="A112" s="36" t="s">
        <v>286</v>
      </c>
      <c r="B112" s="77" t="s">
        <v>48</v>
      </c>
      <c r="C112" s="32">
        <v>48397.344299999997</v>
      </c>
      <c r="D112" s="32" t="s">
        <v>190</v>
      </c>
      <c r="E112" s="98">
        <f t="shared" si="18"/>
        <v>-13431.482740237168</v>
      </c>
      <c r="F112" s="24">
        <f t="shared" si="19"/>
        <v>-13431.5</v>
      </c>
      <c r="G112" s="27">
        <f t="shared" si="20"/>
        <v>6.0420895024435595E-3</v>
      </c>
      <c r="H112" s="27"/>
      <c r="I112" s="27"/>
      <c r="J112" s="27">
        <f>+G112</f>
        <v>6.0420895024435595E-3</v>
      </c>
      <c r="K112" s="27"/>
      <c r="L112" s="27"/>
      <c r="N112" s="12"/>
      <c r="O112" s="27">
        <f ca="1">+C$11+C$12*$F112</f>
        <v>-1.6902610438333576E-2</v>
      </c>
      <c r="P112" s="27">
        <f t="shared" si="21"/>
        <v>8.3495021144516963E-3</v>
      </c>
      <c r="Q112" s="28">
        <f t="shared" si="22"/>
        <v>33378.844299999997</v>
      </c>
      <c r="R112" s="24">
        <f t="shared" si="23"/>
        <v>5.3241529620542127E-6</v>
      </c>
      <c r="S112" s="24">
        <v>1</v>
      </c>
      <c r="T112" s="24">
        <f t="shared" si="24"/>
        <v>5.3241529620542127E-6</v>
      </c>
      <c r="U112" s="27">
        <f t="shared" si="25"/>
        <v>-2.3074126120081369E-3</v>
      </c>
      <c r="V112" s="96"/>
    </row>
    <row r="113" spans="1:25" x14ac:dyDescent="0.2">
      <c r="A113" s="36" t="s">
        <v>82</v>
      </c>
      <c r="B113" s="77"/>
      <c r="C113" s="32">
        <v>48397.344700000001</v>
      </c>
      <c r="D113" s="32"/>
      <c r="E113" s="26">
        <f t="shared" si="18"/>
        <v>-13431.481597601791</v>
      </c>
      <c r="F113" s="24">
        <f t="shared" si="19"/>
        <v>-13431.5</v>
      </c>
      <c r="G113" s="27">
        <f t="shared" si="20"/>
        <v>6.4420895068906248E-3</v>
      </c>
      <c r="H113" s="27"/>
      <c r="I113" s="27"/>
      <c r="J113" s="27">
        <f>G113</f>
        <v>6.4420895068906248E-3</v>
      </c>
      <c r="K113" s="27"/>
      <c r="L113" s="27"/>
      <c r="M113" s="27"/>
      <c r="N113" s="27"/>
      <c r="O113" s="27"/>
      <c r="P113" s="27">
        <f t="shared" si="21"/>
        <v>8.3495021144516963E-3</v>
      </c>
      <c r="Q113" s="28">
        <f t="shared" si="22"/>
        <v>33378.844700000001</v>
      </c>
      <c r="R113" s="24">
        <f t="shared" si="23"/>
        <v>3.6382228554829267E-6</v>
      </c>
      <c r="S113" s="24">
        <v>1</v>
      </c>
      <c r="T113" s="24">
        <f t="shared" si="24"/>
        <v>3.6382228554829267E-6</v>
      </c>
      <c r="U113" s="27">
        <f t="shared" si="25"/>
        <v>-1.9074126075610716E-3</v>
      </c>
      <c r="V113" s="96"/>
    </row>
    <row r="114" spans="1:25" s="24" customFormat="1" x14ac:dyDescent="0.2">
      <c r="A114" s="36" t="s">
        <v>82</v>
      </c>
      <c r="B114" s="77"/>
      <c r="C114" s="32">
        <v>48397.518700000001</v>
      </c>
      <c r="D114" s="32"/>
      <c r="E114" s="26">
        <f t="shared" si="18"/>
        <v>-13430.984551218515</v>
      </c>
      <c r="F114" s="24">
        <f t="shared" si="19"/>
        <v>-13431</v>
      </c>
      <c r="G114" s="27">
        <f t="shared" si="20"/>
        <v>5.4081230045994744E-3</v>
      </c>
      <c r="H114" s="27"/>
      <c r="I114" s="27"/>
      <c r="J114" s="27">
        <f>G114</f>
        <v>5.4081230045994744E-3</v>
      </c>
      <c r="K114" s="27"/>
      <c r="L114" s="27"/>
      <c r="M114" s="27"/>
      <c r="N114" s="27"/>
      <c r="O114" s="27"/>
      <c r="P114" s="27">
        <f t="shared" si="21"/>
        <v>8.3490727350627129E-3</v>
      </c>
      <c r="Q114" s="28">
        <f t="shared" si="22"/>
        <v>33379.018700000001</v>
      </c>
      <c r="R114" s="24">
        <f t="shared" si="23"/>
        <v>8.6491853171117958E-6</v>
      </c>
      <c r="S114" s="24">
        <v>1</v>
      </c>
      <c r="T114" s="24">
        <f t="shared" si="24"/>
        <v>8.6491853171117958E-6</v>
      </c>
      <c r="U114" s="27">
        <f t="shared" si="25"/>
        <v>-2.9409497304632385E-3</v>
      </c>
      <c r="V114" s="96"/>
    </row>
    <row r="115" spans="1:25" x14ac:dyDescent="0.2">
      <c r="A115" s="36" t="s">
        <v>82</v>
      </c>
      <c r="B115" s="77"/>
      <c r="C115" s="32">
        <v>48398.394800000002</v>
      </c>
      <c r="D115" s="32"/>
      <c r="E115" s="26">
        <f t="shared" si="18"/>
        <v>-13428.481894112811</v>
      </c>
      <c r="F115" s="24">
        <f t="shared" si="19"/>
        <v>-13428.5</v>
      </c>
      <c r="G115" s="27">
        <f t="shared" si="20"/>
        <v>6.338290506391786E-3</v>
      </c>
      <c r="H115" s="27"/>
      <c r="I115" s="27"/>
      <c r="J115" s="27">
        <f>G115</f>
        <v>6.338290506391786E-3</v>
      </c>
      <c r="K115" s="27"/>
      <c r="L115" s="27"/>
      <c r="M115" s="27"/>
      <c r="N115" s="27"/>
      <c r="O115" s="27"/>
      <c r="P115" s="27">
        <f t="shared" si="21"/>
        <v>8.3469259705336689E-3</v>
      </c>
      <c r="Q115" s="28">
        <f t="shared" si="22"/>
        <v>33379.894800000002</v>
      </c>
      <c r="R115" s="24">
        <f t="shared" si="23"/>
        <v>4.0346164278084776E-6</v>
      </c>
      <c r="S115" s="24">
        <v>1</v>
      </c>
      <c r="T115" s="24">
        <f t="shared" si="24"/>
        <v>4.0346164278084776E-6</v>
      </c>
      <c r="U115" s="27">
        <f t="shared" si="25"/>
        <v>-2.0086354641418828E-3</v>
      </c>
      <c r="V115" s="96"/>
    </row>
    <row r="116" spans="1:25" s="24" customFormat="1" x14ac:dyDescent="0.2">
      <c r="A116" s="36" t="s">
        <v>286</v>
      </c>
      <c r="B116" s="77" t="s">
        <v>48</v>
      </c>
      <c r="C116" s="32">
        <v>48398.394999999997</v>
      </c>
      <c r="D116" s="32" t="s">
        <v>190</v>
      </c>
      <c r="E116" s="98">
        <f t="shared" si="18"/>
        <v>-13428.481322795144</v>
      </c>
      <c r="F116" s="24">
        <f t="shared" si="19"/>
        <v>-13428.5</v>
      </c>
      <c r="G116" s="27">
        <f t="shared" si="20"/>
        <v>6.5382905013393611E-3</v>
      </c>
      <c r="H116" s="27"/>
      <c r="I116" s="27"/>
      <c r="J116" s="27">
        <f>+G116</f>
        <v>6.5382905013393611E-3</v>
      </c>
      <c r="K116" s="27"/>
      <c r="L116" s="27"/>
      <c r="N116" s="12"/>
      <c r="O116" s="27">
        <f ca="1">+C$11+C$12*$F116</f>
        <v>-1.6900642398238627E-2</v>
      </c>
      <c r="P116" s="27">
        <f t="shared" si="21"/>
        <v>8.3469259705336689E-3</v>
      </c>
      <c r="Q116" s="28">
        <f t="shared" si="22"/>
        <v>33379.894999999997</v>
      </c>
      <c r="R116" s="24">
        <f t="shared" si="23"/>
        <v>3.271162260427714E-6</v>
      </c>
      <c r="S116" s="24">
        <v>1</v>
      </c>
      <c r="T116" s="24">
        <f t="shared" si="24"/>
        <v>3.271162260427714E-6</v>
      </c>
      <c r="U116" s="27">
        <f t="shared" si="25"/>
        <v>-1.8086354691943078E-3</v>
      </c>
      <c r="V116" s="96"/>
    </row>
    <row r="117" spans="1:25" s="24" customFormat="1" x14ac:dyDescent="0.2">
      <c r="A117" s="36" t="s">
        <v>82</v>
      </c>
      <c r="B117" s="77"/>
      <c r="C117" s="32">
        <v>48398.395299999996</v>
      </c>
      <c r="D117" s="32"/>
      <c r="E117" s="26">
        <f t="shared" ref="E117:E148" si="26">+(C117-C$7)/C$8</f>
        <v>-13428.48046581862</v>
      </c>
      <c r="F117" s="24">
        <f t="shared" ref="F117:F148" si="27">ROUND(2*E117,0)/2</f>
        <v>-13428.5</v>
      </c>
      <c r="G117" s="27">
        <f>+C117-(C$7+F117*C$8)</f>
        <v>6.8382905010366812E-3</v>
      </c>
      <c r="H117" s="27"/>
      <c r="I117" s="27"/>
      <c r="J117" s="27">
        <f>G117</f>
        <v>6.8382905010366812E-3</v>
      </c>
      <c r="K117" s="27"/>
      <c r="L117" s="27"/>
      <c r="M117" s="27"/>
      <c r="N117" s="27"/>
      <c r="O117" s="27"/>
      <c r="P117" s="27">
        <f t="shared" ref="P117:P148" si="28">+D$11+D$12*F117+D$13*F117^2</f>
        <v>8.3469259705336689E-3</v>
      </c>
      <c r="Q117" s="28">
        <f t="shared" ref="Q117:Q148" si="29">+C117-15018.5</f>
        <v>33379.895299999996</v>
      </c>
      <c r="R117" s="24">
        <f t="shared" ref="R117:R148" si="30">+(P117-G117)^2</f>
        <v>2.2759809798243964E-6</v>
      </c>
      <c r="S117" s="24">
        <v>1</v>
      </c>
      <c r="T117" s="24">
        <f>+S117*R117</f>
        <v>2.2759809798243964E-6</v>
      </c>
      <c r="U117" s="27">
        <f t="shared" si="25"/>
        <v>-1.5086354694969877E-3</v>
      </c>
      <c r="V117" s="96"/>
    </row>
    <row r="118" spans="1:25" x14ac:dyDescent="0.2">
      <c r="A118" s="36" t="s">
        <v>45</v>
      </c>
      <c r="B118" s="77"/>
      <c r="C118" s="32">
        <v>48801.500999999997</v>
      </c>
      <c r="D118" s="32">
        <v>3.0000000000000001E-3</v>
      </c>
      <c r="E118" s="26">
        <f t="shared" si="26"/>
        <v>-12276.97339533239</v>
      </c>
      <c r="F118" s="24">
        <f t="shared" si="27"/>
        <v>-12277</v>
      </c>
      <c r="G118" s="27">
        <f>+C118-(C$7+F118*C$8)</f>
        <v>9.3134409980848432E-3</v>
      </c>
      <c r="H118" s="27"/>
      <c r="I118" s="24"/>
      <c r="J118" s="27"/>
      <c r="K118" s="27">
        <f>+G118</f>
        <v>9.3134409980848432E-3</v>
      </c>
      <c r="L118" s="27"/>
      <c r="M118" s="27"/>
      <c r="N118" s="27"/>
      <c r="O118" s="27"/>
      <c r="P118" s="27">
        <f t="shared" si="28"/>
        <v>7.3815873374306253E-3</v>
      </c>
      <c r="Q118" s="28">
        <f t="shared" si="29"/>
        <v>33783.000999999997</v>
      </c>
      <c r="R118" s="24">
        <f t="shared" si="30"/>
        <v>3.7320585661831019E-6</v>
      </c>
      <c r="S118" s="24">
        <v>1</v>
      </c>
      <c r="T118" s="24">
        <f>+S118*R118</f>
        <v>3.7320585661831019E-6</v>
      </c>
      <c r="U118" s="27">
        <f t="shared" si="25"/>
        <v>1.9318536606542178E-3</v>
      </c>
      <c r="V118" s="96"/>
    </row>
    <row r="119" spans="1:25" s="24" customFormat="1" x14ac:dyDescent="0.2">
      <c r="A119" s="36" t="s">
        <v>47</v>
      </c>
      <c r="B119" s="77" t="s">
        <v>48</v>
      </c>
      <c r="C119" s="103">
        <v>49480.442000000003</v>
      </c>
      <c r="D119" s="32">
        <v>5.0000000000000001E-3</v>
      </c>
      <c r="E119" s="26">
        <f t="shared" si="26"/>
        <v>-10337.518403892183</v>
      </c>
      <c r="F119" s="24">
        <f t="shared" si="27"/>
        <v>-10337.5</v>
      </c>
      <c r="G119" s="27">
        <f>+C119-(C$7+F119*C$8)</f>
        <v>-6.4426124954479747E-3</v>
      </c>
      <c r="H119" s="27"/>
      <c r="J119" s="27"/>
      <c r="K119" s="27">
        <f>+G119</f>
        <v>-6.4426124954479747E-3</v>
      </c>
      <c r="L119" s="27"/>
      <c r="M119" s="27"/>
      <c r="N119" s="27"/>
      <c r="O119" s="27"/>
      <c r="P119" s="27">
        <f t="shared" si="28"/>
        <v>5.8614878676043307E-3</v>
      </c>
      <c r="Q119" s="28">
        <f t="shared" si="29"/>
        <v>34461.942000000003</v>
      </c>
      <c r="R119" s="24">
        <f t="shared" si="30"/>
        <v>1.5139088574406387E-4</v>
      </c>
      <c r="S119" s="24">
        <v>1</v>
      </c>
      <c r="T119" s="24">
        <f>+S119*R119</f>
        <v>1.5139088574406387E-4</v>
      </c>
      <c r="U119" s="27">
        <f t="shared" si="25"/>
        <v>-1.2304100363052305E-2</v>
      </c>
      <c r="V119" s="96"/>
    </row>
    <row r="120" spans="1:25" s="24" customFormat="1" x14ac:dyDescent="0.2">
      <c r="A120" s="32" t="s">
        <v>95</v>
      </c>
      <c r="B120" s="77" t="s">
        <v>48</v>
      </c>
      <c r="C120" s="32">
        <v>49995.375999999997</v>
      </c>
      <c r="D120" s="32" t="s">
        <v>96</v>
      </c>
      <c r="E120" s="26">
        <f t="shared" si="26"/>
        <v>-8866.5639077544474</v>
      </c>
      <c r="F120" s="24">
        <f t="shared" si="27"/>
        <v>-8866.5</v>
      </c>
      <c r="G120" s="27"/>
      <c r="H120" s="27"/>
      <c r="I120" s="27"/>
      <c r="J120" s="27"/>
      <c r="K120" s="27"/>
      <c r="L120" s="27"/>
      <c r="M120" s="27"/>
      <c r="N120" s="12"/>
      <c r="O120" s="27"/>
      <c r="P120" s="27">
        <f t="shared" si="28"/>
        <v>4.797153884720279E-3</v>
      </c>
      <c r="Q120" s="28">
        <f t="shared" si="29"/>
        <v>34976.875999999997</v>
      </c>
      <c r="R120" s="24">
        <f t="shared" si="30"/>
        <v>2.3012685393686863E-5</v>
      </c>
      <c r="U120" s="27"/>
      <c r="V120" s="97">
        <v>-2.2372055500454735E-2</v>
      </c>
    </row>
    <row r="121" spans="1:25" s="24" customFormat="1" x14ac:dyDescent="0.2">
      <c r="A121" s="32" t="s">
        <v>95</v>
      </c>
      <c r="B121" s="77"/>
      <c r="C121" s="32">
        <v>49999.404999999999</v>
      </c>
      <c r="D121" s="32" t="s">
        <v>96</v>
      </c>
      <c r="E121" s="26">
        <f t="shared" si="26"/>
        <v>-8855.0547130519371</v>
      </c>
      <c r="F121" s="24">
        <f t="shared" si="27"/>
        <v>-8855</v>
      </c>
      <c r="G121" s="27"/>
      <c r="H121" s="27"/>
      <c r="I121" s="27"/>
      <c r="J121" s="27"/>
      <c r="K121" s="27"/>
      <c r="L121" s="27"/>
      <c r="M121" s="27"/>
      <c r="N121" s="12"/>
      <c r="O121" s="27"/>
      <c r="P121" s="27">
        <f t="shared" si="28"/>
        <v>4.7891341261367473E-3</v>
      </c>
      <c r="Q121" s="28">
        <f t="shared" si="29"/>
        <v>34980.904999999999</v>
      </c>
      <c r="R121" s="24">
        <f t="shared" si="30"/>
        <v>2.2935805678127586E-5</v>
      </c>
      <c r="U121" s="27"/>
      <c r="V121" s="97">
        <v>-1.9153285000356846E-2</v>
      </c>
    </row>
    <row r="122" spans="1:25" s="24" customFormat="1" x14ac:dyDescent="0.2">
      <c r="A122" s="32" t="s">
        <v>95</v>
      </c>
      <c r="B122" s="77"/>
      <c r="C122" s="32">
        <v>50180.457000000002</v>
      </c>
      <c r="D122" s="32" t="s">
        <v>96</v>
      </c>
      <c r="E122" s="26">
        <f t="shared" si="26"/>
        <v>-8337.8636683069053</v>
      </c>
      <c r="F122" s="24">
        <f t="shared" si="27"/>
        <v>-8338</v>
      </c>
      <c r="G122" s="27"/>
      <c r="H122" s="27"/>
      <c r="I122" s="27"/>
      <c r="J122" s="27"/>
      <c r="K122" s="27"/>
      <c r="L122" s="27"/>
      <c r="M122" s="27"/>
      <c r="N122" s="12"/>
      <c r="O122" s="27"/>
      <c r="P122" s="27">
        <f t="shared" si="28"/>
        <v>4.4334177530240574E-3</v>
      </c>
      <c r="Q122" s="28">
        <f t="shared" si="29"/>
        <v>35161.957000000002</v>
      </c>
      <c r="R122" s="24">
        <f t="shared" si="30"/>
        <v>1.9655192972828883E-5</v>
      </c>
      <c r="U122" s="27"/>
      <c r="V122" s="97">
        <v>4.7725354001158848E-2</v>
      </c>
    </row>
    <row r="123" spans="1:25" s="24" customFormat="1" x14ac:dyDescent="0.2">
      <c r="A123" s="32" t="s">
        <v>95</v>
      </c>
      <c r="B123" s="77" t="s">
        <v>48</v>
      </c>
      <c r="C123" s="32">
        <v>50189.572999999997</v>
      </c>
      <c r="D123" s="32" t="s">
        <v>96</v>
      </c>
      <c r="E123" s="26">
        <f t="shared" si="26"/>
        <v>-8311.8230083644976</v>
      </c>
      <c r="F123" s="24">
        <f t="shared" si="27"/>
        <v>-8312</v>
      </c>
      <c r="G123" s="27"/>
      <c r="H123" s="27"/>
      <c r="I123" s="27"/>
      <c r="J123" s="27"/>
      <c r="K123" s="27"/>
      <c r="L123" s="27"/>
      <c r="M123" s="27"/>
      <c r="N123" s="12"/>
      <c r="O123" s="27"/>
      <c r="P123" s="27">
        <f t="shared" si="28"/>
        <v>4.4157779880973271E-3</v>
      </c>
      <c r="Q123" s="28">
        <f t="shared" si="29"/>
        <v>35171.072999999997</v>
      </c>
      <c r="R123" s="24">
        <f t="shared" si="30"/>
        <v>1.9499095240164877E-5</v>
      </c>
      <c r="U123" s="27"/>
      <c r="V123" s="97">
        <v>6.1959095997735858E-2</v>
      </c>
    </row>
    <row r="124" spans="1:25" s="24" customFormat="1" x14ac:dyDescent="0.2">
      <c r="A124" s="32" t="s">
        <v>95</v>
      </c>
      <c r="B124" s="77" t="s">
        <v>48</v>
      </c>
      <c r="C124" s="32">
        <v>50195.504999999997</v>
      </c>
      <c r="D124" s="32" t="s">
        <v>96</v>
      </c>
      <c r="E124" s="26">
        <f t="shared" si="26"/>
        <v>-8294.8777259184171</v>
      </c>
      <c r="F124" s="24">
        <f t="shared" si="27"/>
        <v>-8295</v>
      </c>
      <c r="G124" s="27"/>
      <c r="H124" s="27"/>
      <c r="I124" s="27"/>
      <c r="J124" s="27"/>
      <c r="K124" s="27"/>
      <c r="L124" s="27"/>
      <c r="M124" s="27"/>
      <c r="N124" s="12"/>
      <c r="O124" s="27"/>
      <c r="P124" s="27">
        <f t="shared" si="28"/>
        <v>4.4042572017790162E-3</v>
      </c>
      <c r="Q124" s="28">
        <f t="shared" si="29"/>
        <v>35177.004999999997</v>
      </c>
      <c r="R124" s="24">
        <f t="shared" si="30"/>
        <v>1.9397481499422328E-5</v>
      </c>
      <c r="U124" s="27"/>
      <c r="V124" s="97">
        <v>4.280423499585595E-2</v>
      </c>
      <c r="Y124" s="24" t="s">
        <v>193</v>
      </c>
    </row>
    <row r="125" spans="1:25" x14ac:dyDescent="0.2">
      <c r="A125" s="36" t="s">
        <v>50</v>
      </c>
      <c r="B125" s="34" t="s">
        <v>48</v>
      </c>
      <c r="C125" s="35">
        <v>50330.414499999999</v>
      </c>
      <c r="D125" s="35">
        <v>1E-3</v>
      </c>
      <c r="E125" s="26">
        <f t="shared" si="26"/>
        <v>-7909.4968118659399</v>
      </c>
      <c r="F125" s="24">
        <f t="shared" si="27"/>
        <v>-7909.5</v>
      </c>
      <c r="G125" s="27">
        <f t="shared" ref="G125:G130" si="31">+C125-(C$7+F125*C$8)</f>
        <v>1.1160635040141642E-3</v>
      </c>
      <c r="H125" s="27"/>
      <c r="I125" s="27"/>
      <c r="J125" s="27"/>
      <c r="K125" s="27">
        <f>+G125</f>
        <v>1.1160635040141642E-3</v>
      </c>
      <c r="L125" s="27"/>
      <c r="M125" s="27"/>
      <c r="N125" s="27"/>
      <c r="O125" s="27">
        <f t="shared" ref="O125:O130" ca="1" si="32">+C$11+C$12*$F125</f>
        <v>-1.3280104636894014E-2</v>
      </c>
      <c r="P125" s="27">
        <f t="shared" si="28"/>
        <v>4.1457459154728817E-3</v>
      </c>
      <c r="Q125" s="28">
        <f t="shared" si="29"/>
        <v>35311.914499999999</v>
      </c>
      <c r="R125" s="24">
        <f t="shared" si="30"/>
        <v>9.1789755143023099E-6</v>
      </c>
      <c r="S125" s="24">
        <v>1</v>
      </c>
      <c r="T125" s="24">
        <f t="shared" ref="T125:T130" si="33">+S125*R125</f>
        <v>9.1789755143023099E-6</v>
      </c>
      <c r="U125" s="27">
        <f t="shared" ref="U125:U130" si="34">+G125-P125</f>
        <v>-3.0296824114587175E-3</v>
      </c>
      <c r="V125" s="96"/>
    </row>
    <row r="126" spans="1:25" x14ac:dyDescent="0.2">
      <c r="A126" s="78" t="s">
        <v>199</v>
      </c>
      <c r="B126" s="77" t="s">
        <v>53</v>
      </c>
      <c r="C126" s="32">
        <v>50590.684999999998</v>
      </c>
      <c r="D126" s="32"/>
      <c r="E126" s="98">
        <f t="shared" si="26"/>
        <v>-7166.0111181905959</v>
      </c>
      <c r="F126" s="24">
        <f t="shared" si="27"/>
        <v>-7166</v>
      </c>
      <c r="G126" s="27">
        <f t="shared" si="31"/>
        <v>-3.8921220038901083E-3</v>
      </c>
      <c r="H126" s="27"/>
      <c r="I126" s="27"/>
      <c r="J126" s="27">
        <f>+G126</f>
        <v>-3.8921220038901083E-3</v>
      </c>
      <c r="K126" s="27"/>
      <c r="L126" s="27"/>
      <c r="M126" s="27"/>
      <c r="O126" s="27">
        <f t="shared" ca="1" si="32"/>
        <v>-1.279235870002869E-2</v>
      </c>
      <c r="P126" s="27">
        <f t="shared" si="28"/>
        <v>3.6619846727794355E-3</v>
      </c>
      <c r="Q126" s="28">
        <f t="shared" si="29"/>
        <v>35572.184999999998</v>
      </c>
      <c r="R126" s="24">
        <f t="shared" si="30"/>
        <v>5.706452768250338E-5</v>
      </c>
      <c r="S126">
        <v>1</v>
      </c>
      <c r="T126" s="24">
        <f t="shared" si="33"/>
        <v>5.706452768250338E-5</v>
      </c>
      <c r="U126" s="27">
        <f t="shared" si="34"/>
        <v>-7.5541066766695439E-3</v>
      </c>
      <c r="V126" s="96"/>
    </row>
    <row r="127" spans="1:25" s="24" customFormat="1" x14ac:dyDescent="0.2">
      <c r="A127" s="78" t="s">
        <v>200</v>
      </c>
      <c r="B127" s="77" t="s">
        <v>53</v>
      </c>
      <c r="C127" s="32">
        <v>50590.684999999998</v>
      </c>
      <c r="D127" s="32"/>
      <c r="E127" s="98">
        <f t="shared" si="26"/>
        <v>-7166.0111181905959</v>
      </c>
      <c r="F127" s="24">
        <f t="shared" si="27"/>
        <v>-7166</v>
      </c>
      <c r="G127" s="27">
        <f t="shared" si="31"/>
        <v>-3.8921220038901083E-3</v>
      </c>
      <c r="H127" s="27"/>
      <c r="I127" s="27">
        <f>G127</f>
        <v>-3.8921220038901083E-3</v>
      </c>
      <c r="J127" s="12"/>
      <c r="K127" s="27"/>
      <c r="L127" s="27"/>
      <c r="M127" s="27"/>
      <c r="N127" s="12"/>
      <c r="O127" s="27">
        <f t="shared" ca="1" si="32"/>
        <v>-1.279235870002869E-2</v>
      </c>
      <c r="P127" s="27">
        <f t="shared" si="28"/>
        <v>3.6619846727794355E-3</v>
      </c>
      <c r="Q127" s="28">
        <f t="shared" si="29"/>
        <v>35572.184999999998</v>
      </c>
      <c r="R127" s="24">
        <f t="shared" si="30"/>
        <v>5.706452768250338E-5</v>
      </c>
      <c r="S127" s="24">
        <v>0.1</v>
      </c>
      <c r="T127" s="24">
        <f t="shared" si="33"/>
        <v>5.7064527682503381E-6</v>
      </c>
      <c r="U127" s="27">
        <f t="shared" si="34"/>
        <v>-7.5541066766695439E-3</v>
      </c>
      <c r="V127" s="96"/>
      <c r="Y127" s="24" t="s">
        <v>193</v>
      </c>
    </row>
    <row r="128" spans="1:25" x14ac:dyDescent="0.2">
      <c r="A128" s="36" t="s">
        <v>50</v>
      </c>
      <c r="B128" s="34" t="s">
        <v>48</v>
      </c>
      <c r="C128" s="35">
        <v>50653.526400000002</v>
      </c>
      <c r="D128" s="35">
        <v>1E-4</v>
      </c>
      <c r="E128" s="26">
        <f t="shared" si="26"/>
        <v>-6986.4991033040315</v>
      </c>
      <c r="F128" s="24">
        <f t="shared" si="27"/>
        <v>-6986.5</v>
      </c>
      <c r="G128" s="27">
        <f t="shared" si="31"/>
        <v>3.1390450749313459E-4</v>
      </c>
      <c r="H128" s="27"/>
      <c r="I128" s="27"/>
      <c r="J128" s="27"/>
      <c r="K128" s="27">
        <f>+G128</f>
        <v>3.1390450749313459E-4</v>
      </c>
      <c r="L128" s="27"/>
      <c r="M128" s="27"/>
      <c r="N128" s="27"/>
      <c r="O128" s="27">
        <f t="shared" ca="1" si="32"/>
        <v>-1.2674604301014129E-2</v>
      </c>
      <c r="P128" s="27">
        <f t="shared" si="28"/>
        <v>3.5481174097368594E-3</v>
      </c>
      <c r="Q128" s="28">
        <f t="shared" si="29"/>
        <v>35635.026400000002</v>
      </c>
      <c r="R128" s="24">
        <f t="shared" si="30"/>
        <v>1.0460133097039778E-5</v>
      </c>
      <c r="S128" s="24">
        <v>1</v>
      </c>
      <c r="T128" s="24">
        <f t="shared" si="33"/>
        <v>1.0460133097039778E-5</v>
      </c>
      <c r="U128" s="27">
        <f t="shared" si="34"/>
        <v>-3.2342129022437248E-3</v>
      </c>
      <c r="V128" s="96"/>
    </row>
    <row r="129" spans="1:22" x14ac:dyDescent="0.2">
      <c r="A129" s="78" t="s">
        <v>199</v>
      </c>
      <c r="B129" s="77" t="s">
        <v>53</v>
      </c>
      <c r="C129" s="32">
        <v>51056.629000000001</v>
      </c>
      <c r="D129" s="32"/>
      <c r="E129" s="98">
        <f t="shared" si="26"/>
        <v>-5835.0008882418761</v>
      </c>
      <c r="F129" s="24">
        <f t="shared" si="27"/>
        <v>-5835</v>
      </c>
      <c r="G129" s="27">
        <f t="shared" si="31"/>
        <v>-3.1094499718165025E-4</v>
      </c>
      <c r="H129" s="27"/>
      <c r="I129" s="27"/>
      <c r="J129" s="27">
        <f>+G129</f>
        <v>-3.1094499718165025E-4</v>
      </c>
      <c r="K129" s="27"/>
      <c r="L129" s="27"/>
      <c r="M129" s="27"/>
      <c r="O129" s="27">
        <f t="shared" ca="1" si="32"/>
        <v>-1.1919204911235489E-2</v>
      </c>
      <c r="P129" s="27">
        <f t="shared" si="28"/>
        <v>2.8447137229308671E-3</v>
      </c>
      <c r="Q129" s="28">
        <f t="shared" si="29"/>
        <v>36038.129000000001</v>
      </c>
      <c r="R129" s="24">
        <f t="shared" si="30"/>
        <v>9.9581819578221703E-6</v>
      </c>
      <c r="S129">
        <v>1</v>
      </c>
      <c r="T129" s="24">
        <f t="shared" si="33"/>
        <v>9.9581819578221703E-6</v>
      </c>
      <c r="U129" s="27">
        <f t="shared" si="34"/>
        <v>-3.1556587201125173E-3</v>
      </c>
      <c r="V129" s="96"/>
    </row>
    <row r="130" spans="1:22" x14ac:dyDescent="0.2">
      <c r="A130" s="78" t="s">
        <v>200</v>
      </c>
      <c r="B130" s="77" t="s">
        <v>53</v>
      </c>
      <c r="C130" s="32">
        <v>51056.629000000001</v>
      </c>
      <c r="D130" s="32"/>
      <c r="E130" s="98">
        <f t="shared" si="26"/>
        <v>-5835.0008882418761</v>
      </c>
      <c r="F130" s="24">
        <f t="shared" si="27"/>
        <v>-5835</v>
      </c>
      <c r="G130" s="27">
        <f t="shared" si="31"/>
        <v>-3.1094499718165025E-4</v>
      </c>
      <c r="H130" s="27"/>
      <c r="I130" s="27">
        <f>G130</f>
        <v>-3.1094499718165025E-4</v>
      </c>
      <c r="K130" s="27"/>
      <c r="L130" s="27"/>
      <c r="M130" s="27"/>
      <c r="O130" s="27">
        <f t="shared" ca="1" si="32"/>
        <v>-1.1919204911235489E-2</v>
      </c>
      <c r="P130" s="27">
        <f t="shared" si="28"/>
        <v>2.8447137229308671E-3</v>
      </c>
      <c r="Q130" s="28">
        <f t="shared" si="29"/>
        <v>36038.129000000001</v>
      </c>
      <c r="R130" s="24">
        <f t="shared" si="30"/>
        <v>9.9581819578221703E-6</v>
      </c>
      <c r="S130" s="24">
        <v>0.1</v>
      </c>
      <c r="T130" s="24">
        <f t="shared" si="33"/>
        <v>9.9581819578221703E-7</v>
      </c>
      <c r="U130" s="27">
        <f t="shared" si="34"/>
        <v>-3.1556587201125173E-3</v>
      </c>
      <c r="V130" s="96"/>
    </row>
    <row r="131" spans="1:22" s="24" customFormat="1" x14ac:dyDescent="0.2">
      <c r="A131" s="36" t="s">
        <v>83</v>
      </c>
      <c r="B131" s="77"/>
      <c r="C131" s="32">
        <v>51600.644800000002</v>
      </c>
      <c r="D131" s="32"/>
      <c r="E131" s="26">
        <f t="shared" si="26"/>
        <v>-4280.9716592921877</v>
      </c>
      <c r="F131" s="24">
        <f t="shared" si="27"/>
        <v>-4281</v>
      </c>
      <c r="G131" s="27"/>
      <c r="H131" s="27"/>
      <c r="I131" s="27"/>
      <c r="J131" s="27"/>
      <c r="L131" s="27"/>
      <c r="M131" s="27"/>
      <c r="N131" s="27"/>
      <c r="O131" s="27"/>
      <c r="P131" s="27">
        <f t="shared" si="28"/>
        <v>1.9696690837895632E-3</v>
      </c>
      <c r="Q131" s="28">
        <f t="shared" si="29"/>
        <v>36582.144800000002</v>
      </c>
      <c r="R131" s="24">
        <f t="shared" si="30"/>
        <v>3.8795962996364177E-6</v>
      </c>
      <c r="U131" s="27"/>
      <c r="V131" s="31">
        <v>9.9211730048409663E-3</v>
      </c>
    </row>
    <row r="132" spans="1:22" s="24" customFormat="1" x14ac:dyDescent="0.2">
      <c r="A132" s="32" t="s">
        <v>85</v>
      </c>
      <c r="B132" s="77"/>
      <c r="C132" s="32">
        <v>51636.342299999997</v>
      </c>
      <c r="D132" s="32"/>
      <c r="E132" s="26">
        <f t="shared" si="26"/>
        <v>-4178.9985945385115</v>
      </c>
      <c r="F132" s="24">
        <f t="shared" si="27"/>
        <v>-4179</v>
      </c>
      <c r="G132" s="27">
        <f t="shared" ref="G132:G145" si="35">+C132-(C$7+F132*C$8)</f>
        <v>4.9200699868379161E-4</v>
      </c>
      <c r="H132" s="27"/>
      <c r="I132" s="27"/>
      <c r="J132" s="27"/>
      <c r="K132" s="27">
        <f>+G132</f>
        <v>4.9200699868379161E-4</v>
      </c>
      <c r="L132" s="27"/>
      <c r="M132" s="27"/>
      <c r="N132" s="27"/>
      <c r="O132" s="27">
        <f ca="1">+C$11+C$12*$F132</f>
        <v>-1.0832846778822609E-2</v>
      </c>
      <c r="P132" s="27">
        <f t="shared" si="28"/>
        <v>1.9152159387065767E-3</v>
      </c>
      <c r="Q132" s="28">
        <f t="shared" si="29"/>
        <v>36617.842299999997</v>
      </c>
      <c r="R132" s="24">
        <f t="shared" si="30"/>
        <v>2.0255236869607794E-6</v>
      </c>
      <c r="S132" s="24">
        <v>1</v>
      </c>
      <c r="T132" s="24">
        <f t="shared" ref="T132:T145" si="36">+S132*R132</f>
        <v>2.0255236869607794E-6</v>
      </c>
      <c r="U132" s="27">
        <f t="shared" ref="U132:U145" si="37">+G132-P132</f>
        <v>-1.4232089400227851E-3</v>
      </c>
      <c r="V132" s="96"/>
    </row>
    <row r="133" spans="1:22" x14ac:dyDescent="0.2">
      <c r="A133" s="140" t="s">
        <v>589</v>
      </c>
      <c r="B133" s="140" t="s">
        <v>53</v>
      </c>
      <c r="C133" s="147">
        <v>52119.440999999999</v>
      </c>
      <c r="D133" s="147" t="s">
        <v>96</v>
      </c>
      <c r="E133" s="98">
        <f t="shared" si="26"/>
        <v>-2798.9844473986695</v>
      </c>
      <c r="F133" s="24">
        <f t="shared" si="27"/>
        <v>-2799</v>
      </c>
      <c r="G133" s="27">
        <f t="shared" si="35"/>
        <v>5.4444670022348873E-3</v>
      </c>
      <c r="H133" s="27"/>
      <c r="I133" s="27">
        <f>+G133</f>
        <v>5.4444670022348873E-3</v>
      </c>
      <c r="J133" s="27"/>
      <c r="L133" s="27"/>
      <c r="M133" s="27"/>
      <c r="O133" s="27">
        <f ca="1">+C$11+C$12*$F133</f>
        <v>-9.9275483351452098E-3</v>
      </c>
      <c r="P133" s="27">
        <f t="shared" si="28"/>
        <v>1.2146051366489371E-3</v>
      </c>
      <c r="Q133" s="28">
        <f t="shared" si="29"/>
        <v>37100.940999999999</v>
      </c>
      <c r="R133" s="24">
        <f t="shared" si="30"/>
        <v>1.7891731401938253E-5</v>
      </c>
      <c r="S133" s="24">
        <v>0.1</v>
      </c>
      <c r="T133" s="24">
        <f t="shared" si="36"/>
        <v>1.7891731401938254E-6</v>
      </c>
      <c r="U133" s="27">
        <f t="shared" si="37"/>
        <v>4.2298618655859498E-3</v>
      </c>
      <c r="V133" s="96"/>
    </row>
    <row r="134" spans="1:22" x14ac:dyDescent="0.2">
      <c r="A134" s="32" t="s">
        <v>97</v>
      </c>
      <c r="B134" s="77" t="s">
        <v>53</v>
      </c>
      <c r="C134" s="32">
        <v>52119.441200000001</v>
      </c>
      <c r="D134" s="32" t="s">
        <v>96</v>
      </c>
      <c r="E134" s="98">
        <f t="shared" si="26"/>
        <v>-2798.9838760809812</v>
      </c>
      <c r="F134" s="24">
        <f t="shared" si="27"/>
        <v>-2799</v>
      </c>
      <c r="G134" s="27">
        <f t="shared" si="35"/>
        <v>5.64446700445842E-3</v>
      </c>
      <c r="H134" s="27"/>
      <c r="I134" s="27"/>
      <c r="J134" s="27"/>
      <c r="K134" s="27">
        <f t="shared" ref="K134:K139" si="38">+G134</f>
        <v>5.64446700445842E-3</v>
      </c>
      <c r="L134" s="27"/>
      <c r="M134" s="27"/>
      <c r="O134" s="27"/>
      <c r="P134" s="27">
        <f t="shared" si="28"/>
        <v>1.2146051366489371E-3</v>
      </c>
      <c r="Q134" s="28">
        <f t="shared" si="29"/>
        <v>37100.941200000001</v>
      </c>
      <c r="R134" s="24">
        <f t="shared" si="30"/>
        <v>1.9623676167872515E-5</v>
      </c>
      <c r="S134" s="24">
        <v>1</v>
      </c>
      <c r="T134" s="24">
        <f t="shared" si="36"/>
        <v>1.9623676167872515E-5</v>
      </c>
      <c r="U134" s="27">
        <f t="shared" si="37"/>
        <v>4.4298618678094825E-3</v>
      </c>
      <c r="V134" s="96"/>
    </row>
    <row r="135" spans="1:22" x14ac:dyDescent="0.2">
      <c r="A135" s="33" t="s">
        <v>87</v>
      </c>
      <c r="B135" s="34" t="s">
        <v>53</v>
      </c>
      <c r="C135" s="35">
        <v>52717.002999999997</v>
      </c>
      <c r="D135" s="32">
        <v>1E-4</v>
      </c>
      <c r="E135" s="98">
        <f t="shared" si="26"/>
        <v>-1091.9957641478729</v>
      </c>
      <c r="F135" s="24">
        <f t="shared" si="27"/>
        <v>-1092</v>
      </c>
      <c r="G135" s="27">
        <f t="shared" si="35"/>
        <v>1.4828359999228269E-3</v>
      </c>
      <c r="H135" s="27"/>
      <c r="I135" s="27"/>
      <c r="J135" s="27"/>
      <c r="K135" s="27">
        <f t="shared" si="38"/>
        <v>1.4828359999228269E-3</v>
      </c>
      <c r="L135" s="27"/>
      <c r="M135" s="27"/>
      <c r="N135" s="27"/>
      <c r="O135" s="27">
        <f ca="1">+C$11+C$12*$F135</f>
        <v>-8.8077335211181659E-3</v>
      </c>
      <c r="P135" s="27">
        <f t="shared" si="28"/>
        <v>4.4101558730939958E-4</v>
      </c>
      <c r="Q135" s="28">
        <f t="shared" si="29"/>
        <v>37698.502999999997</v>
      </c>
      <c r="R135" s="24">
        <f t="shared" si="30"/>
        <v>1.0853897721380119E-6</v>
      </c>
      <c r="S135" s="24">
        <v>1</v>
      </c>
      <c r="T135" s="24">
        <f t="shared" si="36"/>
        <v>1.0853897721380119E-6</v>
      </c>
      <c r="U135" s="27">
        <f t="shared" si="37"/>
        <v>1.0418204126134273E-3</v>
      </c>
      <c r="V135" s="96"/>
    </row>
    <row r="136" spans="1:22" s="24" customFormat="1" x14ac:dyDescent="0.2">
      <c r="A136" s="33" t="s">
        <v>87</v>
      </c>
      <c r="B136" s="34" t="s">
        <v>48</v>
      </c>
      <c r="C136" s="35">
        <v>52717.178399999997</v>
      </c>
      <c r="D136" s="32">
        <v>1E-4</v>
      </c>
      <c r="E136" s="98">
        <f t="shared" si="26"/>
        <v>-1091.4947185408189</v>
      </c>
      <c r="F136" s="24">
        <f t="shared" si="27"/>
        <v>-1091.5</v>
      </c>
      <c r="G136" s="27">
        <f t="shared" si="35"/>
        <v>1.8488694986444898E-3</v>
      </c>
      <c r="H136" s="27"/>
      <c r="I136" s="27"/>
      <c r="J136" s="27"/>
      <c r="K136" s="27">
        <f t="shared" si="38"/>
        <v>1.8488694986444898E-3</v>
      </c>
      <c r="L136" s="27"/>
      <c r="M136" s="27"/>
      <c r="N136" s="27"/>
      <c r="O136" s="27">
        <f ca="1">+C$11+C$12*$F136</f>
        <v>-8.8074055144356737E-3</v>
      </c>
      <c r="P136" s="27">
        <f t="shared" si="28"/>
        <v>4.4080406734286359E-4</v>
      </c>
      <c r="Q136" s="28">
        <f t="shared" si="29"/>
        <v>37698.678399999997</v>
      </c>
      <c r="R136" s="24">
        <f t="shared" si="30"/>
        <v>1.9826482588266345E-6</v>
      </c>
      <c r="S136" s="24">
        <v>1</v>
      </c>
      <c r="T136" s="24">
        <f t="shared" si="36"/>
        <v>1.9826482588266345E-6</v>
      </c>
      <c r="U136" s="27">
        <f t="shared" si="37"/>
        <v>1.4080654313016262E-3</v>
      </c>
      <c r="V136" s="96"/>
    </row>
    <row r="137" spans="1:22" x14ac:dyDescent="0.2">
      <c r="A137" s="36" t="s">
        <v>58</v>
      </c>
      <c r="B137" s="34" t="s">
        <v>48</v>
      </c>
      <c r="C137" s="35">
        <v>52729.781999999999</v>
      </c>
      <c r="D137" s="35">
        <v>2.0000000000000001E-4</v>
      </c>
      <c r="E137" s="98">
        <f t="shared" si="26"/>
        <v>-1055.4914208608736</v>
      </c>
      <c r="F137" s="24">
        <f t="shared" si="27"/>
        <v>-1055.5</v>
      </c>
      <c r="G137" s="27">
        <f t="shared" si="35"/>
        <v>3.003281497512944E-3</v>
      </c>
      <c r="H137" s="27"/>
      <c r="I137" s="27"/>
      <c r="J137" s="27"/>
      <c r="K137" s="27">
        <f t="shared" si="38"/>
        <v>3.003281497512944E-3</v>
      </c>
      <c r="L137" s="27"/>
      <c r="M137" s="27"/>
      <c r="N137" s="27"/>
      <c r="O137" s="27">
        <f ca="1">+C$11+C$12*$F137</f>
        <v>-8.7837890332962635E-3</v>
      </c>
      <c r="P137" s="27">
        <f t="shared" si="28"/>
        <v>4.2559782901327236E-4</v>
      </c>
      <c r="Q137" s="28">
        <f t="shared" si="29"/>
        <v>37711.281999999999</v>
      </c>
      <c r="R137" s="24">
        <f t="shared" si="30"/>
        <v>6.6444530948499255E-6</v>
      </c>
      <c r="S137" s="24">
        <v>1</v>
      </c>
      <c r="T137" s="24">
        <f t="shared" si="36"/>
        <v>6.6444530948499255E-6</v>
      </c>
      <c r="U137" s="27">
        <f t="shared" si="37"/>
        <v>2.5776836684996717E-3</v>
      </c>
      <c r="V137" s="96"/>
    </row>
    <row r="138" spans="1:22" s="24" customFormat="1" x14ac:dyDescent="0.2">
      <c r="A138" s="37" t="s">
        <v>86</v>
      </c>
      <c r="B138" s="77" t="s">
        <v>48</v>
      </c>
      <c r="C138" s="32">
        <v>53092.451399999998</v>
      </c>
      <c r="D138" s="32">
        <v>1E-4</v>
      </c>
      <c r="E138" s="98">
        <f t="shared" si="26"/>
        <v>-19.494216284015426</v>
      </c>
      <c r="F138" s="24">
        <f t="shared" si="27"/>
        <v>-19.5</v>
      </c>
      <c r="G138" s="27">
        <f t="shared" si="35"/>
        <v>2.0246935018803924E-3</v>
      </c>
      <c r="H138" s="27"/>
      <c r="I138" s="27"/>
      <c r="J138" s="27"/>
      <c r="K138" s="27">
        <f t="shared" si="38"/>
        <v>2.0246935018803924E-3</v>
      </c>
      <c r="L138" s="27"/>
      <c r="M138" s="27"/>
      <c r="N138" s="27"/>
      <c r="O138" s="27">
        <f ca="1">+C$11+C$12*$F138</f>
        <v>-8.1041591871732297E-3</v>
      </c>
      <c r="P138" s="27">
        <f t="shared" si="28"/>
        <v>7.6040828002766224E-6</v>
      </c>
      <c r="Q138" s="28">
        <f t="shared" si="29"/>
        <v>38073.951399999998</v>
      </c>
      <c r="R138" s="24">
        <f t="shared" si="30"/>
        <v>4.068649724564959E-6</v>
      </c>
      <c r="S138" s="24">
        <v>1</v>
      </c>
      <c r="T138" s="24">
        <f t="shared" si="36"/>
        <v>4.068649724564959E-6</v>
      </c>
      <c r="U138" s="27">
        <f t="shared" si="37"/>
        <v>2.0170894190801158E-3</v>
      </c>
      <c r="V138" s="96"/>
    </row>
    <row r="139" spans="1:22" x14ac:dyDescent="0.2">
      <c r="A139" s="37" t="s">
        <v>86</v>
      </c>
      <c r="B139" s="77" t="s">
        <v>48</v>
      </c>
      <c r="C139" s="32">
        <v>53099.450700000001</v>
      </c>
      <c r="D139" s="32">
        <v>2.0000000000000001E-4</v>
      </c>
      <c r="E139" s="98">
        <f t="shared" si="26"/>
        <v>0.49990297169809716</v>
      </c>
      <c r="F139" s="24">
        <f t="shared" si="27"/>
        <v>0.5</v>
      </c>
      <c r="G139" s="27">
        <f t="shared" si="35"/>
        <v>-3.3966498449444771E-5</v>
      </c>
      <c r="H139" s="27"/>
      <c r="I139" s="27"/>
      <c r="J139" s="27"/>
      <c r="K139" s="27">
        <f t="shared" si="38"/>
        <v>-3.3966498449444771E-5</v>
      </c>
      <c r="L139" s="27"/>
      <c r="M139" s="27"/>
      <c r="N139" s="27"/>
      <c r="O139" s="27">
        <f ca="1">+C$11+C$12*$F139</f>
        <v>-8.0910389198735576E-3</v>
      </c>
      <c r="P139" s="27">
        <f t="shared" si="28"/>
        <v>-9.2411440582244096E-8</v>
      </c>
      <c r="Q139" s="28">
        <f t="shared" si="29"/>
        <v>38080.950700000001</v>
      </c>
      <c r="R139" s="24">
        <f t="shared" si="30"/>
        <v>1.1474537706839889E-9</v>
      </c>
      <c r="S139" s="24">
        <v>1</v>
      </c>
      <c r="T139" s="24">
        <f t="shared" si="36"/>
        <v>1.1474537706839889E-9</v>
      </c>
      <c r="U139" s="27">
        <f t="shared" si="37"/>
        <v>-3.3874087008862525E-5</v>
      </c>
      <c r="V139" s="96"/>
    </row>
    <row r="140" spans="1:22" x14ac:dyDescent="0.2">
      <c r="A140" s="37" t="s">
        <v>192</v>
      </c>
      <c r="B140" s="77"/>
      <c r="C140" s="32">
        <v>53172.089699999997</v>
      </c>
      <c r="D140" s="32"/>
      <c r="E140" s="26">
        <f t="shared" si="26"/>
        <v>207.99962846068075</v>
      </c>
      <c r="F140" s="24">
        <f t="shared" si="27"/>
        <v>208</v>
      </c>
      <c r="G140" s="27">
        <f t="shared" si="35"/>
        <v>-1.3006399967707694E-4</v>
      </c>
      <c r="H140" s="27"/>
      <c r="I140" s="27"/>
      <c r="J140" s="27"/>
      <c r="K140" s="27">
        <f>G140</f>
        <v>-1.3006399967707694E-4</v>
      </c>
      <c r="L140" s="27"/>
      <c r="M140" s="27"/>
      <c r="N140" s="27"/>
      <c r="O140" s="27"/>
      <c r="P140" s="27">
        <f t="shared" si="28"/>
        <v>-7.9110091613747777E-5</v>
      </c>
      <c r="Q140" s="28">
        <f t="shared" si="29"/>
        <v>38153.589699999997</v>
      </c>
      <c r="R140" s="24">
        <f t="shared" si="30"/>
        <v>2.5963007469262002E-9</v>
      </c>
      <c r="S140" s="24">
        <v>1</v>
      </c>
      <c r="T140" s="24">
        <f t="shared" si="36"/>
        <v>2.5963007469262002E-9</v>
      </c>
      <c r="U140" s="27">
        <f t="shared" si="37"/>
        <v>-5.0953908063329159E-5</v>
      </c>
      <c r="V140" s="96"/>
    </row>
    <row r="141" spans="1:22" x14ac:dyDescent="0.2">
      <c r="A141" s="140" t="s">
        <v>589</v>
      </c>
      <c r="B141" s="140" t="s">
        <v>53</v>
      </c>
      <c r="C141" s="147">
        <v>53228.442000000003</v>
      </c>
      <c r="D141" s="147" t="s">
        <v>96</v>
      </c>
      <c r="E141" s="98">
        <f t="shared" si="26"/>
        <v>368.97495549815017</v>
      </c>
      <c r="F141" s="24">
        <f t="shared" si="27"/>
        <v>369</v>
      </c>
      <c r="G141" s="27">
        <f t="shared" si="35"/>
        <v>-8.7672769950586371E-3</v>
      </c>
      <c r="H141" s="27"/>
      <c r="I141" s="27">
        <f>+G141</f>
        <v>-8.7672769950586371E-3</v>
      </c>
      <c r="J141" s="27"/>
      <c r="L141" s="27"/>
      <c r="M141" s="27"/>
      <c r="O141" s="27">
        <f ca="1">+C$11+C$12*$F141</f>
        <v>-7.8492979948770938E-3</v>
      </c>
      <c r="P141" s="27">
        <f t="shared" si="28"/>
        <v>-1.3937272391444997E-4</v>
      </c>
      <c r="Q141" s="28">
        <f t="shared" si="29"/>
        <v>38209.942000000003</v>
      </c>
      <c r="R141" s="24">
        <f t="shared" si="30"/>
        <v>7.4440732112028118E-5</v>
      </c>
      <c r="S141" s="24">
        <v>0.1</v>
      </c>
      <c r="T141" s="24">
        <f t="shared" si="36"/>
        <v>7.4440732112028118E-6</v>
      </c>
      <c r="U141" s="27">
        <f t="shared" si="37"/>
        <v>-8.6279042711441874E-3</v>
      </c>
      <c r="V141" s="96"/>
    </row>
    <row r="142" spans="1:22" x14ac:dyDescent="0.2">
      <c r="A142" s="32" t="s">
        <v>97</v>
      </c>
      <c r="B142" s="77" t="s">
        <v>53</v>
      </c>
      <c r="C142" s="32">
        <v>53228.442990000003</v>
      </c>
      <c r="D142" s="32" t="s">
        <v>96</v>
      </c>
      <c r="E142" s="98">
        <f t="shared" si="26"/>
        <v>368.97778352067701</v>
      </c>
      <c r="F142" s="24">
        <f t="shared" si="27"/>
        <v>369</v>
      </c>
      <c r="G142" s="27">
        <f t="shared" si="35"/>
        <v>-7.7772769946022891E-3</v>
      </c>
      <c r="H142" s="27"/>
      <c r="I142" s="27"/>
      <c r="J142" s="27"/>
      <c r="K142" s="27">
        <f>+G142</f>
        <v>-7.7772769946022891E-3</v>
      </c>
      <c r="L142" s="27"/>
      <c r="M142" s="27"/>
      <c r="O142" s="27"/>
      <c r="P142" s="27">
        <f t="shared" si="28"/>
        <v>-1.3937272391444997E-4</v>
      </c>
      <c r="Q142" s="28">
        <f t="shared" si="29"/>
        <v>38209.942990000003</v>
      </c>
      <c r="R142" s="24">
        <f t="shared" si="30"/>
        <v>5.8337581648191533E-5</v>
      </c>
      <c r="S142" s="24">
        <v>1</v>
      </c>
      <c r="T142" s="24">
        <f t="shared" si="36"/>
        <v>5.8337581648191533E-5</v>
      </c>
      <c r="U142" s="27">
        <f t="shared" si="37"/>
        <v>-7.6379042706878394E-3</v>
      </c>
      <c r="V142" s="96"/>
    </row>
    <row r="143" spans="1:22" x14ac:dyDescent="0.2">
      <c r="A143" s="140" t="s">
        <v>589</v>
      </c>
      <c r="B143" s="140" t="s">
        <v>53</v>
      </c>
      <c r="C143" s="147">
        <v>53228.453000000001</v>
      </c>
      <c r="D143" s="147" t="s">
        <v>96</v>
      </c>
      <c r="E143" s="98">
        <f t="shared" si="26"/>
        <v>369.00637797065241</v>
      </c>
      <c r="F143" s="24">
        <f t="shared" si="27"/>
        <v>369</v>
      </c>
      <c r="G143" s="27">
        <f t="shared" si="35"/>
        <v>2.232723003544379E-3</v>
      </c>
      <c r="H143" s="27"/>
      <c r="I143" s="27">
        <f>+G143</f>
        <v>2.232723003544379E-3</v>
      </c>
      <c r="J143" s="27"/>
      <c r="L143" s="27"/>
      <c r="M143" s="27"/>
      <c r="O143" s="27">
        <f ca="1">+C$11+C$12*$F143</f>
        <v>-7.8492979948770938E-3</v>
      </c>
      <c r="P143" s="27">
        <f t="shared" si="28"/>
        <v>-1.3937272391444997E-4</v>
      </c>
      <c r="Q143" s="28">
        <f t="shared" si="29"/>
        <v>38209.953000000001</v>
      </c>
      <c r="R143" s="24">
        <f t="shared" si="30"/>
        <v>5.626838140228432E-6</v>
      </c>
      <c r="S143" s="24">
        <v>0.1</v>
      </c>
      <c r="T143" s="24">
        <f t="shared" si="36"/>
        <v>5.6268381402284318E-7</v>
      </c>
      <c r="U143" s="27">
        <f t="shared" si="37"/>
        <v>2.3720957274588291E-3</v>
      </c>
      <c r="V143" s="96"/>
    </row>
    <row r="144" spans="1:22" x14ac:dyDescent="0.2">
      <c r="A144" s="32" t="s">
        <v>97</v>
      </c>
      <c r="B144" s="77" t="s">
        <v>53</v>
      </c>
      <c r="C144" s="32">
        <v>53228.453410000002</v>
      </c>
      <c r="D144" s="32" t="s">
        <v>96</v>
      </c>
      <c r="E144" s="98">
        <f t="shared" si="26"/>
        <v>369.00754917190193</v>
      </c>
      <c r="F144" s="24">
        <f t="shared" si="27"/>
        <v>369</v>
      </c>
      <c r="G144" s="27">
        <f t="shared" si="35"/>
        <v>2.6427230041008443E-3</v>
      </c>
      <c r="H144" s="27"/>
      <c r="I144" s="27"/>
      <c r="J144" s="27"/>
      <c r="K144" s="27">
        <f>+G144</f>
        <v>2.6427230041008443E-3</v>
      </c>
      <c r="L144" s="27"/>
      <c r="M144" s="27"/>
      <c r="O144" s="27"/>
      <c r="P144" s="27">
        <f t="shared" si="28"/>
        <v>-1.3937272391444997E-4</v>
      </c>
      <c r="Q144" s="28">
        <f t="shared" si="29"/>
        <v>38209.953410000002</v>
      </c>
      <c r="R144" s="24">
        <f t="shared" si="30"/>
        <v>7.7400566398409501E-6</v>
      </c>
      <c r="S144" s="24">
        <v>1</v>
      </c>
      <c r="T144" s="24">
        <f t="shared" si="36"/>
        <v>7.7400566398409501E-6</v>
      </c>
      <c r="U144" s="27">
        <f t="shared" si="37"/>
        <v>2.7820957280152944E-3</v>
      </c>
      <c r="V144" s="96"/>
    </row>
    <row r="145" spans="1:22" x14ac:dyDescent="0.2">
      <c r="A145" s="37" t="s">
        <v>192</v>
      </c>
      <c r="B145" s="77"/>
      <c r="C145" s="32">
        <v>53425.1898</v>
      </c>
      <c r="D145" s="32"/>
      <c r="E145" s="26">
        <f t="shared" si="26"/>
        <v>931.00244060344073</v>
      </c>
      <c r="F145" s="24">
        <f t="shared" si="27"/>
        <v>931</v>
      </c>
      <c r="G145" s="27">
        <f t="shared" si="35"/>
        <v>8.5437700181500986E-4</v>
      </c>
      <c r="H145" s="27"/>
      <c r="I145" s="27"/>
      <c r="J145" s="27"/>
      <c r="K145" s="27">
        <f>G145</f>
        <v>8.5437700181500986E-4</v>
      </c>
      <c r="L145" s="27"/>
      <c r="M145" s="27"/>
      <c r="N145" s="27"/>
      <c r="O145" s="27"/>
      <c r="P145" s="27">
        <f t="shared" si="28"/>
        <v>-3.425566155873478E-4</v>
      </c>
      <c r="Q145" s="28">
        <f t="shared" si="29"/>
        <v>38406.6898</v>
      </c>
      <c r="R145" s="24">
        <f t="shared" si="30"/>
        <v>1.4326500844678934E-6</v>
      </c>
      <c r="S145" s="24">
        <v>1</v>
      </c>
      <c r="T145" s="24">
        <f t="shared" si="36"/>
        <v>1.4326500844678934E-6</v>
      </c>
      <c r="U145" s="27">
        <f t="shared" si="37"/>
        <v>1.1969336174023576E-3</v>
      </c>
      <c r="V145" s="96"/>
    </row>
    <row r="146" spans="1:22" s="24" customFormat="1" x14ac:dyDescent="0.2">
      <c r="A146" s="32" t="s">
        <v>97</v>
      </c>
      <c r="B146" s="77" t="s">
        <v>53</v>
      </c>
      <c r="C146" s="32">
        <v>53619.451359999999</v>
      </c>
      <c r="D146" s="32" t="s">
        <v>98</v>
      </c>
      <c r="E146" s="98">
        <f t="shared" si="26"/>
        <v>1485.9277613411132</v>
      </c>
      <c r="F146" s="24">
        <f t="shared" si="27"/>
        <v>1486</v>
      </c>
      <c r="G146" s="12"/>
      <c r="H146" s="27"/>
      <c r="I146" s="27"/>
      <c r="J146" s="27"/>
      <c r="K146" s="27"/>
      <c r="L146" s="27"/>
      <c r="M146" s="27"/>
      <c r="N146" s="12"/>
      <c r="O146" s="27"/>
      <c r="P146" s="27">
        <f t="shared" si="28"/>
        <v>-5.3226451578998739E-4</v>
      </c>
      <c r="Q146" s="28">
        <f t="shared" si="29"/>
        <v>38600.951359999999</v>
      </c>
      <c r="R146" s="24">
        <f t="shared" si="30"/>
        <v>2.8330551476914974E-7</v>
      </c>
      <c r="U146" s="27"/>
      <c r="V146" s="27">
        <f>+C146-(C$7+F146*C$8)</f>
        <v>-2.5288438002462499E-2</v>
      </c>
    </row>
    <row r="147" spans="1:22" x14ac:dyDescent="0.2">
      <c r="A147" s="32" t="s">
        <v>97</v>
      </c>
      <c r="B147" s="77" t="s">
        <v>53</v>
      </c>
      <c r="C147" s="32">
        <v>53621.491000000002</v>
      </c>
      <c r="D147" s="32" t="s">
        <v>98</v>
      </c>
      <c r="E147" s="98">
        <f t="shared" si="26"/>
        <v>1491.7541733249914</v>
      </c>
      <c r="F147" s="24">
        <f t="shared" si="27"/>
        <v>1492</v>
      </c>
      <c r="G147" s="27"/>
      <c r="H147" s="27"/>
      <c r="I147" s="27"/>
      <c r="J147" s="27"/>
      <c r="K147" s="27"/>
      <c r="L147" s="27"/>
      <c r="M147" s="27"/>
      <c r="O147" s="27"/>
      <c r="P147" s="27">
        <f t="shared" si="28"/>
        <v>-5.3425598376446559E-4</v>
      </c>
      <c r="Q147" s="28">
        <f t="shared" si="29"/>
        <v>38602.991000000002</v>
      </c>
      <c r="R147" s="24">
        <f t="shared" si="30"/>
        <v>2.8542945618813689E-7</v>
      </c>
      <c r="S147" s="24"/>
      <c r="T147" s="24"/>
      <c r="U147" s="27"/>
      <c r="V147" s="97">
        <v>-8.6056035994261038E-2</v>
      </c>
    </row>
    <row r="148" spans="1:22" x14ac:dyDescent="0.2">
      <c r="A148" s="32" t="s">
        <v>97</v>
      </c>
      <c r="B148" s="77" t="s">
        <v>53</v>
      </c>
      <c r="C148" s="32">
        <v>53632.508629999997</v>
      </c>
      <c r="D148" s="32" t="s">
        <v>99</v>
      </c>
      <c r="E148" s="98">
        <f t="shared" si="26"/>
        <v>1523.2270074848539</v>
      </c>
      <c r="F148" s="24">
        <f t="shared" si="27"/>
        <v>1523</v>
      </c>
      <c r="G148" s="27"/>
      <c r="H148" s="27"/>
      <c r="I148" s="27"/>
      <c r="J148" s="27"/>
      <c r="K148" s="27"/>
      <c r="L148" s="27"/>
      <c r="M148" s="27"/>
      <c r="O148" s="27"/>
      <c r="P148" s="27">
        <f t="shared" si="28"/>
        <v>-5.4452498416504927E-4</v>
      </c>
      <c r="Q148" s="28">
        <f t="shared" si="29"/>
        <v>38614.008629999997</v>
      </c>
      <c r="R148" s="24">
        <f t="shared" si="30"/>
        <v>2.9650745837994715E-7</v>
      </c>
      <c r="S148" s="24"/>
      <c r="T148" s="24"/>
      <c r="U148" s="27"/>
      <c r="V148" s="97">
        <v>7.9468040996289346E-2</v>
      </c>
    </row>
    <row r="149" spans="1:22" x14ac:dyDescent="0.2">
      <c r="A149" s="78" t="s">
        <v>89</v>
      </c>
      <c r="B149" s="79"/>
      <c r="C149" s="32">
        <v>53634.357799999998</v>
      </c>
      <c r="D149" s="32">
        <v>1.6999999999999999E-3</v>
      </c>
      <c r="E149" s="98">
        <f t="shared" ref="E149:E180" si="39">+(C149-C$7)/C$8</f>
        <v>1528.5093250743409</v>
      </c>
      <c r="F149" s="24">
        <f t="shared" ref="F149:F180" si="40">ROUND(2*E149,0)/2</f>
        <v>1528.5</v>
      </c>
      <c r="G149" s="27">
        <f>+C149-(C$7+F149*C$8)</f>
        <v>3.2644094972056337E-3</v>
      </c>
      <c r="H149" s="27"/>
      <c r="I149" s="27"/>
      <c r="J149" s="27"/>
      <c r="K149" s="27">
        <f>+G149</f>
        <v>3.2644094972056337E-3</v>
      </c>
      <c r="L149" s="27"/>
      <c r="M149" s="27"/>
      <c r="N149" s="27"/>
      <c r="O149" s="27">
        <f ca="1">+C$11+C$12*$F149</f>
        <v>-7.0886504981785827E-3</v>
      </c>
      <c r="P149" s="27">
        <f t="shared" ref="P149:P180" si="41">+D$11+D$12*F149+D$13*F149^2</f>
        <v>-5.4634335925941781E-4</v>
      </c>
      <c r="Q149" s="28">
        <f t="shared" ref="Q149:Q180" si="42">+C149-15018.5</f>
        <v>38615.857799999998</v>
      </c>
      <c r="R149" s="24">
        <f t="shared" ref="R149:R180" si="43">+(P149-G149)^2</f>
        <v>1.4521837333056548E-5</v>
      </c>
      <c r="S149" s="24">
        <v>1</v>
      </c>
      <c r="T149" s="24">
        <f>+S149*R149</f>
        <v>1.4521837333056548E-5</v>
      </c>
      <c r="U149" s="27">
        <f>+G149-P149</f>
        <v>3.8107528564650514E-3</v>
      </c>
      <c r="V149" s="96"/>
    </row>
    <row r="150" spans="1:22" x14ac:dyDescent="0.2">
      <c r="A150" s="78" t="s">
        <v>89</v>
      </c>
      <c r="B150" s="79"/>
      <c r="C150" s="32">
        <v>53634.521999999997</v>
      </c>
      <c r="D150" s="32">
        <v>2.2000000000000001E-3</v>
      </c>
      <c r="E150" s="98">
        <f t="shared" si="39"/>
        <v>1528.9783768912043</v>
      </c>
      <c r="F150" s="24">
        <f t="shared" si="40"/>
        <v>1529</v>
      </c>
      <c r="G150" s="27">
        <f>+C150-(C$7+F150*C$8)</f>
        <v>-7.5695569976232946E-3</v>
      </c>
      <c r="H150" s="27"/>
      <c r="I150" s="27"/>
      <c r="J150" s="27"/>
      <c r="K150" s="27">
        <f>+G150</f>
        <v>-7.5695569976232946E-3</v>
      </c>
      <c r="L150" s="27"/>
      <c r="M150" s="27"/>
      <c r="N150" s="27"/>
      <c r="O150" s="27">
        <f ca="1">+C$11+C$12*$F150</f>
        <v>-7.0883224914960906E-3</v>
      </c>
      <c r="P150" s="27">
        <f t="shared" si="41"/>
        <v>-5.4650861311982923E-4</v>
      </c>
      <c r="Q150" s="28">
        <f t="shared" si="42"/>
        <v>38616.021999999997</v>
      </c>
      <c r="R150" s="24">
        <f t="shared" si="43"/>
        <v>4.9323208611076732E-5</v>
      </c>
      <c r="S150" s="24">
        <v>1</v>
      </c>
      <c r="T150" s="24">
        <f>+S150*R150</f>
        <v>4.9323208611076732E-5</v>
      </c>
      <c r="U150" s="27">
        <f>+G150-P150</f>
        <v>-7.0230483845034651E-3</v>
      </c>
      <c r="V150" s="96"/>
    </row>
    <row r="151" spans="1:22" x14ac:dyDescent="0.2">
      <c r="A151" s="32" t="s">
        <v>97</v>
      </c>
      <c r="B151" s="77" t="s">
        <v>53</v>
      </c>
      <c r="C151" s="32">
        <v>53654.52405</v>
      </c>
      <c r="D151" s="32" t="s">
        <v>99</v>
      </c>
      <c r="E151" s="98">
        <f t="shared" si="39"/>
        <v>1586.1160010905703</v>
      </c>
      <c r="F151" s="24">
        <f t="shared" si="40"/>
        <v>1586</v>
      </c>
      <c r="G151" s="27"/>
      <c r="H151" s="27"/>
      <c r="I151" s="27"/>
      <c r="J151" s="27"/>
      <c r="K151" s="27"/>
      <c r="L151" s="27"/>
      <c r="M151" s="27"/>
      <c r="O151" s="27"/>
      <c r="P151" s="27">
        <f t="shared" si="41"/>
        <v>-5.6528968747011194E-4</v>
      </c>
      <c r="Q151" s="28">
        <f t="shared" si="42"/>
        <v>38636.02405</v>
      </c>
      <c r="R151" s="24">
        <f t="shared" si="43"/>
        <v>3.1955243076005685E-7</v>
      </c>
      <c r="S151" s="24"/>
      <c r="T151" s="24"/>
      <c r="U151" s="27"/>
      <c r="V151" s="97">
        <v>4.060826200293377E-2</v>
      </c>
    </row>
    <row r="152" spans="1:22" x14ac:dyDescent="0.2">
      <c r="A152" s="32" t="s">
        <v>97</v>
      </c>
      <c r="B152" s="77" t="s">
        <v>53</v>
      </c>
      <c r="C152" s="32">
        <v>53655.339330000003</v>
      </c>
      <c r="D152" s="32" t="s">
        <v>98</v>
      </c>
      <c r="E152" s="98">
        <f t="shared" si="39"/>
        <v>1588.4449204892016</v>
      </c>
      <c r="F152" s="24">
        <f t="shared" si="40"/>
        <v>1588.5</v>
      </c>
      <c r="G152" s="27">
        <f>+C152-(C$7+F152*C$8)</f>
        <v>-1.9281570494058542E-2</v>
      </c>
      <c r="H152" s="27"/>
      <c r="I152" s="27"/>
      <c r="J152" s="27"/>
      <c r="K152" s="27">
        <f>+G152</f>
        <v>-1.9281570494058542E-2</v>
      </c>
      <c r="L152" s="27"/>
      <c r="M152" s="27"/>
      <c r="O152" s="27"/>
      <c r="P152" s="27">
        <f t="shared" si="41"/>
        <v>-5.6611079255311123E-4</v>
      </c>
      <c r="Q152" s="28">
        <f t="shared" si="42"/>
        <v>38636.839330000003</v>
      </c>
      <c r="R152" s="24">
        <f t="shared" si="43"/>
        <v>3.5026843183867375E-4</v>
      </c>
      <c r="S152" s="24">
        <v>1</v>
      </c>
      <c r="T152" s="24">
        <f>+S152*R152</f>
        <v>3.5026843183867375E-4</v>
      </c>
      <c r="U152" s="27">
        <f>+G152-P152</f>
        <v>-1.871545970150543E-2</v>
      </c>
      <c r="V152" s="96"/>
    </row>
    <row r="153" spans="1:22" x14ac:dyDescent="0.2">
      <c r="A153" s="32" t="s">
        <v>97</v>
      </c>
      <c r="B153" s="77" t="s">
        <v>53</v>
      </c>
      <c r="C153" s="32">
        <v>53750.400199999996</v>
      </c>
      <c r="D153" s="32">
        <v>2.0000000000000001E-4</v>
      </c>
      <c r="E153" s="98">
        <f t="shared" si="39"/>
        <v>1859.994699942991</v>
      </c>
      <c r="F153" s="24">
        <f t="shared" si="40"/>
        <v>1860</v>
      </c>
      <c r="G153" s="27">
        <f>+C153-(C$7+F153*C$8)</f>
        <v>-1.8553800036897883E-3</v>
      </c>
      <c r="H153" s="27"/>
      <c r="I153" s="27"/>
      <c r="J153" s="27"/>
      <c r="K153" s="27">
        <f>+G153</f>
        <v>-1.8553800036897883E-3</v>
      </c>
      <c r="L153" s="27"/>
      <c r="M153" s="27"/>
      <c r="O153" s="27"/>
      <c r="P153" s="27">
        <f t="shared" si="41"/>
        <v>-6.5396939800293542E-4</v>
      </c>
      <c r="Q153" s="28">
        <f t="shared" si="42"/>
        <v>38731.900199999996</v>
      </c>
      <c r="R153" s="24">
        <f t="shared" si="43"/>
        <v>1.4433874434568507E-6</v>
      </c>
      <c r="S153" s="24">
        <v>1</v>
      </c>
      <c r="T153" s="24">
        <f>+S153*R153</f>
        <v>1.4433874434568507E-6</v>
      </c>
      <c r="U153" s="27">
        <f>+G153-P153</f>
        <v>-1.2014106056868529E-3</v>
      </c>
      <c r="V153" s="96"/>
    </row>
    <row r="154" spans="1:22" x14ac:dyDescent="0.2">
      <c r="A154" s="80" t="s">
        <v>92</v>
      </c>
      <c r="B154" s="36"/>
      <c r="C154" s="32">
        <v>54220.736700000001</v>
      </c>
      <c r="D154" s="32">
        <v>2.0000000000000001E-4</v>
      </c>
      <c r="E154" s="98">
        <f t="shared" si="39"/>
        <v>3203.5524944811295</v>
      </c>
      <c r="F154" s="24">
        <f t="shared" si="40"/>
        <v>3203.5</v>
      </c>
      <c r="G154" s="27"/>
      <c r="H154" s="27"/>
      <c r="I154" s="27"/>
      <c r="J154" s="27"/>
      <c r="K154" s="27"/>
      <c r="L154" s="27"/>
      <c r="M154" s="27"/>
      <c r="N154" s="27"/>
      <c r="O154" s="27">
        <f ca="1">+C$11+C$12*$F154</f>
        <v>-5.9898281118310141E-3</v>
      </c>
      <c r="P154" s="27">
        <f t="shared" si="41"/>
        <v>-1.050424006813655E-3</v>
      </c>
      <c r="Q154" s="28">
        <f t="shared" si="42"/>
        <v>39202.236700000001</v>
      </c>
      <c r="R154" s="24">
        <f t="shared" si="43"/>
        <v>1.1033905940904535E-6</v>
      </c>
      <c r="S154" s="24"/>
      <c r="T154" s="24"/>
      <c r="U154" s="27"/>
      <c r="V154" s="97">
        <v>1.8376634499873035E-2</v>
      </c>
    </row>
    <row r="155" spans="1:22" x14ac:dyDescent="0.2">
      <c r="A155" s="37" t="s">
        <v>188</v>
      </c>
      <c r="B155" s="86" t="s">
        <v>53</v>
      </c>
      <c r="C155" s="37">
        <v>54390.317000000003</v>
      </c>
      <c r="D155" s="37" t="s">
        <v>96</v>
      </c>
      <c r="E155" s="98">
        <f t="shared" si="39"/>
        <v>3687.9736139671049</v>
      </c>
      <c r="F155" s="24">
        <f t="shared" si="40"/>
        <v>3688</v>
      </c>
      <c r="G155" s="27">
        <f t="shared" ref="G155:G198" si="44">+C155-(C$7+F155*C$8)</f>
        <v>-9.2369039921322837E-3</v>
      </c>
      <c r="H155" s="27"/>
      <c r="I155" s="27"/>
      <c r="K155" s="27">
        <f>+G155</f>
        <v>-9.2369039921322837E-3</v>
      </c>
      <c r="L155" s="27"/>
      <c r="M155" s="27"/>
      <c r="O155" s="27"/>
      <c r="P155" s="27">
        <f t="shared" si="41"/>
        <v>-1.1777587107551734E-3</v>
      </c>
      <c r="Q155" s="28">
        <f t="shared" si="42"/>
        <v>39371.817000000003</v>
      </c>
      <c r="R155" s="24">
        <f t="shared" si="43"/>
        <v>6.4949822666342957E-5</v>
      </c>
      <c r="S155" s="24">
        <v>1</v>
      </c>
      <c r="T155" s="24">
        <f t="shared" ref="T155:T198" si="45">+S155*R155</f>
        <v>6.4949822666342957E-5</v>
      </c>
      <c r="U155" s="27">
        <f t="shared" ref="U155:U198" si="46">+G155-P155</f>
        <v>-8.059145281377111E-3</v>
      </c>
      <c r="V155" s="96"/>
    </row>
    <row r="156" spans="1:22" x14ac:dyDescent="0.2">
      <c r="A156" s="80" t="s">
        <v>91</v>
      </c>
      <c r="B156" s="36"/>
      <c r="C156" s="32">
        <v>54545.928800000002</v>
      </c>
      <c r="D156" s="32">
        <v>1E-4</v>
      </c>
      <c r="E156" s="98">
        <f t="shared" si="39"/>
        <v>4132.4924782527942</v>
      </c>
      <c r="F156" s="24">
        <f t="shared" si="40"/>
        <v>4132.5</v>
      </c>
      <c r="G156" s="27">
        <f t="shared" si="44"/>
        <v>-2.6331224944442511E-3</v>
      </c>
      <c r="H156" s="27"/>
      <c r="I156" s="27"/>
      <c r="J156" s="27"/>
      <c r="K156" s="27">
        <f>+G156</f>
        <v>-2.6331224944442511E-3</v>
      </c>
      <c r="L156" s="27"/>
      <c r="M156" s="27"/>
      <c r="O156" s="27">
        <f ca="1">+C$11+C$12*$F156</f>
        <v>-5.380391695761229E-3</v>
      </c>
      <c r="P156" s="27">
        <f t="shared" si="41"/>
        <v>-1.2872900953845331E-3</v>
      </c>
      <c r="Q156" s="28">
        <f t="shared" si="42"/>
        <v>39527.428800000002</v>
      </c>
      <c r="R156" s="24">
        <f t="shared" si="43"/>
        <v>1.8112648463588359E-6</v>
      </c>
      <c r="S156" s="24">
        <v>1</v>
      </c>
      <c r="T156" s="24">
        <f t="shared" si="45"/>
        <v>1.8112648463588359E-6</v>
      </c>
      <c r="U156" s="27">
        <f t="shared" si="46"/>
        <v>-1.3458323990597179E-3</v>
      </c>
      <c r="V156" s="96"/>
    </row>
    <row r="157" spans="1:22" x14ac:dyDescent="0.2">
      <c r="A157" s="140" t="s">
        <v>648</v>
      </c>
      <c r="B157" s="140" t="s">
        <v>53</v>
      </c>
      <c r="C157" s="147">
        <v>54558.356099999997</v>
      </c>
      <c r="D157" s="147" t="s">
        <v>96</v>
      </c>
      <c r="E157" s="98">
        <f t="shared" si="39"/>
        <v>4167.9921593960989</v>
      </c>
      <c r="F157" s="24">
        <f t="shared" si="40"/>
        <v>4168</v>
      </c>
      <c r="G157" s="27">
        <f t="shared" si="44"/>
        <v>-2.7447440006653778E-3</v>
      </c>
      <c r="H157" s="27"/>
      <c r="I157" s="27"/>
      <c r="J157" s="27"/>
      <c r="K157" s="27">
        <f t="shared" ref="K157:K167" si="47">+G157</f>
        <v>-2.7447440006653778E-3</v>
      </c>
      <c r="L157" s="27"/>
      <c r="M157" s="27"/>
      <c r="O157" s="27">
        <f ca="1">+C$11+C$12*$F157</f>
        <v>-5.3571032213043102E-3</v>
      </c>
      <c r="P157" s="27">
        <f t="shared" si="41"/>
        <v>-1.2957369724019728E-3</v>
      </c>
      <c r="Q157" s="28">
        <f t="shared" si="42"/>
        <v>39539.856099999997</v>
      </c>
      <c r="R157" s="24">
        <f t="shared" si="43"/>
        <v>2.0996213679567443E-6</v>
      </c>
      <c r="S157" s="24">
        <v>1</v>
      </c>
      <c r="T157" s="24">
        <f t="shared" si="45"/>
        <v>2.0996213679567443E-6</v>
      </c>
      <c r="U157" s="27">
        <f t="shared" si="46"/>
        <v>-1.4490070282634051E-3</v>
      </c>
      <c r="V157" s="96"/>
    </row>
    <row r="158" spans="1:22" x14ac:dyDescent="0.2">
      <c r="A158" s="32" t="s">
        <v>100</v>
      </c>
      <c r="B158" s="77" t="s">
        <v>53</v>
      </c>
      <c r="C158" s="32">
        <v>54558.356119999997</v>
      </c>
      <c r="D158" s="32">
        <v>1E-4</v>
      </c>
      <c r="E158" s="98">
        <f t="shared" si="39"/>
        <v>4167.9922165278658</v>
      </c>
      <c r="F158" s="24">
        <f t="shared" si="40"/>
        <v>4168</v>
      </c>
      <c r="G158" s="27">
        <f t="shared" si="44"/>
        <v>-2.7247440011706203E-3</v>
      </c>
      <c r="H158" s="27"/>
      <c r="I158" s="27"/>
      <c r="J158" s="27"/>
      <c r="K158" s="27">
        <f t="shared" si="47"/>
        <v>-2.7247440011706203E-3</v>
      </c>
      <c r="L158" s="27"/>
      <c r="M158" s="27"/>
      <c r="O158" s="27"/>
      <c r="P158" s="27">
        <f t="shared" si="41"/>
        <v>-1.2957369724019728E-3</v>
      </c>
      <c r="Q158" s="28">
        <f t="shared" si="42"/>
        <v>39539.856119999997</v>
      </c>
      <c r="R158" s="24">
        <f t="shared" si="43"/>
        <v>2.0420610882701982E-6</v>
      </c>
      <c r="S158" s="24">
        <v>1</v>
      </c>
      <c r="T158" s="24">
        <f t="shared" si="45"/>
        <v>2.0420610882701982E-6</v>
      </c>
      <c r="U158" s="27">
        <f t="shared" si="46"/>
        <v>-1.4290070287686476E-3</v>
      </c>
      <c r="V158" s="96"/>
    </row>
    <row r="159" spans="1:22" x14ac:dyDescent="0.2">
      <c r="A159" s="32" t="s">
        <v>94</v>
      </c>
      <c r="B159" s="77" t="s">
        <v>53</v>
      </c>
      <c r="C159" s="32">
        <v>54597.3891</v>
      </c>
      <c r="D159" s="32">
        <v>1.1000000000000001E-3</v>
      </c>
      <c r="E159" s="98">
        <f t="shared" si="39"/>
        <v>4279.4933747902069</v>
      </c>
      <c r="F159" s="24">
        <f t="shared" si="40"/>
        <v>4279.5</v>
      </c>
      <c r="G159" s="27">
        <f t="shared" si="44"/>
        <v>-2.3192734952317551E-3</v>
      </c>
      <c r="H159" s="27"/>
      <c r="I159" s="27"/>
      <c r="J159" s="27"/>
      <c r="K159" s="27">
        <f t="shared" si="47"/>
        <v>-2.3192734952317551E-3</v>
      </c>
      <c r="L159" s="27"/>
      <c r="M159" s="27"/>
      <c r="O159" s="27">
        <f ca="1">+C$11+C$12*$F159</f>
        <v>-5.283957731108636E-3</v>
      </c>
      <c r="P159" s="27">
        <f t="shared" si="41"/>
        <v>-1.3219779227931941E-3</v>
      </c>
      <c r="Q159" s="28">
        <f t="shared" si="42"/>
        <v>39578.8891</v>
      </c>
      <c r="R159" s="24">
        <f t="shared" si="43"/>
        <v>9.9459845880555702E-7</v>
      </c>
      <c r="S159" s="24">
        <v>1</v>
      </c>
      <c r="T159" s="24">
        <f t="shared" si="45"/>
        <v>9.9459845880555702E-7</v>
      </c>
      <c r="U159" s="27">
        <f t="shared" si="46"/>
        <v>-9.97295572438561E-4</v>
      </c>
      <c r="V159" s="96"/>
    </row>
    <row r="160" spans="1:22" x14ac:dyDescent="0.2">
      <c r="A160" s="32" t="s">
        <v>94</v>
      </c>
      <c r="B160" s="77" t="s">
        <v>53</v>
      </c>
      <c r="C160" s="32">
        <v>54597.566299999999</v>
      </c>
      <c r="D160" s="32">
        <v>8.0000000000000004E-4</v>
      </c>
      <c r="E160" s="98">
        <f t="shared" si="39"/>
        <v>4279.9995622563929</v>
      </c>
      <c r="F160" s="24">
        <f t="shared" si="40"/>
        <v>4280</v>
      </c>
      <c r="G160" s="27">
        <f t="shared" si="44"/>
        <v>-1.5323999832617119E-4</v>
      </c>
      <c r="H160" s="27"/>
      <c r="I160" s="27"/>
      <c r="J160" s="27"/>
      <c r="K160" s="27">
        <f t="shared" si="47"/>
        <v>-1.5323999832617119E-4</v>
      </c>
      <c r="L160" s="27"/>
      <c r="M160" s="27"/>
      <c r="O160" s="27">
        <f ca="1">+C$11+C$12*$F160</f>
        <v>-5.2836297244261447E-3</v>
      </c>
      <c r="P160" s="27">
        <f t="shared" si="41"/>
        <v>-1.3220946065112861E-3</v>
      </c>
      <c r="Q160" s="28">
        <f t="shared" si="42"/>
        <v>39579.066299999999</v>
      </c>
      <c r="R160" s="24">
        <f t="shared" si="43"/>
        <v>1.3662210950755785E-6</v>
      </c>
      <c r="S160" s="24">
        <v>1</v>
      </c>
      <c r="T160" s="24">
        <f t="shared" si="45"/>
        <v>1.3662210950755785E-6</v>
      </c>
      <c r="U160" s="27">
        <f t="shared" si="46"/>
        <v>1.1688546081851149E-3</v>
      </c>
      <c r="V160" s="96"/>
    </row>
    <row r="161" spans="1:22" x14ac:dyDescent="0.2">
      <c r="A161" s="37" t="s">
        <v>174</v>
      </c>
      <c r="B161" s="86" t="s">
        <v>48</v>
      </c>
      <c r="C161" s="37">
        <v>54898.797100000003</v>
      </c>
      <c r="D161" s="37">
        <v>1E-4</v>
      </c>
      <c r="E161" s="98">
        <f t="shared" si="39"/>
        <v>5140.4919741677832</v>
      </c>
      <c r="F161" s="24">
        <f t="shared" si="40"/>
        <v>5140.5</v>
      </c>
      <c r="G161" s="27">
        <f t="shared" si="44"/>
        <v>-2.8095864981878549E-3</v>
      </c>
      <c r="H161" s="27"/>
      <c r="I161" s="27"/>
      <c r="J161" s="27"/>
      <c r="K161" s="27">
        <f t="shared" si="47"/>
        <v>-2.8095864981878549E-3</v>
      </c>
      <c r="L161" s="27"/>
      <c r="M161" s="27"/>
      <c r="O161" s="27">
        <f ca="1">+C$11+C$12*$F161</f>
        <v>-4.7191302238577381E-3</v>
      </c>
      <c r="P161" s="27">
        <f t="shared" si="41"/>
        <v>-1.509826530338914E-3</v>
      </c>
      <c r="Q161" s="28">
        <f t="shared" si="42"/>
        <v>39880.297100000003</v>
      </c>
      <c r="R161" s="24">
        <f t="shared" si="43"/>
        <v>1.6893759740226799E-6</v>
      </c>
      <c r="S161" s="24">
        <v>1</v>
      </c>
      <c r="T161" s="24">
        <f t="shared" si="45"/>
        <v>1.6893759740226799E-6</v>
      </c>
      <c r="U161" s="27">
        <f t="shared" si="46"/>
        <v>-1.2997599678489409E-3</v>
      </c>
      <c r="V161" s="96"/>
    </row>
    <row r="162" spans="1:22" x14ac:dyDescent="0.2">
      <c r="A162" s="140" t="s">
        <v>667</v>
      </c>
      <c r="B162" s="140" t="s">
        <v>48</v>
      </c>
      <c r="C162" s="147">
        <v>54925.401299999998</v>
      </c>
      <c r="D162" s="147" t="s">
        <v>96</v>
      </c>
      <c r="E162" s="98">
        <f t="shared" si="39"/>
        <v>5216.4892235359339</v>
      </c>
      <c r="F162" s="24">
        <f t="shared" si="40"/>
        <v>5216.5</v>
      </c>
      <c r="G162" s="27">
        <f t="shared" si="44"/>
        <v>-3.7724944995716214E-3</v>
      </c>
      <c r="H162" s="27"/>
      <c r="I162" s="27"/>
      <c r="J162" s="27"/>
      <c r="K162" s="27">
        <f t="shared" si="47"/>
        <v>-3.7724944995716214E-3</v>
      </c>
      <c r="L162" s="27"/>
      <c r="M162" s="27"/>
      <c r="O162" s="27">
        <f ca="1">+C$11+C$12*$F162</f>
        <v>-4.6692732081189819E-3</v>
      </c>
      <c r="P162" s="27">
        <f t="shared" si="41"/>
        <v>-1.5251505444956797E-3</v>
      </c>
      <c r="Q162" s="28">
        <f t="shared" si="42"/>
        <v>39906.901299999998</v>
      </c>
      <c r="R162" s="24">
        <f t="shared" si="43"/>
        <v>5.0505548524163765E-6</v>
      </c>
      <c r="S162" s="24">
        <v>1</v>
      </c>
      <c r="T162" s="24">
        <f t="shared" si="45"/>
        <v>5.0505548524163765E-6</v>
      </c>
      <c r="U162" s="27">
        <f t="shared" si="46"/>
        <v>-2.2473439550759417E-3</v>
      </c>
      <c r="V162" s="96"/>
    </row>
    <row r="163" spans="1:22" x14ac:dyDescent="0.2">
      <c r="A163" s="78" t="s">
        <v>101</v>
      </c>
      <c r="B163" s="77" t="s">
        <v>48</v>
      </c>
      <c r="C163" s="32">
        <v>54925.401339999997</v>
      </c>
      <c r="D163" s="32">
        <v>2.0000000000000001E-4</v>
      </c>
      <c r="E163" s="98">
        <f t="shared" si="39"/>
        <v>5216.4893377994676</v>
      </c>
      <c r="F163" s="24">
        <f t="shared" si="40"/>
        <v>5216.5</v>
      </c>
      <c r="G163" s="27">
        <f t="shared" si="44"/>
        <v>-3.7324945005821064E-3</v>
      </c>
      <c r="H163" s="27"/>
      <c r="I163" s="27"/>
      <c r="J163" s="27"/>
      <c r="K163" s="27">
        <f t="shared" si="47"/>
        <v>-3.7324945005821064E-3</v>
      </c>
      <c r="L163" s="27"/>
      <c r="M163" s="27"/>
      <c r="O163" s="27"/>
      <c r="P163" s="27">
        <f t="shared" si="41"/>
        <v>-1.5251505444956797E-3</v>
      </c>
      <c r="Q163" s="28">
        <f t="shared" si="42"/>
        <v>39906.901339999997</v>
      </c>
      <c r="R163" s="24">
        <f t="shared" si="43"/>
        <v>4.8723673404712771E-6</v>
      </c>
      <c r="S163" s="24">
        <v>1</v>
      </c>
      <c r="T163" s="24">
        <f t="shared" si="45"/>
        <v>4.8723673404712771E-6</v>
      </c>
      <c r="U163" s="27">
        <f t="shared" si="46"/>
        <v>-2.2073439560864267E-3</v>
      </c>
      <c r="V163" s="96"/>
    </row>
    <row r="164" spans="1:22" x14ac:dyDescent="0.2">
      <c r="A164" s="140" t="s">
        <v>667</v>
      </c>
      <c r="B164" s="140" t="s">
        <v>48</v>
      </c>
      <c r="C164" s="147">
        <v>54925.401599999997</v>
      </c>
      <c r="D164" s="147" t="s">
        <v>96</v>
      </c>
      <c r="E164" s="98">
        <f t="shared" si="39"/>
        <v>5216.4900805124562</v>
      </c>
      <c r="F164" s="24">
        <f t="shared" si="40"/>
        <v>5216.5</v>
      </c>
      <c r="G164" s="27">
        <f t="shared" si="44"/>
        <v>-3.4724944998743013E-3</v>
      </c>
      <c r="H164" s="27"/>
      <c r="I164" s="27"/>
      <c r="J164" s="27"/>
      <c r="K164" s="27">
        <f t="shared" si="47"/>
        <v>-3.4724944998743013E-3</v>
      </c>
      <c r="L164" s="27"/>
      <c r="M164" s="27"/>
      <c r="O164" s="27">
        <f ca="1">+C$11+C$12*$F164</f>
        <v>-4.6692732081189819E-3</v>
      </c>
      <c r="P164" s="27">
        <f t="shared" si="41"/>
        <v>-1.5251505444956797E-3</v>
      </c>
      <c r="Q164" s="28">
        <f t="shared" si="42"/>
        <v>39906.901599999997</v>
      </c>
      <c r="R164" s="24">
        <f t="shared" si="43"/>
        <v>3.7921484805496547E-6</v>
      </c>
      <c r="S164" s="24">
        <v>1</v>
      </c>
      <c r="T164" s="24">
        <f t="shared" si="45"/>
        <v>3.7921484805496547E-6</v>
      </c>
      <c r="U164" s="27">
        <f t="shared" si="46"/>
        <v>-1.9473439553786215E-3</v>
      </c>
      <c r="V164" s="96"/>
    </row>
    <row r="165" spans="1:22" x14ac:dyDescent="0.2">
      <c r="A165" s="140" t="s">
        <v>667</v>
      </c>
      <c r="B165" s="140" t="s">
        <v>48</v>
      </c>
      <c r="C165" s="147">
        <v>54925.401599999997</v>
      </c>
      <c r="D165" s="147" t="s">
        <v>96</v>
      </c>
      <c r="E165" s="98">
        <f t="shared" si="39"/>
        <v>5216.4900805124562</v>
      </c>
      <c r="F165" s="24">
        <f t="shared" si="40"/>
        <v>5216.5</v>
      </c>
      <c r="G165" s="27">
        <f t="shared" si="44"/>
        <v>-3.4724944998743013E-3</v>
      </c>
      <c r="H165" s="27"/>
      <c r="I165" s="27"/>
      <c r="J165" s="27"/>
      <c r="K165" s="27">
        <f t="shared" si="47"/>
        <v>-3.4724944998743013E-3</v>
      </c>
      <c r="L165" s="27"/>
      <c r="M165" s="27"/>
      <c r="O165" s="27">
        <f ca="1">+C$11+C$12*$F165</f>
        <v>-4.6692732081189819E-3</v>
      </c>
      <c r="P165" s="27">
        <f t="shared" si="41"/>
        <v>-1.5251505444956797E-3</v>
      </c>
      <c r="Q165" s="28">
        <f t="shared" si="42"/>
        <v>39906.901599999997</v>
      </c>
      <c r="R165" s="24">
        <f t="shared" si="43"/>
        <v>3.7921484805496547E-6</v>
      </c>
      <c r="S165" s="24">
        <v>1</v>
      </c>
      <c r="T165" s="24">
        <f t="shared" si="45"/>
        <v>3.7921484805496547E-6</v>
      </c>
      <c r="U165" s="27">
        <f t="shared" si="46"/>
        <v>-1.9473439553786215E-3</v>
      </c>
      <c r="V165" s="96"/>
    </row>
    <row r="166" spans="1:22" x14ac:dyDescent="0.2">
      <c r="A166" s="78" t="s">
        <v>101</v>
      </c>
      <c r="B166" s="77" t="s">
        <v>48</v>
      </c>
      <c r="C166" s="32">
        <v>54925.401639999996</v>
      </c>
      <c r="D166" s="32">
        <v>1E-4</v>
      </c>
      <c r="E166" s="98">
        <f t="shared" si="39"/>
        <v>5216.4901947759899</v>
      </c>
      <c r="F166" s="24">
        <f t="shared" si="40"/>
        <v>5216.5</v>
      </c>
      <c r="G166" s="27">
        <f t="shared" si="44"/>
        <v>-3.4324945008847862E-3</v>
      </c>
      <c r="H166" s="27"/>
      <c r="I166" s="27"/>
      <c r="J166" s="27"/>
      <c r="K166" s="27">
        <f t="shared" si="47"/>
        <v>-3.4324945008847862E-3</v>
      </c>
      <c r="L166" s="27"/>
      <c r="M166" s="27"/>
      <c r="O166" s="27"/>
      <c r="P166" s="27">
        <f t="shared" si="41"/>
        <v>-1.5251505444956797E-3</v>
      </c>
      <c r="Q166" s="28">
        <f t="shared" si="42"/>
        <v>39906.901639999996</v>
      </c>
      <c r="R166" s="24">
        <f t="shared" si="43"/>
        <v>3.6379609679740499E-6</v>
      </c>
      <c r="S166" s="24">
        <v>1</v>
      </c>
      <c r="T166" s="24">
        <f t="shared" si="45"/>
        <v>3.6379609679740499E-6</v>
      </c>
      <c r="U166" s="27">
        <f t="shared" si="46"/>
        <v>-1.9073439563891065E-3</v>
      </c>
      <c r="V166" s="96"/>
    </row>
    <row r="167" spans="1:22" x14ac:dyDescent="0.2">
      <c r="A167" s="78" t="s">
        <v>101</v>
      </c>
      <c r="B167" s="77" t="s">
        <v>48</v>
      </c>
      <c r="C167" s="32">
        <v>54925.401639999996</v>
      </c>
      <c r="D167" s="32">
        <v>2.0000000000000001E-4</v>
      </c>
      <c r="E167" s="98">
        <f t="shared" si="39"/>
        <v>5216.4901947759899</v>
      </c>
      <c r="F167" s="24">
        <f t="shared" si="40"/>
        <v>5216.5</v>
      </c>
      <c r="G167" s="27">
        <f t="shared" si="44"/>
        <v>-3.4324945008847862E-3</v>
      </c>
      <c r="H167" s="27"/>
      <c r="I167" s="27"/>
      <c r="J167" s="27"/>
      <c r="K167" s="27">
        <f t="shared" si="47"/>
        <v>-3.4324945008847862E-3</v>
      </c>
      <c r="L167" s="27"/>
      <c r="M167" s="27"/>
      <c r="O167" s="27"/>
      <c r="P167" s="27">
        <f t="shared" si="41"/>
        <v>-1.5251505444956797E-3</v>
      </c>
      <c r="Q167" s="28">
        <f t="shared" si="42"/>
        <v>39906.901639999996</v>
      </c>
      <c r="R167" s="24">
        <f t="shared" si="43"/>
        <v>3.6379609679740499E-6</v>
      </c>
      <c r="S167" s="24">
        <v>1</v>
      </c>
      <c r="T167" s="24">
        <f t="shared" si="45"/>
        <v>3.6379609679740499E-6</v>
      </c>
      <c r="U167" s="27">
        <f t="shared" si="46"/>
        <v>-1.9073439563891065E-3</v>
      </c>
      <c r="V167" s="96"/>
    </row>
    <row r="168" spans="1:22" x14ac:dyDescent="0.2">
      <c r="A168" s="80" t="s">
        <v>175</v>
      </c>
      <c r="B168" s="36"/>
      <c r="C168" s="32">
        <v>54943.779300000002</v>
      </c>
      <c r="D168" s="32">
        <v>1E-4</v>
      </c>
      <c r="E168" s="98">
        <f t="shared" si="39"/>
        <v>5268.9876053286025</v>
      </c>
      <c r="F168" s="24">
        <f t="shared" si="40"/>
        <v>5269</v>
      </c>
      <c r="G168" s="27">
        <f t="shared" si="44"/>
        <v>-4.3389769998611882E-3</v>
      </c>
      <c r="H168" s="27"/>
      <c r="I168" s="27"/>
      <c r="J168" s="27"/>
      <c r="K168" s="27">
        <f>+G168</f>
        <v>-4.3389769998611882E-3</v>
      </c>
      <c r="L168" s="27"/>
      <c r="M168" s="27"/>
      <c r="O168" s="27">
        <f ca="1">+C$11+C$12*$F168</f>
        <v>-4.6348325064573415E-3</v>
      </c>
      <c r="P168" s="27">
        <f t="shared" si="41"/>
        <v>-1.5356171040917447E-3</v>
      </c>
      <c r="Q168" s="28">
        <f t="shared" si="42"/>
        <v>39925.279300000002</v>
      </c>
      <c r="R168" s="24">
        <f t="shared" si="43"/>
        <v>7.8588267052084656E-6</v>
      </c>
      <c r="S168" s="24">
        <v>1</v>
      </c>
      <c r="T168" s="24">
        <f t="shared" si="45"/>
        <v>7.8588267052084656E-6</v>
      </c>
      <c r="U168" s="27">
        <f t="shared" si="46"/>
        <v>-2.8033598957694435E-3</v>
      </c>
      <c r="V168" s="96"/>
    </row>
    <row r="169" spans="1:22" x14ac:dyDescent="0.2">
      <c r="A169" s="79" t="s">
        <v>185</v>
      </c>
      <c r="B169" s="34" t="s">
        <v>53</v>
      </c>
      <c r="C169" s="35">
        <v>55238.885600000001</v>
      </c>
      <c r="D169" s="35">
        <v>1E-4</v>
      </c>
      <c r="E169" s="98">
        <f t="shared" si="39"/>
        <v>6111.9848415250399</v>
      </c>
      <c r="F169" s="24">
        <f t="shared" si="40"/>
        <v>6112</v>
      </c>
      <c r="G169" s="27">
        <f t="shared" si="44"/>
        <v>-5.3064959938637912E-3</v>
      </c>
      <c r="H169" s="27"/>
      <c r="I169" s="27"/>
      <c r="J169" s="27"/>
      <c r="K169" s="27">
        <f t="shared" ref="K169:K198" si="48">+G169</f>
        <v>-5.3064959938637912E-3</v>
      </c>
      <c r="L169" s="27"/>
      <c r="M169" s="27"/>
      <c r="O169" s="27">
        <f ca="1">+C$11+C$12*$F169</f>
        <v>-4.0818132397761478E-3</v>
      </c>
      <c r="P169" s="27">
        <f t="shared" si="41"/>
        <v>-1.6903519329561217E-3</v>
      </c>
      <c r="Q169" s="28">
        <f t="shared" si="42"/>
        <v>40220.385600000001</v>
      </c>
      <c r="R169" s="24">
        <f t="shared" si="43"/>
        <v>1.307649786923781E-5</v>
      </c>
      <c r="S169" s="24">
        <v>1</v>
      </c>
      <c r="T169" s="24">
        <f t="shared" si="45"/>
        <v>1.307649786923781E-5</v>
      </c>
      <c r="U169" s="27">
        <f t="shared" si="46"/>
        <v>-3.6161440609076695E-3</v>
      </c>
      <c r="V169" s="96"/>
    </row>
    <row r="170" spans="1:22" x14ac:dyDescent="0.2">
      <c r="A170" s="140" t="s">
        <v>683</v>
      </c>
      <c r="B170" s="140" t="s">
        <v>48</v>
      </c>
      <c r="C170" s="147">
        <v>55304.5239</v>
      </c>
      <c r="D170" s="147" t="s">
        <v>96</v>
      </c>
      <c r="E170" s="98">
        <f t="shared" si="39"/>
        <v>6299.4864485345533</v>
      </c>
      <c r="F170" s="24">
        <f t="shared" si="40"/>
        <v>6299.5</v>
      </c>
      <c r="G170" s="27">
        <f t="shared" si="44"/>
        <v>-4.7439334957743995E-3</v>
      </c>
      <c r="H170" s="27"/>
      <c r="I170" s="27"/>
      <c r="J170" s="27"/>
      <c r="K170" s="27">
        <f t="shared" si="48"/>
        <v>-4.7439334957743995E-3</v>
      </c>
      <c r="L170" s="27"/>
      <c r="M170" s="27"/>
      <c r="O170" s="27">
        <f ca="1">+C$11+C$12*$F170</f>
        <v>-3.9588107338417193E-3</v>
      </c>
      <c r="P170" s="27">
        <f t="shared" si="41"/>
        <v>-1.7213566786435698E-3</v>
      </c>
      <c r="Q170" s="28">
        <f t="shared" si="42"/>
        <v>40286.0239</v>
      </c>
      <c r="R170" s="24">
        <f t="shared" si="43"/>
        <v>9.135970615456738E-6</v>
      </c>
      <c r="S170" s="24">
        <v>1</v>
      </c>
      <c r="T170" s="24">
        <f t="shared" si="45"/>
        <v>9.135970615456738E-6</v>
      </c>
      <c r="U170" s="27">
        <f t="shared" si="46"/>
        <v>-3.0225768171308299E-3</v>
      </c>
      <c r="V170" s="96"/>
    </row>
    <row r="171" spans="1:22" x14ac:dyDescent="0.2">
      <c r="A171" s="78" t="s">
        <v>186</v>
      </c>
      <c r="B171" s="77" t="s">
        <v>48</v>
      </c>
      <c r="C171" s="32">
        <v>55304.523930000003</v>
      </c>
      <c r="D171" s="32">
        <v>1E-4</v>
      </c>
      <c r="E171" s="98">
        <f t="shared" si="39"/>
        <v>6299.4865342322137</v>
      </c>
      <c r="F171" s="24">
        <f t="shared" si="40"/>
        <v>6299.5</v>
      </c>
      <c r="G171" s="27">
        <f t="shared" si="44"/>
        <v>-4.7139334928942844E-3</v>
      </c>
      <c r="H171" s="27"/>
      <c r="I171" s="27"/>
      <c r="J171" s="27"/>
      <c r="K171" s="27">
        <f t="shared" si="48"/>
        <v>-4.7139334928942844E-3</v>
      </c>
      <c r="L171" s="27"/>
      <c r="M171" s="27"/>
      <c r="O171" s="27"/>
      <c r="P171" s="27">
        <f t="shared" si="41"/>
        <v>-1.7213566786435698E-3</v>
      </c>
      <c r="Q171" s="28">
        <f t="shared" si="42"/>
        <v>40286.023930000003</v>
      </c>
      <c r="R171" s="24">
        <f t="shared" si="43"/>
        <v>8.955515989190958E-6</v>
      </c>
      <c r="S171" s="24">
        <v>1</v>
      </c>
      <c r="T171" s="24">
        <f t="shared" si="45"/>
        <v>8.955515989190958E-6</v>
      </c>
      <c r="U171" s="27">
        <f t="shared" si="46"/>
        <v>-2.9925768142507149E-3</v>
      </c>
      <c r="V171" s="96"/>
    </row>
    <row r="172" spans="1:22" x14ac:dyDescent="0.2">
      <c r="A172" s="37" t="s">
        <v>187</v>
      </c>
      <c r="B172" s="86" t="s">
        <v>48</v>
      </c>
      <c r="C172" s="37">
        <v>55323.430979999997</v>
      </c>
      <c r="D172" s="37">
        <v>4.0999999999999999E-4</v>
      </c>
      <c r="E172" s="98">
        <f t="shared" si="39"/>
        <v>6353.4961941229822</v>
      </c>
      <c r="F172" s="24">
        <f t="shared" si="40"/>
        <v>6353.5</v>
      </c>
      <c r="G172" s="27">
        <f t="shared" si="44"/>
        <v>-1.332315499894321E-3</v>
      </c>
      <c r="H172" s="27"/>
      <c r="I172" s="27"/>
      <c r="J172" s="27"/>
      <c r="K172" s="27">
        <f t="shared" si="48"/>
        <v>-1.332315499894321E-3</v>
      </c>
      <c r="L172" s="27"/>
      <c r="M172" s="27"/>
      <c r="O172" s="27">
        <f ca="1">+C$11+C$12*$F172</f>
        <v>-3.9233860121326031E-3</v>
      </c>
      <c r="P172" s="27">
        <f t="shared" si="41"/>
        <v>-1.7300558006810933E-3</v>
      </c>
      <c r="Q172" s="28">
        <f t="shared" si="42"/>
        <v>40304.930979999997</v>
      </c>
      <c r="R172" s="24">
        <f t="shared" si="43"/>
        <v>1.5819734686995216E-7</v>
      </c>
      <c r="S172" s="24">
        <v>1</v>
      </c>
      <c r="T172" s="24">
        <f t="shared" si="45"/>
        <v>1.5819734686995216E-7</v>
      </c>
      <c r="U172" s="27">
        <f t="shared" si="46"/>
        <v>3.9774030078677238E-4</v>
      </c>
      <c r="V172" s="96"/>
    </row>
    <row r="173" spans="1:22" x14ac:dyDescent="0.2">
      <c r="A173" s="37" t="s">
        <v>187</v>
      </c>
      <c r="B173" s="86" t="s">
        <v>53</v>
      </c>
      <c r="C173" s="37">
        <v>55329.55416</v>
      </c>
      <c r="D173" s="37">
        <v>1.7000000000000001E-4</v>
      </c>
      <c r="E173" s="98">
        <f t="shared" si="39"/>
        <v>6370.9875991412255</v>
      </c>
      <c r="F173" s="24">
        <f t="shared" si="40"/>
        <v>6371</v>
      </c>
      <c r="G173" s="27">
        <f t="shared" si="44"/>
        <v>-4.3411430015112273E-3</v>
      </c>
      <c r="H173" s="27"/>
      <c r="I173" s="27"/>
      <c r="J173" s="27"/>
      <c r="K173" s="27">
        <f t="shared" si="48"/>
        <v>-4.3411430015112273E-3</v>
      </c>
      <c r="L173" s="27"/>
      <c r="M173" s="27"/>
      <c r="O173" s="27">
        <f ca="1">+C$11+C$12*$F173</f>
        <v>-3.9119057782453902E-3</v>
      </c>
      <c r="P173" s="27">
        <f t="shared" si="41"/>
        <v>-1.732852869219135E-3</v>
      </c>
      <c r="Q173" s="28">
        <f t="shared" si="42"/>
        <v>40311.05416</v>
      </c>
      <c r="R173" s="24">
        <f t="shared" si="43"/>
        <v>6.8031774142123003E-6</v>
      </c>
      <c r="S173" s="24">
        <v>1</v>
      </c>
      <c r="T173" s="24">
        <f t="shared" si="45"/>
        <v>6.8031774142123003E-6</v>
      </c>
      <c r="U173" s="27">
        <f t="shared" si="46"/>
        <v>-2.6082901322920923E-3</v>
      </c>
      <c r="V173" s="96"/>
    </row>
    <row r="174" spans="1:22" x14ac:dyDescent="0.2">
      <c r="A174" s="140" t="s">
        <v>698</v>
      </c>
      <c r="B174" s="140" t="s">
        <v>48</v>
      </c>
      <c r="C174" s="147">
        <v>55481.309300000001</v>
      </c>
      <c r="D174" s="147" t="s">
        <v>96</v>
      </c>
      <c r="E174" s="98">
        <f t="shared" si="39"/>
        <v>6804.4895731709375</v>
      </c>
      <c r="F174" s="24">
        <f t="shared" si="40"/>
        <v>6804.5</v>
      </c>
      <c r="G174" s="27">
        <f t="shared" si="44"/>
        <v>-3.6500985006568953E-3</v>
      </c>
      <c r="H174" s="27"/>
      <c r="I174" s="27"/>
      <c r="J174" s="27"/>
      <c r="K174" s="27">
        <f t="shared" si="48"/>
        <v>-3.6500985006568953E-3</v>
      </c>
      <c r="L174" s="27"/>
      <c r="M174" s="27"/>
      <c r="O174" s="27">
        <f ca="1">+C$11+C$12*$F174</f>
        <v>-3.627523984524989E-3</v>
      </c>
      <c r="P174" s="27">
        <f t="shared" si="41"/>
        <v>-1.7986884622171084E-3</v>
      </c>
      <c r="Q174" s="28">
        <f t="shared" si="42"/>
        <v>40462.809300000001</v>
      </c>
      <c r="R174" s="24">
        <f t="shared" si="43"/>
        <v>3.4277191304356133E-6</v>
      </c>
      <c r="S174" s="24">
        <v>1</v>
      </c>
      <c r="T174" s="24">
        <f t="shared" si="45"/>
        <v>3.4277191304356133E-6</v>
      </c>
      <c r="U174" s="27">
        <f t="shared" si="46"/>
        <v>-1.8514100384397869E-3</v>
      </c>
      <c r="V174" s="96"/>
    </row>
    <row r="175" spans="1:22" x14ac:dyDescent="0.2">
      <c r="A175" s="140" t="s">
        <v>698</v>
      </c>
      <c r="B175" s="140" t="s">
        <v>53</v>
      </c>
      <c r="C175" s="147">
        <v>55491.284800000001</v>
      </c>
      <c r="D175" s="147" t="s">
        <v>96</v>
      </c>
      <c r="E175" s="98">
        <f t="shared" si="39"/>
        <v>6832.9854708514613</v>
      </c>
      <c r="F175" s="24">
        <f t="shared" si="40"/>
        <v>6833</v>
      </c>
      <c r="G175" s="27">
        <f t="shared" si="44"/>
        <v>-5.0861889976658858E-3</v>
      </c>
      <c r="H175" s="27"/>
      <c r="I175" s="27"/>
      <c r="J175" s="27"/>
      <c r="K175" s="27">
        <f t="shared" si="48"/>
        <v>-5.0861889976658858E-3</v>
      </c>
      <c r="L175" s="27"/>
      <c r="M175" s="27"/>
      <c r="O175" s="27">
        <f ca="1">+C$11+C$12*$F175</f>
        <v>-3.6088276036229565E-3</v>
      </c>
      <c r="P175" s="27">
        <f t="shared" si="41"/>
        <v>-1.8027842844911572E-3</v>
      </c>
      <c r="Q175" s="28">
        <f t="shared" si="42"/>
        <v>40472.784800000001</v>
      </c>
      <c r="R175" s="24">
        <f t="shared" si="43"/>
        <v>1.0780746510498022E-5</v>
      </c>
      <c r="S175" s="24">
        <v>1</v>
      </c>
      <c r="T175" s="24">
        <f t="shared" si="45"/>
        <v>1.0780746510498022E-5</v>
      </c>
      <c r="U175" s="27">
        <f t="shared" si="46"/>
        <v>-3.2834047131747287E-3</v>
      </c>
      <c r="V175" s="96"/>
    </row>
    <row r="176" spans="1:22" x14ac:dyDescent="0.2">
      <c r="A176" s="140" t="s">
        <v>683</v>
      </c>
      <c r="B176" s="140" t="s">
        <v>53</v>
      </c>
      <c r="C176" s="147">
        <v>55619.409599999999</v>
      </c>
      <c r="D176" s="147" t="s">
        <v>96</v>
      </c>
      <c r="E176" s="98">
        <f t="shared" si="39"/>
        <v>7198.985289520936</v>
      </c>
      <c r="F176" s="24">
        <f t="shared" si="40"/>
        <v>7199</v>
      </c>
      <c r="G176" s="27">
        <f t="shared" si="44"/>
        <v>-5.149666998477187E-3</v>
      </c>
      <c r="H176" s="27"/>
      <c r="I176" s="27"/>
      <c r="J176" s="27"/>
      <c r="K176" s="27">
        <f t="shared" si="48"/>
        <v>-5.149666998477187E-3</v>
      </c>
      <c r="L176" s="27"/>
      <c r="M176" s="27"/>
      <c r="O176" s="27">
        <f ca="1">+C$11+C$12*$F176</f>
        <v>-3.3687267120389502E-3</v>
      </c>
      <c r="P176" s="27">
        <f t="shared" si="41"/>
        <v>-1.8528340478476157E-3</v>
      </c>
      <c r="Q176" s="28">
        <f t="shared" si="42"/>
        <v>40600.909599999999</v>
      </c>
      <c r="R176" s="24">
        <f t="shared" si="43"/>
        <v>1.0869107504356885E-5</v>
      </c>
      <c r="S176" s="24">
        <v>1</v>
      </c>
      <c r="T176" s="24">
        <f t="shared" si="45"/>
        <v>1.0869107504356885E-5</v>
      </c>
      <c r="U176" s="27">
        <f t="shared" si="46"/>
        <v>-3.2968329506295711E-3</v>
      </c>
      <c r="V176" s="96"/>
    </row>
    <row r="177" spans="1:22" x14ac:dyDescent="0.2">
      <c r="A177" s="78" t="s">
        <v>186</v>
      </c>
      <c r="B177" s="77" t="s">
        <v>53</v>
      </c>
      <c r="C177" s="32">
        <v>55619.409650000001</v>
      </c>
      <c r="D177" s="32">
        <v>1E-4</v>
      </c>
      <c r="E177" s="98">
        <f t="shared" si="39"/>
        <v>7198.9854323503632</v>
      </c>
      <c r="F177" s="24">
        <f t="shared" si="40"/>
        <v>7199</v>
      </c>
      <c r="G177" s="27">
        <f t="shared" si="44"/>
        <v>-5.0996669961023144E-3</v>
      </c>
      <c r="H177" s="27"/>
      <c r="I177" s="27"/>
      <c r="J177" s="27"/>
      <c r="K177" s="27">
        <f t="shared" si="48"/>
        <v>-5.0996669961023144E-3</v>
      </c>
      <c r="L177" s="27"/>
      <c r="M177" s="27"/>
      <c r="O177" s="27"/>
      <c r="P177" s="27">
        <f t="shared" si="41"/>
        <v>-1.8528340478476157E-3</v>
      </c>
      <c r="Q177" s="28">
        <f t="shared" si="42"/>
        <v>40600.909650000001</v>
      </c>
      <c r="R177" s="24">
        <f t="shared" si="43"/>
        <v>1.0541924193872298E-5</v>
      </c>
      <c r="S177" s="24">
        <v>1</v>
      </c>
      <c r="T177" s="24">
        <f t="shared" si="45"/>
        <v>1.0541924193872298E-5</v>
      </c>
      <c r="U177" s="27">
        <f t="shared" si="46"/>
        <v>-3.2468329482546986E-3</v>
      </c>
      <c r="V177" s="96"/>
    </row>
    <row r="178" spans="1:22" x14ac:dyDescent="0.2">
      <c r="A178" s="37" t="s">
        <v>187</v>
      </c>
      <c r="B178" s="86" t="s">
        <v>48</v>
      </c>
      <c r="C178" s="37">
        <v>55664.397369999999</v>
      </c>
      <c r="D178" s="37">
        <v>1.1199999999999999E-3</v>
      </c>
      <c r="E178" s="98">
        <f t="shared" si="39"/>
        <v>7327.4968318792016</v>
      </c>
      <c r="F178" s="24">
        <f t="shared" si="40"/>
        <v>7327.5</v>
      </c>
      <c r="G178" s="27">
        <f t="shared" si="44"/>
        <v>-1.1090574989793822E-3</v>
      </c>
      <c r="H178" s="27"/>
      <c r="I178" s="27"/>
      <c r="J178" s="27"/>
      <c r="K178" s="27">
        <f t="shared" si="48"/>
        <v>-1.1090574989793822E-3</v>
      </c>
      <c r="L178" s="27"/>
      <c r="M178" s="27"/>
      <c r="O178" s="27">
        <f ca="1">+C$11+C$12*$F178</f>
        <v>-3.2844289946385545E-3</v>
      </c>
      <c r="P178" s="27">
        <f t="shared" si="41"/>
        <v>-1.8692842795586496E-3</v>
      </c>
      <c r="Q178" s="28">
        <f t="shared" si="42"/>
        <v>40645.897369999999</v>
      </c>
      <c r="R178" s="24">
        <f t="shared" si="43"/>
        <v>5.7794475790991757E-7</v>
      </c>
      <c r="S178" s="24">
        <v>1</v>
      </c>
      <c r="T178" s="24">
        <f t="shared" si="45"/>
        <v>5.7794475790991757E-7</v>
      </c>
      <c r="U178" s="27">
        <f t="shared" si="46"/>
        <v>7.6022678057926737E-4</v>
      </c>
      <c r="V178" s="96"/>
    </row>
    <row r="179" spans="1:22" x14ac:dyDescent="0.2">
      <c r="A179" s="78" t="s">
        <v>201</v>
      </c>
      <c r="B179" s="77" t="s">
        <v>48</v>
      </c>
      <c r="C179" s="32">
        <v>55960.552069999998</v>
      </c>
      <c r="D179" s="32">
        <v>2.0000000000000001E-4</v>
      </c>
      <c r="E179" s="98">
        <f t="shared" si="39"/>
        <v>8173.4889153643207</v>
      </c>
      <c r="F179" s="24">
        <f t="shared" si="40"/>
        <v>8173.5</v>
      </c>
      <c r="G179" s="27">
        <f t="shared" si="44"/>
        <v>-3.880375501466915E-3</v>
      </c>
      <c r="H179" s="27"/>
      <c r="I179" s="27"/>
      <c r="K179" s="27">
        <f t="shared" si="48"/>
        <v>-3.880375501466915E-3</v>
      </c>
      <c r="L179" s="27"/>
      <c r="O179" s="27"/>
      <c r="P179" s="27">
        <f t="shared" si="41"/>
        <v>-1.9630313428916982E-3</v>
      </c>
      <c r="Q179" s="28">
        <f t="shared" si="42"/>
        <v>40942.052069999998</v>
      </c>
      <c r="R179" s="24">
        <f t="shared" si="43"/>
        <v>3.6762086224225062E-6</v>
      </c>
      <c r="S179" s="24">
        <v>1</v>
      </c>
      <c r="T179" s="24">
        <f t="shared" si="45"/>
        <v>3.6762086224225062E-6</v>
      </c>
      <c r="U179" s="27">
        <f t="shared" si="46"/>
        <v>-1.9173441585752168E-3</v>
      </c>
      <c r="V179" s="96"/>
    </row>
    <row r="180" spans="1:22" x14ac:dyDescent="0.2">
      <c r="A180" s="78" t="s">
        <v>201</v>
      </c>
      <c r="B180" s="77" t="s">
        <v>48</v>
      </c>
      <c r="C180" s="32">
        <v>55960.552170000003</v>
      </c>
      <c r="D180" s="32">
        <v>2.0000000000000001E-4</v>
      </c>
      <c r="E180" s="98">
        <f t="shared" si="39"/>
        <v>8173.4892010231752</v>
      </c>
      <c r="F180" s="24">
        <f t="shared" si="40"/>
        <v>8173.5</v>
      </c>
      <c r="G180" s="27">
        <f t="shared" si="44"/>
        <v>-3.7803754967171699E-3</v>
      </c>
      <c r="H180" s="27"/>
      <c r="I180" s="27"/>
      <c r="K180" s="27">
        <f t="shared" si="48"/>
        <v>-3.7803754967171699E-3</v>
      </c>
      <c r="L180" s="27"/>
      <c r="M180" s="24"/>
      <c r="O180" s="27"/>
      <c r="P180" s="27">
        <f t="shared" si="41"/>
        <v>-1.9630313428916982E-3</v>
      </c>
      <c r="Q180" s="28">
        <f t="shared" si="42"/>
        <v>40942.052170000003</v>
      </c>
      <c r="R180" s="24">
        <f t="shared" si="43"/>
        <v>3.3027397734436199E-6</v>
      </c>
      <c r="S180" s="24">
        <v>1</v>
      </c>
      <c r="T180" s="24">
        <f t="shared" si="45"/>
        <v>3.3027397734436199E-6</v>
      </c>
      <c r="U180" s="27">
        <f t="shared" si="46"/>
        <v>-1.8173441538254717E-3</v>
      </c>
      <c r="V180" s="96"/>
    </row>
    <row r="181" spans="1:22" x14ac:dyDescent="0.2">
      <c r="A181" s="78" t="s">
        <v>201</v>
      </c>
      <c r="B181" s="77" t="s">
        <v>48</v>
      </c>
      <c r="C181" s="32">
        <v>55960.55227</v>
      </c>
      <c r="D181" s="32">
        <v>1E-4</v>
      </c>
      <c r="E181" s="98">
        <f t="shared" ref="E181:E198" si="49">+(C181-C$7)/C$8</f>
        <v>8173.4894866820086</v>
      </c>
      <c r="F181" s="24">
        <f t="shared" ref="F181:F201" si="50">ROUND(2*E181,0)/2</f>
        <v>8173.5</v>
      </c>
      <c r="G181" s="27">
        <f t="shared" si="44"/>
        <v>-3.6803754992433824E-3</v>
      </c>
      <c r="H181" s="27"/>
      <c r="I181" s="27"/>
      <c r="K181" s="27">
        <f t="shared" si="48"/>
        <v>-3.6803754992433824E-3</v>
      </c>
      <c r="L181" s="27"/>
      <c r="O181" s="27"/>
      <c r="P181" s="27">
        <f t="shared" ref="P181:P198" si="51">+D$11+D$12*F181+D$13*F181^2</f>
        <v>-1.9630313428916982E-3</v>
      </c>
      <c r="Q181" s="28">
        <f t="shared" ref="Q181:Q198" si="52">+C181-15018.5</f>
        <v>40942.05227</v>
      </c>
      <c r="R181" s="24">
        <f t="shared" ref="R181:R198" si="53">+(P181-G181)^2</f>
        <v>2.9492709513552779E-6</v>
      </c>
      <c r="S181" s="24">
        <v>1</v>
      </c>
      <c r="T181" s="24">
        <f t="shared" si="45"/>
        <v>2.9492709513552779E-6</v>
      </c>
      <c r="U181" s="27">
        <f t="shared" si="46"/>
        <v>-1.7173441563516842E-3</v>
      </c>
      <c r="V181" s="96"/>
    </row>
    <row r="182" spans="1:22" x14ac:dyDescent="0.2">
      <c r="A182" s="78" t="s">
        <v>201</v>
      </c>
      <c r="B182" s="77" t="s">
        <v>48</v>
      </c>
      <c r="C182" s="32">
        <v>55960.552470000002</v>
      </c>
      <c r="D182" s="32">
        <v>1E-4</v>
      </c>
      <c r="E182" s="98">
        <f t="shared" si="49"/>
        <v>8173.4900579996975</v>
      </c>
      <c r="F182" s="24">
        <f t="shared" si="50"/>
        <v>8173.5</v>
      </c>
      <c r="G182" s="27">
        <f t="shared" si="44"/>
        <v>-3.4803754970198497E-3</v>
      </c>
      <c r="H182" s="27"/>
      <c r="I182" s="27"/>
      <c r="K182" s="27">
        <f t="shared" si="48"/>
        <v>-3.4803754970198497E-3</v>
      </c>
      <c r="L182" s="27"/>
      <c r="O182" s="27"/>
      <c r="P182" s="27">
        <f t="shared" si="51"/>
        <v>-1.9630313428916982E-3</v>
      </c>
      <c r="Q182" s="28">
        <f t="shared" si="52"/>
        <v>40942.052470000002</v>
      </c>
      <c r="R182" s="24">
        <f t="shared" si="53"/>
        <v>2.3023332820668756E-6</v>
      </c>
      <c r="S182" s="24">
        <v>1</v>
      </c>
      <c r="T182" s="24">
        <f t="shared" si="45"/>
        <v>2.3023332820668756E-6</v>
      </c>
      <c r="U182" s="27">
        <f t="shared" si="46"/>
        <v>-1.5173441541281515E-3</v>
      </c>
      <c r="V182" s="96"/>
    </row>
    <row r="183" spans="1:22" x14ac:dyDescent="0.2">
      <c r="A183" s="78" t="s">
        <v>201</v>
      </c>
      <c r="B183" s="77" t="s">
        <v>53</v>
      </c>
      <c r="C183" s="32">
        <v>55960.726170000002</v>
      </c>
      <c r="D183" s="32">
        <v>2.9999999999999997E-4</v>
      </c>
      <c r="E183" s="98">
        <f t="shared" si="49"/>
        <v>8173.9862474064521</v>
      </c>
      <c r="F183" s="24">
        <f t="shared" si="50"/>
        <v>8174</v>
      </c>
      <c r="G183" s="27">
        <f t="shared" si="44"/>
        <v>-4.8143419990083203E-3</v>
      </c>
      <c r="H183" s="27"/>
      <c r="I183" s="27"/>
      <c r="K183" s="27">
        <f t="shared" si="48"/>
        <v>-4.8143419990083203E-3</v>
      </c>
      <c r="L183" s="27"/>
      <c r="O183" s="27"/>
      <c r="P183" s="27">
        <f t="shared" si="51"/>
        <v>-1.9630792762883823E-3</v>
      </c>
      <c r="Q183" s="28">
        <f t="shared" si="52"/>
        <v>40942.226170000002</v>
      </c>
      <c r="R183" s="24">
        <f t="shared" si="53"/>
        <v>8.1296991139723133E-6</v>
      </c>
      <c r="S183" s="24">
        <v>1</v>
      </c>
      <c r="T183" s="24">
        <f t="shared" si="45"/>
        <v>8.1296991139723133E-6</v>
      </c>
      <c r="U183" s="27">
        <f t="shared" si="46"/>
        <v>-2.851262722719938E-3</v>
      </c>
      <c r="V183" s="96"/>
    </row>
    <row r="184" spans="1:22" x14ac:dyDescent="0.2">
      <c r="A184" s="78" t="s">
        <v>201</v>
      </c>
      <c r="B184" s="77" t="s">
        <v>53</v>
      </c>
      <c r="C184" s="32">
        <v>55960.726770000001</v>
      </c>
      <c r="D184" s="32">
        <v>2.0000000000000001E-4</v>
      </c>
      <c r="E184" s="98">
        <f t="shared" si="49"/>
        <v>8173.9879613594967</v>
      </c>
      <c r="F184" s="24">
        <f t="shared" si="50"/>
        <v>8174</v>
      </c>
      <c r="G184" s="27">
        <f t="shared" si="44"/>
        <v>-4.2143419996136799E-3</v>
      </c>
      <c r="H184" s="27"/>
      <c r="I184" s="27"/>
      <c r="K184" s="27">
        <f t="shared" si="48"/>
        <v>-4.2143419996136799E-3</v>
      </c>
      <c r="L184" s="27"/>
      <c r="O184" s="27"/>
      <c r="P184" s="27">
        <f t="shared" si="51"/>
        <v>-1.9630792762883823E-3</v>
      </c>
      <c r="Q184" s="28">
        <f t="shared" si="52"/>
        <v>40942.226770000001</v>
      </c>
      <c r="R184" s="24">
        <f t="shared" si="53"/>
        <v>5.068183849434036E-6</v>
      </c>
      <c r="S184" s="24">
        <v>1</v>
      </c>
      <c r="T184" s="24">
        <f t="shared" si="45"/>
        <v>5.068183849434036E-6</v>
      </c>
      <c r="U184" s="27">
        <f t="shared" si="46"/>
        <v>-2.2512627233252976E-3</v>
      </c>
      <c r="V184" s="96"/>
    </row>
    <row r="185" spans="1:22" x14ac:dyDescent="0.2">
      <c r="A185" s="117" t="s">
        <v>305</v>
      </c>
      <c r="B185" s="118" t="s">
        <v>53</v>
      </c>
      <c r="C185" s="117">
        <v>55992.58077</v>
      </c>
      <c r="D185" s="117">
        <v>1.07E-3</v>
      </c>
      <c r="E185" s="98">
        <f t="shared" si="49"/>
        <v>8264.9817285606732</v>
      </c>
      <c r="F185" s="24">
        <f t="shared" si="50"/>
        <v>8265</v>
      </c>
      <c r="G185" s="27">
        <f t="shared" si="44"/>
        <v>-6.3962450003600679E-3</v>
      </c>
      <c r="H185" s="27"/>
      <c r="I185" s="27"/>
      <c r="J185" s="27"/>
      <c r="K185" s="27">
        <f t="shared" si="48"/>
        <v>-6.3962450003600679E-3</v>
      </c>
      <c r="L185" s="27"/>
      <c r="M185" s="27"/>
      <c r="O185" s="27">
        <f t="shared" ref="O185:O198" ca="1" si="54">+C$11+C$12*$F185</f>
        <v>-2.6694164649664082E-3</v>
      </c>
      <c r="P185" s="27">
        <f t="shared" si="51"/>
        <v>-1.9716561463823832E-3</v>
      </c>
      <c r="Q185" s="28">
        <f t="shared" si="52"/>
        <v>40974.08077</v>
      </c>
      <c r="R185" s="24">
        <f t="shared" si="53"/>
        <v>1.957698652674356E-5</v>
      </c>
      <c r="S185" s="24">
        <v>1</v>
      </c>
      <c r="T185" s="24">
        <f t="shared" si="45"/>
        <v>1.957698652674356E-5</v>
      </c>
      <c r="U185" s="27">
        <f t="shared" si="46"/>
        <v>-4.4245888539776847E-3</v>
      </c>
      <c r="V185" s="96"/>
    </row>
    <row r="186" spans="1:22" x14ac:dyDescent="0.2">
      <c r="A186" s="78" t="s">
        <v>202</v>
      </c>
      <c r="B186" s="77" t="s">
        <v>53</v>
      </c>
      <c r="C186" s="32">
        <v>56001.331200000001</v>
      </c>
      <c r="D186" s="32">
        <v>1.6999999999999999E-3</v>
      </c>
      <c r="E186" s="98">
        <f t="shared" si="49"/>
        <v>8289.9781054781797</v>
      </c>
      <c r="F186" s="24">
        <f t="shared" si="50"/>
        <v>8290</v>
      </c>
      <c r="G186" s="27">
        <f t="shared" si="44"/>
        <v>-7.6645699955406599E-3</v>
      </c>
      <c r="H186" s="27"/>
      <c r="I186" s="27"/>
      <c r="J186" s="27"/>
      <c r="K186" s="27">
        <f t="shared" si="48"/>
        <v>-7.6645699955406599E-3</v>
      </c>
      <c r="L186" s="27"/>
      <c r="M186" s="27"/>
      <c r="O186" s="27">
        <f t="shared" ca="1" si="54"/>
        <v>-2.6530161308418176E-3</v>
      </c>
      <c r="P186" s="27">
        <f t="shared" si="51"/>
        <v>-1.9739612285709046E-3</v>
      </c>
      <c r="Q186" s="28">
        <f t="shared" si="52"/>
        <v>40982.831200000001</v>
      </c>
      <c r="R186" s="24">
        <f t="shared" si="53"/>
        <v>3.2383028138713031E-5</v>
      </c>
      <c r="S186" s="24">
        <v>1</v>
      </c>
      <c r="T186" s="24">
        <f t="shared" si="45"/>
        <v>3.2383028138713031E-5</v>
      </c>
      <c r="U186" s="27">
        <f t="shared" si="46"/>
        <v>-5.6906087669697548E-3</v>
      </c>
      <c r="V186" s="96"/>
    </row>
    <row r="187" spans="1:22" x14ac:dyDescent="0.2">
      <c r="A187" s="78" t="s">
        <v>202</v>
      </c>
      <c r="B187" s="77" t="s">
        <v>48</v>
      </c>
      <c r="C187" s="32">
        <v>56001.510799999996</v>
      </c>
      <c r="D187" s="32">
        <v>1.2999999999999999E-3</v>
      </c>
      <c r="E187" s="98">
        <f t="shared" si="49"/>
        <v>8290.4911487565423</v>
      </c>
      <c r="F187" s="24">
        <f t="shared" si="50"/>
        <v>8290.5</v>
      </c>
      <c r="G187" s="27">
        <f t="shared" si="44"/>
        <v>-3.0985365010565147E-3</v>
      </c>
      <c r="H187" s="27"/>
      <c r="I187" s="27"/>
      <c r="J187" s="27"/>
      <c r="K187" s="27">
        <f t="shared" si="48"/>
        <v>-3.0985365010565147E-3</v>
      </c>
      <c r="L187" s="27"/>
      <c r="M187" s="27"/>
      <c r="O187" s="27">
        <f t="shared" ca="1" si="54"/>
        <v>-2.6526881241593263E-3</v>
      </c>
      <c r="P187" s="27">
        <f t="shared" si="51"/>
        <v>-1.9740071051076906E-3</v>
      </c>
      <c r="Q187" s="28">
        <f t="shared" si="52"/>
        <v>40983.010799999996</v>
      </c>
      <c r="R187" s="24">
        <f t="shared" si="53"/>
        <v>1.2645663623530271E-6</v>
      </c>
      <c r="S187" s="24">
        <v>1</v>
      </c>
      <c r="T187" s="24">
        <f t="shared" si="45"/>
        <v>1.2645663623530271E-6</v>
      </c>
      <c r="U187" s="27">
        <f t="shared" si="46"/>
        <v>-1.1245293959488241E-3</v>
      </c>
      <c r="V187" s="96"/>
    </row>
    <row r="188" spans="1:22" x14ac:dyDescent="0.2">
      <c r="A188" s="78" t="s">
        <v>202</v>
      </c>
      <c r="B188" s="77" t="s">
        <v>48</v>
      </c>
      <c r="C188" s="32">
        <v>56007.462</v>
      </c>
      <c r="D188" s="32">
        <v>1.2999999999999999E-3</v>
      </c>
      <c r="E188" s="98">
        <f t="shared" si="49"/>
        <v>8307.4912777000955</v>
      </c>
      <c r="F188" s="24">
        <f t="shared" si="50"/>
        <v>8307.5</v>
      </c>
      <c r="G188" s="27">
        <f t="shared" si="44"/>
        <v>-3.0533975004800595E-3</v>
      </c>
      <c r="H188" s="27"/>
      <c r="I188" s="27"/>
      <c r="J188" s="27"/>
      <c r="K188" s="27">
        <f t="shared" si="48"/>
        <v>-3.0533975004800595E-3</v>
      </c>
      <c r="L188" s="27"/>
      <c r="M188" s="27"/>
      <c r="O188" s="27">
        <f t="shared" ca="1" si="54"/>
        <v>-2.6415358969546048E-3</v>
      </c>
      <c r="P188" s="27">
        <f t="shared" si="51"/>
        <v>-1.9755616548621027E-3</v>
      </c>
      <c r="Q188" s="28">
        <f t="shared" si="52"/>
        <v>40988.962</v>
      </c>
      <c r="R188" s="24">
        <f t="shared" si="53"/>
        <v>1.161730110098976E-6</v>
      </c>
      <c r="S188" s="24">
        <v>1</v>
      </c>
      <c r="T188" s="24">
        <f t="shared" si="45"/>
        <v>1.161730110098976E-6</v>
      </c>
      <c r="U188" s="27">
        <f t="shared" si="46"/>
        <v>-1.0778358456179568E-3</v>
      </c>
      <c r="V188" s="96"/>
    </row>
    <row r="189" spans="1:22" x14ac:dyDescent="0.2">
      <c r="A189" s="78" t="s">
        <v>202</v>
      </c>
      <c r="B189" s="77" t="s">
        <v>53</v>
      </c>
      <c r="C189" s="32">
        <v>56007.636299999998</v>
      </c>
      <c r="D189" s="32">
        <v>2.9999999999999997E-4</v>
      </c>
      <c r="E189" s="98">
        <f t="shared" si="49"/>
        <v>8307.9891810598947</v>
      </c>
      <c r="F189" s="24">
        <f t="shared" si="50"/>
        <v>8308</v>
      </c>
      <c r="G189" s="27">
        <f t="shared" si="44"/>
        <v>-3.7873640030738898E-3</v>
      </c>
      <c r="H189" s="27"/>
      <c r="I189" s="27"/>
      <c r="J189" s="27"/>
      <c r="K189" s="27">
        <f t="shared" si="48"/>
        <v>-3.7873640030738898E-3</v>
      </c>
      <c r="L189" s="27"/>
      <c r="M189" s="27"/>
      <c r="O189" s="27">
        <f t="shared" ca="1" si="54"/>
        <v>-2.6412078902721126E-3</v>
      </c>
      <c r="P189" s="27">
        <f t="shared" si="51"/>
        <v>-1.9756072224285178E-3</v>
      </c>
      <c r="Q189" s="28">
        <f t="shared" si="52"/>
        <v>40989.136299999998</v>
      </c>
      <c r="R189" s="24">
        <f t="shared" si="53"/>
        <v>3.2824626322144826E-6</v>
      </c>
      <c r="S189" s="24">
        <v>1</v>
      </c>
      <c r="T189" s="24">
        <f t="shared" si="45"/>
        <v>3.2824626322144826E-6</v>
      </c>
      <c r="U189" s="27">
        <f t="shared" si="46"/>
        <v>-1.811756780645372E-3</v>
      </c>
      <c r="V189" s="96"/>
    </row>
    <row r="190" spans="1:22" x14ac:dyDescent="0.2">
      <c r="A190" s="140" t="s">
        <v>753</v>
      </c>
      <c r="B190" s="140" t="s">
        <v>53</v>
      </c>
      <c r="C190" s="147">
        <v>56156.434000000001</v>
      </c>
      <c r="D190" s="147" t="s">
        <v>96</v>
      </c>
      <c r="E190" s="98">
        <f t="shared" si="49"/>
        <v>8733.0429662633596</v>
      </c>
      <c r="F190" s="24">
        <f t="shared" si="50"/>
        <v>8733</v>
      </c>
      <c r="G190" s="27">
        <f t="shared" si="44"/>
        <v>1.5041111000755336E-2</v>
      </c>
      <c r="H190" s="27"/>
      <c r="I190" s="27"/>
      <c r="J190" s="27"/>
      <c r="K190" s="27">
        <f t="shared" si="48"/>
        <v>1.5041111000755336E-2</v>
      </c>
      <c r="L190" s="27"/>
      <c r="M190" s="27"/>
      <c r="O190" s="27">
        <f t="shared" ca="1" si="54"/>
        <v>-2.3624022101540734E-3</v>
      </c>
      <c r="P190" s="27">
        <f t="shared" si="51"/>
        <v>-2.0111468864832194E-3</v>
      </c>
      <c r="Q190" s="28">
        <f t="shared" si="52"/>
        <v>41137.934000000001</v>
      </c>
      <c r="R190" s="24">
        <f t="shared" si="53"/>
        <v>2.9077949905288947E-4</v>
      </c>
      <c r="S190" s="24">
        <v>1</v>
      </c>
      <c r="T190" s="24">
        <f t="shared" si="45"/>
        <v>2.9077949905288947E-4</v>
      </c>
      <c r="U190" s="27">
        <f t="shared" si="46"/>
        <v>1.7052257887238555E-2</v>
      </c>
      <c r="V190" s="96"/>
    </row>
    <row r="191" spans="1:22" x14ac:dyDescent="0.2">
      <c r="A191" s="78" t="s">
        <v>203</v>
      </c>
      <c r="B191" s="77" t="s">
        <v>48</v>
      </c>
      <c r="C191" s="32">
        <v>56187.404900000001</v>
      </c>
      <c r="D191" s="32">
        <v>1.6999999999999999E-3</v>
      </c>
      <c r="E191" s="98">
        <f t="shared" si="49"/>
        <v>8821.514080239971</v>
      </c>
      <c r="F191" s="24">
        <f t="shared" si="50"/>
        <v>8821.5</v>
      </c>
      <c r="G191" s="27">
        <f t="shared" si="44"/>
        <v>4.9290405004285276E-3</v>
      </c>
      <c r="H191" s="27"/>
      <c r="I191" s="27"/>
      <c r="J191" s="27"/>
      <c r="K191" s="27">
        <f t="shared" si="48"/>
        <v>4.9290405004285276E-3</v>
      </c>
      <c r="L191" s="27"/>
      <c r="M191" s="27"/>
      <c r="O191" s="27">
        <f t="shared" ca="1" si="54"/>
        <v>-2.3043450273530228E-3</v>
      </c>
      <c r="P191" s="27">
        <f t="shared" si="51"/>
        <v>-2.0177451513795188E-3</v>
      </c>
      <c r="Q191" s="28">
        <f t="shared" si="52"/>
        <v>41168.904900000001</v>
      </c>
      <c r="R191" s="24">
        <f t="shared" si="53"/>
        <v>4.8257830892166142E-5</v>
      </c>
      <c r="S191" s="24">
        <v>1</v>
      </c>
      <c r="T191" s="24">
        <f t="shared" si="45"/>
        <v>4.8257830892166142E-5</v>
      </c>
      <c r="U191" s="27">
        <f t="shared" si="46"/>
        <v>6.9467856518080464E-3</v>
      </c>
      <c r="V191" s="96"/>
    </row>
    <row r="192" spans="1:22" x14ac:dyDescent="0.2">
      <c r="A192" s="117" t="s">
        <v>305</v>
      </c>
      <c r="B192" s="118" t="s">
        <v>48</v>
      </c>
      <c r="C192" s="117">
        <v>56390.439319999998</v>
      </c>
      <c r="D192" s="117">
        <v>3.1E-4</v>
      </c>
      <c r="E192" s="98">
        <f t="shared" si="49"/>
        <v>9401.4998511731701</v>
      </c>
      <c r="F192" s="24">
        <f t="shared" si="50"/>
        <v>9401.5</v>
      </c>
      <c r="G192" s="27">
        <f t="shared" si="44"/>
        <v>-5.2099501772318035E-5</v>
      </c>
      <c r="H192" s="27"/>
      <c r="I192" s="27"/>
      <c r="J192" s="27"/>
      <c r="K192" s="27">
        <f t="shared" si="48"/>
        <v>-5.2099501772318035E-5</v>
      </c>
      <c r="L192" s="27"/>
      <c r="M192" s="27"/>
      <c r="O192" s="27">
        <f t="shared" ca="1" si="54"/>
        <v>-1.9238572756625216E-3</v>
      </c>
      <c r="P192" s="27">
        <f t="shared" si="51"/>
        <v>-2.0541424698269136E-3</v>
      </c>
      <c r="Q192" s="28">
        <f t="shared" si="52"/>
        <v>41371.939319999998</v>
      </c>
      <c r="R192" s="24">
        <f t="shared" si="53"/>
        <v>4.0081760459368543E-6</v>
      </c>
      <c r="S192" s="24">
        <v>1</v>
      </c>
      <c r="T192" s="24">
        <f t="shared" si="45"/>
        <v>4.0081760459368543E-6</v>
      </c>
      <c r="U192" s="27">
        <f t="shared" si="46"/>
        <v>2.0020429680545956E-3</v>
      </c>
      <c r="V192" s="96"/>
    </row>
    <row r="193" spans="1:22" x14ac:dyDescent="0.2">
      <c r="A193" s="117" t="s">
        <v>305</v>
      </c>
      <c r="B193" s="118" t="s">
        <v>53</v>
      </c>
      <c r="C193" s="117">
        <v>56390.610950000002</v>
      </c>
      <c r="D193" s="117">
        <v>7.2000000000000005E-4</v>
      </c>
      <c r="E193" s="98">
        <f t="shared" si="49"/>
        <v>9401.9901274419317</v>
      </c>
      <c r="F193" s="24">
        <f t="shared" si="50"/>
        <v>9402</v>
      </c>
      <c r="G193" s="27">
        <f t="shared" si="44"/>
        <v>-3.4560659987619147E-3</v>
      </c>
      <c r="H193" s="27"/>
      <c r="I193" s="27"/>
      <c r="J193" s="27"/>
      <c r="K193" s="27">
        <f t="shared" si="48"/>
        <v>-3.4560659987619147E-3</v>
      </c>
      <c r="L193" s="27"/>
      <c r="M193" s="27"/>
      <c r="O193" s="27">
        <f t="shared" ca="1" si="54"/>
        <v>-1.9235292689800294E-3</v>
      </c>
      <c r="P193" s="27">
        <f t="shared" si="51"/>
        <v>-2.0541687223312793E-3</v>
      </c>
      <c r="Q193" s="28">
        <f t="shared" si="52"/>
        <v>41372.110950000002</v>
      </c>
      <c r="R193" s="24">
        <f t="shared" si="53"/>
        <v>1.9653159736636332E-6</v>
      </c>
      <c r="S193" s="24">
        <v>1</v>
      </c>
      <c r="T193" s="24">
        <f t="shared" si="45"/>
        <v>1.9653159736636332E-6</v>
      </c>
      <c r="U193" s="27">
        <f t="shared" si="46"/>
        <v>-1.4018972764306354E-3</v>
      </c>
      <c r="V193" s="96"/>
    </row>
    <row r="194" spans="1:22" x14ac:dyDescent="0.2">
      <c r="A194" s="32" t="s">
        <v>204</v>
      </c>
      <c r="B194" s="77" t="s">
        <v>53</v>
      </c>
      <c r="C194" s="32">
        <v>56408.4591</v>
      </c>
      <c r="D194" s="32">
        <v>1.4E-3</v>
      </c>
      <c r="E194" s="98">
        <f t="shared" si="49"/>
        <v>9452.9749458657261</v>
      </c>
      <c r="F194" s="24">
        <f t="shared" si="50"/>
        <v>9453</v>
      </c>
      <c r="G194" s="27">
        <f t="shared" si="44"/>
        <v>-8.7706490012351424E-3</v>
      </c>
      <c r="H194" s="27"/>
      <c r="I194" s="27"/>
      <c r="J194" s="27"/>
      <c r="K194" s="27">
        <f t="shared" si="48"/>
        <v>-8.7706490012351424E-3</v>
      </c>
      <c r="L194" s="27"/>
      <c r="M194" s="27"/>
      <c r="O194" s="27">
        <f t="shared" ca="1" si="54"/>
        <v>-1.8900725873658647E-3</v>
      </c>
      <c r="P194" s="27">
        <f t="shared" si="51"/>
        <v>-2.0568001057377425E-3</v>
      </c>
      <c r="Q194" s="28">
        <f t="shared" si="52"/>
        <v>41389.9591</v>
      </c>
      <c r="R194" s="24">
        <f t="shared" si="53"/>
        <v>4.5075766991571659E-5</v>
      </c>
      <c r="S194" s="24">
        <v>1</v>
      </c>
      <c r="T194" s="24">
        <f t="shared" si="45"/>
        <v>4.5075766991571659E-5</v>
      </c>
      <c r="U194" s="27">
        <f t="shared" si="46"/>
        <v>-6.7138488954973999E-3</v>
      </c>
      <c r="V194" s="96"/>
    </row>
    <row r="195" spans="1:22" x14ac:dyDescent="0.2">
      <c r="A195" s="117" t="s">
        <v>305</v>
      </c>
      <c r="B195" s="118" t="s">
        <v>53</v>
      </c>
      <c r="C195" s="117">
        <v>56650.712070000001</v>
      </c>
      <c r="D195" s="117">
        <v>2.5999999999999998E-4</v>
      </c>
      <c r="E195" s="98">
        <f t="shared" si="49"/>
        <v>10144.991972172451</v>
      </c>
      <c r="F195" s="24">
        <f t="shared" si="50"/>
        <v>10145</v>
      </c>
      <c r="G195" s="27">
        <f t="shared" si="44"/>
        <v>-2.8102849973947741E-3</v>
      </c>
      <c r="H195" s="27"/>
      <c r="I195" s="27"/>
      <c r="J195" s="27"/>
      <c r="K195" s="27">
        <f t="shared" si="48"/>
        <v>-2.8102849973947741E-3</v>
      </c>
      <c r="L195" s="27"/>
      <c r="M195" s="27"/>
      <c r="O195" s="27">
        <f t="shared" ca="1" si="54"/>
        <v>-1.4361113387971981E-3</v>
      </c>
      <c r="P195" s="27">
        <f t="shared" si="51"/>
        <v>-2.08342671142836E-3</v>
      </c>
      <c r="Q195" s="28">
        <f t="shared" si="52"/>
        <v>41632.212070000001</v>
      </c>
      <c r="R195" s="24">
        <f t="shared" si="53"/>
        <v>5.2832296787803348E-7</v>
      </c>
      <c r="S195" s="24">
        <v>1</v>
      </c>
      <c r="T195" s="24">
        <f t="shared" si="45"/>
        <v>5.2832296787803348E-7</v>
      </c>
      <c r="U195" s="27">
        <f t="shared" si="46"/>
        <v>-7.2685828596641411E-4</v>
      </c>
      <c r="V195" s="96"/>
    </row>
    <row r="196" spans="1:22" x14ac:dyDescent="0.2">
      <c r="A196" s="117" t="s">
        <v>305</v>
      </c>
      <c r="B196" s="118" t="s">
        <v>53</v>
      </c>
      <c r="C196" s="117">
        <v>56656.652990000002</v>
      </c>
      <c r="D196" s="117">
        <v>3.5E-4</v>
      </c>
      <c r="E196" s="98">
        <f t="shared" si="49"/>
        <v>10161.962735387146</v>
      </c>
      <c r="F196" s="24">
        <f t="shared" si="50"/>
        <v>10162</v>
      </c>
      <c r="G196" s="27">
        <f t="shared" si="44"/>
        <v>-1.304514599905815E-2</v>
      </c>
      <c r="H196" s="27"/>
      <c r="I196" s="27"/>
      <c r="J196" s="27"/>
      <c r="K196" s="27">
        <f t="shared" si="48"/>
        <v>-1.304514599905815E-2</v>
      </c>
      <c r="L196" s="27"/>
      <c r="M196" s="27"/>
      <c r="O196" s="27">
        <f t="shared" ca="1" si="54"/>
        <v>-1.4249591115924765E-3</v>
      </c>
      <c r="P196" s="27">
        <f t="shared" si="51"/>
        <v>-2.0838680321083707E-3</v>
      </c>
      <c r="Q196" s="28">
        <f t="shared" si="52"/>
        <v>41638.152990000002</v>
      </c>
      <c r="R196" s="24">
        <f t="shared" si="53"/>
        <v>1.2014961466873868E-4</v>
      </c>
      <c r="S196" s="24">
        <v>1</v>
      </c>
      <c r="T196" s="24">
        <f t="shared" si="45"/>
        <v>1.2014961466873868E-4</v>
      </c>
      <c r="U196" s="27">
        <f t="shared" si="46"/>
        <v>-1.0961277966949779E-2</v>
      </c>
      <c r="V196" s="96"/>
    </row>
    <row r="197" spans="1:22" x14ac:dyDescent="0.2">
      <c r="A197" s="117" t="s">
        <v>305</v>
      </c>
      <c r="B197" s="118" t="s">
        <v>53</v>
      </c>
      <c r="C197" s="117">
        <v>56754.339269999997</v>
      </c>
      <c r="D197" s="117">
        <v>1.9000000000000001E-4</v>
      </c>
      <c r="E197" s="98">
        <f t="shared" si="49"/>
        <v>10441.012230617531</v>
      </c>
      <c r="F197" s="24">
        <f t="shared" si="50"/>
        <v>10441</v>
      </c>
      <c r="G197" s="27">
        <f t="shared" si="44"/>
        <v>4.2815470005734824E-3</v>
      </c>
      <c r="H197" s="27"/>
      <c r="I197" s="27"/>
      <c r="J197" s="27"/>
      <c r="K197" s="27">
        <f t="shared" si="48"/>
        <v>4.2815470005734824E-3</v>
      </c>
      <c r="L197" s="27"/>
      <c r="M197" s="27"/>
      <c r="O197" s="27">
        <f t="shared" ca="1" si="54"/>
        <v>-1.241931382762046E-3</v>
      </c>
      <c r="P197" s="27">
        <f t="shared" si="51"/>
        <v>-2.089652825604674E-3</v>
      </c>
      <c r="Q197" s="28">
        <f t="shared" si="52"/>
        <v>41735.839269999997</v>
      </c>
      <c r="R197" s="24">
        <f t="shared" si="53"/>
        <v>4.0592187225092574E-5</v>
      </c>
      <c r="S197" s="24">
        <v>1</v>
      </c>
      <c r="T197" s="24">
        <f t="shared" si="45"/>
        <v>4.0592187225092574E-5</v>
      </c>
      <c r="U197" s="27">
        <f t="shared" si="46"/>
        <v>6.3711998261781564E-3</v>
      </c>
      <c r="V197" s="96"/>
    </row>
    <row r="198" spans="1:22" x14ac:dyDescent="0.2">
      <c r="A198" s="117" t="s">
        <v>305</v>
      </c>
      <c r="B198" s="118" t="s">
        <v>48</v>
      </c>
      <c r="C198" s="117">
        <v>56754.50548</v>
      </c>
      <c r="D198" s="117">
        <v>1.8000000000000001E-4</v>
      </c>
      <c r="E198" s="98">
        <f t="shared" si="49"/>
        <v>10441.48702417711</v>
      </c>
      <c r="F198" s="24">
        <f t="shared" si="50"/>
        <v>10441.5</v>
      </c>
      <c r="G198" s="27">
        <f t="shared" si="44"/>
        <v>-4.5424194977385923E-3</v>
      </c>
      <c r="H198" s="27"/>
      <c r="I198" s="27"/>
      <c r="J198" s="27"/>
      <c r="K198" s="27">
        <f t="shared" si="48"/>
        <v>-4.5424194977385923E-3</v>
      </c>
      <c r="L198" s="27"/>
      <c r="M198" s="27"/>
      <c r="O198" s="27">
        <f t="shared" ca="1" si="54"/>
        <v>-1.2416033760795538E-3</v>
      </c>
      <c r="P198" s="27">
        <f t="shared" si="51"/>
        <v>-2.089660725269003E-3</v>
      </c>
      <c r="Q198" s="28">
        <f t="shared" si="52"/>
        <v>41736.00548</v>
      </c>
      <c r="R198" s="24">
        <f t="shared" si="53"/>
        <v>6.0160255959265264E-6</v>
      </c>
      <c r="S198" s="24">
        <v>1</v>
      </c>
      <c r="T198" s="24">
        <f t="shared" si="45"/>
        <v>6.0160255959265264E-6</v>
      </c>
      <c r="U198" s="27">
        <f t="shared" si="46"/>
        <v>-2.4527587724695894E-3</v>
      </c>
      <c r="V198" s="96"/>
    </row>
    <row r="199" spans="1:22" x14ac:dyDescent="0.2">
      <c r="A199" s="80" t="s">
        <v>780</v>
      </c>
      <c r="B199" s="36"/>
      <c r="C199" s="159">
        <v>57463.920100000003</v>
      </c>
      <c r="D199" s="159">
        <v>2.9999999999999997E-4</v>
      </c>
      <c r="E199" s="98">
        <f>+(C199-C$7)/C$8</f>
        <v>12467.992605309566</v>
      </c>
      <c r="F199" s="24">
        <f t="shared" si="50"/>
        <v>12468</v>
      </c>
      <c r="G199" s="27">
        <f>+C199-(C$7+F199*C$8)</f>
        <v>-2.5886439980240539E-3</v>
      </c>
      <c r="H199" s="27"/>
      <c r="I199" s="27"/>
      <c r="J199" s="27"/>
      <c r="K199" s="27">
        <f>+G199</f>
        <v>-2.5886439980240539E-3</v>
      </c>
      <c r="L199" s="27"/>
      <c r="M199" s="27"/>
      <c r="O199" s="27">
        <f ca="1">+C$11+C$12*$F199</f>
        <v>8.780770805975717E-5</v>
      </c>
      <c r="P199" s="27">
        <f>+D$11+D$12*F199+D$13*F199^2</f>
        <v>-2.049154500110271E-3</v>
      </c>
      <c r="Q199" s="28">
        <f>+C199-15018.5</f>
        <v>42445.420100000003</v>
      </c>
      <c r="R199" s="24">
        <f>+(P199-G199)^2</f>
        <v>2.9104891835926553E-7</v>
      </c>
      <c r="S199" s="24">
        <v>1</v>
      </c>
      <c r="T199" s="24">
        <f>+S199*R199</f>
        <v>2.9104891835926553E-7</v>
      </c>
      <c r="U199" s="27">
        <f>+G199-P199</f>
        <v>-5.3948949791378289E-4</v>
      </c>
      <c r="V199" s="96"/>
    </row>
    <row r="200" spans="1:22" x14ac:dyDescent="0.2">
      <c r="A200" s="160" t="s">
        <v>0</v>
      </c>
      <c r="B200" s="161" t="s">
        <v>53</v>
      </c>
      <c r="C200" s="160">
        <v>57532.184300000001</v>
      </c>
      <c r="D200" s="160" t="s">
        <v>171</v>
      </c>
      <c r="E200" s="98">
        <f>+(C200-C$7)/C$8</f>
        <v>12662.995327823992</v>
      </c>
      <c r="F200" s="24">
        <f t="shared" si="50"/>
        <v>12663</v>
      </c>
      <c r="G200" s="27">
        <f>+C200-(C$7+F200*C$8)</f>
        <v>-1.635578999412246E-3</v>
      </c>
      <c r="H200" s="27"/>
      <c r="I200" s="27"/>
      <c r="J200" s="27"/>
      <c r="K200" s="27">
        <f>+G200</f>
        <v>-1.635578999412246E-3</v>
      </c>
      <c r="L200" s="27"/>
      <c r="M200" s="27"/>
      <c r="O200" s="27">
        <f ca="1">+C$11+C$12*$F200</f>
        <v>2.1573031423156343E-4</v>
      </c>
      <c r="P200" s="27">
        <f>+D$11+D$12*F200+D$13*F200^2</f>
        <v>-2.0376085794199532E-3</v>
      </c>
      <c r="Q200" s="28">
        <f>+C200-15018.5</f>
        <v>42513.684300000001</v>
      </c>
      <c r="R200" s="24">
        <f>+(P200-G200)^2</f>
        <v>1.616277832011734E-7</v>
      </c>
      <c r="S200" s="24">
        <v>1</v>
      </c>
      <c r="T200" s="24">
        <f>+S200*R200</f>
        <v>1.616277832011734E-7</v>
      </c>
      <c r="U200" s="27">
        <f>+G200-P200</f>
        <v>4.0202958000770716E-4</v>
      </c>
      <c r="V200" s="96"/>
    </row>
    <row r="201" spans="1:22" x14ac:dyDescent="0.2">
      <c r="A201" s="80" t="s">
        <v>781</v>
      </c>
      <c r="B201" s="36"/>
      <c r="C201" s="162">
        <v>58941.739600000001</v>
      </c>
      <c r="D201" s="37">
        <v>2.9999999999999997E-4</v>
      </c>
      <c r="E201" s="98">
        <f>+(C201-C$7)/C$8</f>
        <v>16689.514660573044</v>
      </c>
      <c r="F201" s="24">
        <f t="shared" si="50"/>
        <v>16689.5</v>
      </c>
      <c r="G201" s="27">
        <f>+C201-(C$7+F201*C$8)</f>
        <v>5.1321965001989156E-3</v>
      </c>
      <c r="H201" s="27"/>
      <c r="I201" s="27"/>
      <c r="J201" s="27"/>
      <c r="K201" s="27">
        <f>+G201</f>
        <v>5.1321965001989156E-3</v>
      </c>
      <c r="L201" s="27"/>
      <c r="M201" s="27"/>
      <c r="O201" s="27">
        <f ca="1">+C$11+C$12*$F201</f>
        <v>2.8571681283381199E-3</v>
      </c>
      <c r="P201" s="27">
        <f>+D$11+D$12*F201+D$13*F201^2</f>
        <v>-1.499095084044731E-3</v>
      </c>
      <c r="Q201" s="28">
        <f>+C201-15018.5</f>
        <v>43923.239600000001</v>
      </c>
      <c r="R201" s="24">
        <f>+(P201-G201)^2</f>
        <v>4.3974028075260611E-5</v>
      </c>
      <c r="S201" s="24">
        <v>1</v>
      </c>
      <c r="T201" s="24">
        <f>+S201*R201</f>
        <v>4.3974028075260611E-5</v>
      </c>
      <c r="U201" s="27">
        <f>+G201-P201</f>
        <v>6.6312915842436466E-3</v>
      </c>
      <c r="V201" s="96"/>
    </row>
    <row r="202" spans="1:22" x14ac:dyDescent="0.2">
      <c r="A202" s="165" t="s">
        <v>782</v>
      </c>
      <c r="B202" s="166" t="s">
        <v>53</v>
      </c>
      <c r="C202" s="171">
        <v>59267.476999999955</v>
      </c>
      <c r="D202" s="170">
        <v>1E-3</v>
      </c>
      <c r="E202" s="98">
        <f t="shared" ref="E202:E203" si="55">+(C202-C$7)/C$8</f>
        <v>17620.012342004364</v>
      </c>
      <c r="F202" s="24">
        <f t="shared" ref="F202:F203" si="56">ROUND(2*E202,0)/2</f>
        <v>17620</v>
      </c>
      <c r="G202" s="27">
        <f t="shared" ref="G202:G203" si="57">+C202-(C$7+F202*C$8)</f>
        <v>4.3205399560974911E-3</v>
      </c>
      <c r="H202" s="27"/>
      <c r="I202" s="27"/>
      <c r="J202" s="27"/>
      <c r="K202" s="27">
        <f t="shared" ref="K202:K203" si="58">+G202</f>
        <v>4.3205399560974911E-3</v>
      </c>
      <c r="L202" s="27"/>
      <c r="M202" s="27"/>
      <c r="O202" s="27">
        <f t="shared" ref="O202:O203" ca="1" si="59">+C$11+C$12*$F202</f>
        <v>3.4675885644553806E-3</v>
      </c>
      <c r="P202" s="27">
        <f t="shared" ref="P202:P203" si="60">+D$11+D$12*F202+D$13*F202^2</f>
        <v>-1.2932122861104333E-3</v>
      </c>
      <c r="Q202" s="28">
        <f t="shared" ref="Q202:Q203" si="61">+C202-15018.5</f>
        <v>44248.976999999955</v>
      </c>
      <c r="R202" s="24">
        <f t="shared" ref="R202:R203" si="62">+(P202-G202)^2</f>
        <v>3.1514214236894497E-5</v>
      </c>
      <c r="S202" s="24">
        <v>1</v>
      </c>
      <c r="T202" s="24">
        <f t="shared" ref="T202:T203" si="63">+S202*R202</f>
        <v>3.1514214236894497E-5</v>
      </c>
      <c r="U202" s="27">
        <f t="shared" ref="U202:U203" si="64">+G202-P202</f>
        <v>5.6137522422079244E-3</v>
      </c>
      <c r="V202" s="96"/>
    </row>
    <row r="203" spans="1:22" x14ac:dyDescent="0.2">
      <c r="A203" s="165" t="s">
        <v>783</v>
      </c>
      <c r="B203" s="166" t="s">
        <v>48</v>
      </c>
      <c r="C203" s="171">
        <v>59636.447399999997</v>
      </c>
      <c r="D203" s="170">
        <v>2.0000000000000001E-4</v>
      </c>
      <c r="E203" s="98">
        <f t="shared" si="55"/>
        <v>18674.008910150587</v>
      </c>
      <c r="F203" s="24">
        <f t="shared" si="56"/>
        <v>18674</v>
      </c>
      <c r="G203" s="27">
        <f t="shared" si="57"/>
        <v>3.1191579982987605E-3</v>
      </c>
      <c r="H203" s="27"/>
      <c r="I203" s="27"/>
      <c r="J203" s="27"/>
      <c r="K203" s="27">
        <f t="shared" si="58"/>
        <v>3.1191579982987605E-3</v>
      </c>
      <c r="L203" s="27"/>
      <c r="M203" s="27"/>
      <c r="O203" s="27">
        <f t="shared" ca="1" si="59"/>
        <v>4.1590266511481195E-3</v>
      </c>
      <c r="P203" s="27">
        <f t="shared" si="60"/>
        <v>-1.0230745783082534E-3</v>
      </c>
      <c r="Q203" s="28">
        <f t="shared" si="61"/>
        <v>44617.947399999997</v>
      </c>
      <c r="R203" s="24">
        <f t="shared" si="62"/>
        <v>1.7158090718704383E-5</v>
      </c>
      <c r="S203" s="24">
        <v>1</v>
      </c>
      <c r="T203" s="24">
        <f t="shared" si="63"/>
        <v>1.7158090718704383E-5</v>
      </c>
      <c r="U203" s="27">
        <f t="shared" si="64"/>
        <v>4.1422325766070139E-3</v>
      </c>
      <c r="V203" s="96"/>
    </row>
    <row r="204" spans="1:22" x14ac:dyDescent="0.2">
      <c r="A204" s="168" t="s">
        <v>784</v>
      </c>
      <c r="B204" s="169" t="s">
        <v>53</v>
      </c>
      <c r="C204" s="170">
        <v>60125.497300000003</v>
      </c>
      <c r="D204" s="170">
        <v>1E-4</v>
      </c>
      <c r="E204" s="98">
        <f t="shared" ref="E204" si="65">+(C204-C$7)/C$8</f>
        <v>20071.023186233982</v>
      </c>
      <c r="F204" s="24">
        <f t="shared" ref="F204" si="66">ROUND(2*E204,0)/2</f>
        <v>20071</v>
      </c>
      <c r="G204" s="27">
        <f t="shared" ref="G204" si="67">+C204-(C$7+F204*C$8)</f>
        <v>8.1167570024263114E-3</v>
      </c>
      <c r="H204" s="27"/>
      <c r="I204" s="27"/>
      <c r="J204" s="27"/>
      <c r="K204" s="27">
        <f t="shared" ref="K204" si="68">+G204</f>
        <v>8.1167570024263114E-3</v>
      </c>
      <c r="L204" s="27"/>
      <c r="M204" s="27"/>
      <c r="O204" s="27">
        <f t="shared" ref="O204" ca="1" si="69">+C$11+C$12*$F204</f>
        <v>5.0754773220302411E-3</v>
      </c>
      <c r="P204" s="27">
        <f t="shared" ref="P204" si="70">+D$11+D$12*F204+D$13*F204^2</f>
        <v>-6.0457369171286642E-4</v>
      </c>
      <c r="Q204" s="28">
        <f t="shared" ref="Q204" si="71">+C204-15018.5</f>
        <v>45106.997300000003</v>
      </c>
      <c r="R204" s="24">
        <f t="shared" ref="R204" si="72">+(P204-G204)^2</f>
        <v>7.6061609076534151E-5</v>
      </c>
      <c r="S204" s="24">
        <v>1</v>
      </c>
      <c r="T204" s="24">
        <f t="shared" ref="T204" si="73">+S204*R204</f>
        <v>7.6061609076534151E-5</v>
      </c>
      <c r="U204" s="27">
        <f t="shared" ref="U204" si="74">+G204-P204</f>
        <v>8.7213306941391778E-3</v>
      </c>
      <c r="V204" s="96"/>
    </row>
    <row r="205" spans="1:22" x14ac:dyDescent="0.2">
      <c r="A205" s="36"/>
      <c r="B205" s="36"/>
      <c r="C205" s="32"/>
      <c r="D205" s="32"/>
      <c r="O205" s="12"/>
      <c r="T205" s="24"/>
      <c r="V205" s="96"/>
    </row>
    <row r="206" spans="1:22" x14ac:dyDescent="0.2">
      <c r="A206" s="36"/>
      <c r="B206" s="36"/>
      <c r="C206" s="32"/>
      <c r="D206" s="32"/>
      <c r="O206" s="12"/>
      <c r="T206" s="24"/>
      <c r="V206" s="96"/>
    </row>
    <row r="207" spans="1:22" x14ac:dyDescent="0.2">
      <c r="A207" s="36"/>
      <c r="B207" s="36"/>
      <c r="C207" s="32"/>
      <c r="D207" s="32"/>
      <c r="O207" s="12"/>
      <c r="T207" s="24"/>
      <c r="V207" s="96"/>
    </row>
    <row r="208" spans="1:22" x14ac:dyDescent="0.2">
      <c r="A208" s="36"/>
      <c r="B208" s="36"/>
      <c r="C208" s="32"/>
      <c r="D208" s="32"/>
      <c r="O208" s="12"/>
      <c r="T208" s="24"/>
      <c r="V208" s="96"/>
    </row>
    <row r="209" spans="1:22" x14ac:dyDescent="0.2">
      <c r="A209" s="36"/>
      <c r="B209" s="36"/>
      <c r="C209" s="32"/>
      <c r="D209" s="32"/>
      <c r="O209" s="12"/>
      <c r="T209" s="24"/>
      <c r="V209" s="96"/>
    </row>
    <row r="210" spans="1:22" x14ac:dyDescent="0.2">
      <c r="A210" s="36"/>
      <c r="B210" s="36"/>
      <c r="C210" s="32"/>
      <c r="D210" s="32"/>
      <c r="O210" s="12"/>
      <c r="T210" s="24"/>
      <c r="V210" s="96"/>
    </row>
    <row r="211" spans="1:22" x14ac:dyDescent="0.2">
      <c r="A211" s="36"/>
      <c r="B211" s="36"/>
      <c r="C211" s="32"/>
      <c r="D211" s="32"/>
      <c r="O211" s="12"/>
      <c r="T211" s="24"/>
      <c r="V211" s="96"/>
    </row>
    <row r="212" spans="1:22" x14ac:dyDescent="0.2">
      <c r="O212" s="12"/>
      <c r="T212" s="24"/>
      <c r="V212" s="96"/>
    </row>
    <row r="213" spans="1:22" x14ac:dyDescent="0.2">
      <c r="O213" s="12"/>
      <c r="T213" s="24"/>
      <c r="V213" s="96"/>
    </row>
    <row r="214" spans="1:22" x14ac:dyDescent="0.2">
      <c r="O214" s="12"/>
      <c r="T214" s="24"/>
      <c r="V214" s="96"/>
    </row>
    <row r="215" spans="1:22" x14ac:dyDescent="0.2">
      <c r="O215" s="12"/>
      <c r="T215" s="24"/>
      <c r="V215" s="96"/>
    </row>
    <row r="216" spans="1:22" x14ac:dyDescent="0.2">
      <c r="O216" s="12"/>
      <c r="T216" s="24"/>
      <c r="V216" s="96"/>
    </row>
    <row r="217" spans="1:22" x14ac:dyDescent="0.2">
      <c r="O217" s="12"/>
      <c r="T217" s="24"/>
      <c r="V217" s="96"/>
    </row>
    <row r="218" spans="1:22" x14ac:dyDescent="0.2">
      <c r="O218" s="12"/>
      <c r="T218" s="24"/>
      <c r="V218" s="96"/>
    </row>
    <row r="219" spans="1:22" x14ac:dyDescent="0.2">
      <c r="O219" s="12"/>
      <c r="T219" s="24"/>
      <c r="V219" s="96"/>
    </row>
    <row r="220" spans="1:22" x14ac:dyDescent="0.2">
      <c r="O220" s="12"/>
      <c r="T220" s="24"/>
      <c r="V220" s="96"/>
    </row>
    <row r="221" spans="1:22" x14ac:dyDescent="0.2">
      <c r="O221" s="12"/>
      <c r="T221" s="24"/>
      <c r="V221" s="96"/>
    </row>
    <row r="222" spans="1:22" x14ac:dyDescent="0.2">
      <c r="O222" s="12"/>
      <c r="T222" s="24"/>
      <c r="V222" s="96"/>
    </row>
    <row r="223" spans="1:22" x14ac:dyDescent="0.2">
      <c r="O223" s="12"/>
      <c r="T223" s="24"/>
      <c r="V223" s="96"/>
    </row>
    <row r="224" spans="1:22" x14ac:dyDescent="0.2">
      <c r="O224" s="12"/>
      <c r="T224" s="24"/>
      <c r="V224" s="96"/>
    </row>
    <row r="225" spans="15:22" x14ac:dyDescent="0.2">
      <c r="O225" s="12"/>
      <c r="T225" s="24"/>
      <c r="V225" s="96"/>
    </row>
    <row r="226" spans="15:22" x14ac:dyDescent="0.2">
      <c r="O226" s="12"/>
      <c r="T226" s="24"/>
      <c r="V226" s="96"/>
    </row>
    <row r="227" spans="15:22" x14ac:dyDescent="0.2">
      <c r="O227" s="12"/>
      <c r="T227" s="24"/>
      <c r="V227" s="96"/>
    </row>
    <row r="228" spans="15:22" x14ac:dyDescent="0.2">
      <c r="O228" s="12"/>
      <c r="T228" s="24"/>
      <c r="V228" s="96"/>
    </row>
    <row r="229" spans="15:22" x14ac:dyDescent="0.2">
      <c r="O229" s="12"/>
      <c r="T229" s="24"/>
      <c r="V229" s="96"/>
    </row>
    <row r="230" spans="15:22" x14ac:dyDescent="0.2">
      <c r="O230" s="12"/>
      <c r="T230" s="24"/>
      <c r="V230" s="96"/>
    </row>
    <row r="231" spans="15:22" x14ac:dyDescent="0.2">
      <c r="O231" s="12"/>
      <c r="T231" s="24"/>
      <c r="V231" s="96"/>
    </row>
    <row r="232" spans="15:22" x14ac:dyDescent="0.2">
      <c r="O232" s="12"/>
      <c r="T232" s="24"/>
      <c r="V232" s="96"/>
    </row>
    <row r="233" spans="15:22" x14ac:dyDescent="0.2">
      <c r="O233" s="12"/>
      <c r="T233" s="24"/>
      <c r="V233" s="96"/>
    </row>
    <row r="234" spans="15:22" x14ac:dyDescent="0.2">
      <c r="O234" s="12"/>
      <c r="T234" s="24"/>
      <c r="V234" s="96"/>
    </row>
    <row r="235" spans="15:22" x14ac:dyDescent="0.2">
      <c r="O235" s="12"/>
      <c r="T235" s="24"/>
      <c r="V235" s="96"/>
    </row>
    <row r="236" spans="15:22" x14ac:dyDescent="0.2">
      <c r="O236" s="12"/>
      <c r="T236" s="24"/>
      <c r="V236" s="96"/>
    </row>
    <row r="237" spans="15:22" x14ac:dyDescent="0.2">
      <c r="O237" s="12"/>
      <c r="T237" s="24"/>
      <c r="V237" s="96"/>
    </row>
    <row r="238" spans="15:22" x14ac:dyDescent="0.2">
      <c r="O238" s="12"/>
      <c r="T238" s="24"/>
      <c r="V238" s="96"/>
    </row>
    <row r="239" spans="15:22" x14ac:dyDescent="0.2">
      <c r="O239" s="12"/>
      <c r="T239" s="24"/>
      <c r="V239" s="96"/>
    </row>
    <row r="240" spans="15:22" x14ac:dyDescent="0.2">
      <c r="O240" s="12"/>
      <c r="T240" s="24"/>
      <c r="V240" s="96"/>
    </row>
    <row r="241" spans="15:22" x14ac:dyDescent="0.2">
      <c r="O241" s="12"/>
      <c r="T241" s="24"/>
      <c r="V241" s="96"/>
    </row>
    <row r="242" spans="15:22" x14ac:dyDescent="0.2">
      <c r="O242" s="12"/>
      <c r="T242" s="24"/>
      <c r="V242" s="96"/>
    </row>
    <row r="243" spans="15:22" x14ac:dyDescent="0.2">
      <c r="O243" s="12"/>
      <c r="T243" s="24"/>
      <c r="V243" s="96"/>
    </row>
    <row r="244" spans="15:22" x14ac:dyDescent="0.2">
      <c r="O244" s="12"/>
      <c r="T244" s="24"/>
      <c r="V244" s="96"/>
    </row>
    <row r="245" spans="15:22" x14ac:dyDescent="0.2">
      <c r="O245" s="12"/>
      <c r="T245" s="24"/>
      <c r="V245" s="96"/>
    </row>
    <row r="246" spans="15:22" x14ac:dyDescent="0.2">
      <c r="O246" s="12"/>
      <c r="T246" s="24"/>
      <c r="V246" s="96"/>
    </row>
    <row r="247" spans="15:22" x14ac:dyDescent="0.2">
      <c r="O247" s="12"/>
      <c r="T247" s="24"/>
      <c r="V247" s="96"/>
    </row>
    <row r="248" spans="15:22" x14ac:dyDescent="0.2">
      <c r="O248" s="12"/>
      <c r="T248" s="24"/>
      <c r="V248" s="96"/>
    </row>
    <row r="249" spans="15:22" x14ac:dyDescent="0.2">
      <c r="O249" s="12"/>
      <c r="T249" s="24"/>
      <c r="V249" s="96"/>
    </row>
    <row r="250" spans="15:22" x14ac:dyDescent="0.2">
      <c r="O250" s="12"/>
      <c r="T250" s="24"/>
      <c r="V250" s="96"/>
    </row>
    <row r="251" spans="15:22" x14ac:dyDescent="0.2">
      <c r="O251" s="12"/>
      <c r="T251" s="24"/>
      <c r="V251" s="96"/>
    </row>
    <row r="252" spans="15:22" x14ac:dyDescent="0.2">
      <c r="O252" s="12"/>
      <c r="T252" s="24"/>
      <c r="V252" s="96"/>
    </row>
    <row r="253" spans="15:22" x14ac:dyDescent="0.2">
      <c r="O253" s="12"/>
      <c r="T253" s="24"/>
      <c r="V253" s="96"/>
    </row>
    <row r="254" spans="15:22" x14ac:dyDescent="0.2">
      <c r="O254" s="12"/>
      <c r="T254" s="24"/>
      <c r="V254" s="96"/>
    </row>
    <row r="255" spans="15:22" x14ac:dyDescent="0.2">
      <c r="O255" s="12"/>
      <c r="T255" s="24"/>
      <c r="V255" s="96"/>
    </row>
    <row r="256" spans="15:22" x14ac:dyDescent="0.2">
      <c r="O256" s="12"/>
      <c r="T256" s="24"/>
      <c r="V256" s="96"/>
    </row>
    <row r="257" spans="15:22" x14ac:dyDescent="0.2">
      <c r="O257" s="12"/>
      <c r="T257" s="24"/>
      <c r="V257" s="96"/>
    </row>
    <row r="258" spans="15:22" x14ac:dyDescent="0.2">
      <c r="O258" s="12"/>
      <c r="T258" s="24"/>
      <c r="V258" s="96"/>
    </row>
    <row r="259" spans="15:22" x14ac:dyDescent="0.2">
      <c r="O259" s="12"/>
      <c r="T259" s="24"/>
      <c r="V259" s="96"/>
    </row>
    <row r="260" spans="15:22" x14ac:dyDescent="0.2">
      <c r="O260" s="12"/>
      <c r="T260" s="24"/>
      <c r="V260" s="96"/>
    </row>
    <row r="261" spans="15:22" x14ac:dyDescent="0.2">
      <c r="O261" s="12"/>
      <c r="T261" s="24"/>
      <c r="V261" s="96"/>
    </row>
    <row r="262" spans="15:22" x14ac:dyDescent="0.2">
      <c r="O262" s="12"/>
      <c r="T262" s="24"/>
      <c r="V262" s="96"/>
    </row>
    <row r="263" spans="15:22" x14ac:dyDescent="0.2">
      <c r="O263" s="12"/>
      <c r="T263" s="24"/>
      <c r="V263" s="96"/>
    </row>
    <row r="264" spans="15:22" x14ac:dyDescent="0.2">
      <c r="O264" s="12"/>
      <c r="T264" s="24"/>
      <c r="V264" s="96"/>
    </row>
    <row r="265" spans="15:22" x14ac:dyDescent="0.2">
      <c r="O265" s="12"/>
      <c r="T265" s="24"/>
      <c r="V265" s="96"/>
    </row>
    <row r="266" spans="15:22" x14ac:dyDescent="0.2">
      <c r="O266" s="12"/>
      <c r="T266" s="24"/>
      <c r="V266" s="96"/>
    </row>
    <row r="267" spans="15:22" x14ac:dyDescent="0.2">
      <c r="O267" s="12"/>
      <c r="T267" s="24"/>
      <c r="V267" s="96"/>
    </row>
    <row r="268" spans="15:22" x14ac:dyDescent="0.2">
      <c r="O268" s="12"/>
      <c r="T268" s="24"/>
      <c r="V268" s="96"/>
    </row>
    <row r="269" spans="15:22" x14ac:dyDescent="0.2">
      <c r="O269" s="12"/>
      <c r="T269" s="24"/>
      <c r="V269" s="96"/>
    </row>
    <row r="270" spans="15:22" x14ac:dyDescent="0.2">
      <c r="O270" s="12"/>
      <c r="T270" s="24"/>
      <c r="V270" s="96"/>
    </row>
    <row r="271" spans="15:22" x14ac:dyDescent="0.2">
      <c r="O271" s="12"/>
      <c r="T271" s="24"/>
      <c r="V271" s="96"/>
    </row>
    <row r="272" spans="15:22" x14ac:dyDescent="0.2">
      <c r="O272" s="12"/>
      <c r="T272" s="24"/>
      <c r="V272" s="96"/>
    </row>
    <row r="273" spans="15:22" x14ac:dyDescent="0.2">
      <c r="O273" s="12"/>
      <c r="T273" s="24"/>
      <c r="V273" s="96"/>
    </row>
    <row r="274" spans="15:22" x14ac:dyDescent="0.2">
      <c r="O274" s="12"/>
      <c r="T274" s="24"/>
      <c r="V274" s="96"/>
    </row>
    <row r="275" spans="15:22" x14ac:dyDescent="0.2">
      <c r="O275" s="12"/>
      <c r="T275" s="24"/>
      <c r="V275" s="96"/>
    </row>
    <row r="276" spans="15:22" x14ac:dyDescent="0.2">
      <c r="O276" s="12"/>
      <c r="T276" s="24"/>
      <c r="V276" s="96"/>
    </row>
    <row r="277" spans="15:22" x14ac:dyDescent="0.2">
      <c r="O277" s="12"/>
      <c r="T277" s="24"/>
      <c r="V277" s="96"/>
    </row>
    <row r="278" spans="15:22" x14ac:dyDescent="0.2">
      <c r="O278" s="12"/>
      <c r="T278" s="24"/>
      <c r="V278" s="96"/>
    </row>
    <row r="279" spans="15:22" x14ac:dyDescent="0.2">
      <c r="O279" s="12"/>
      <c r="T279" s="24"/>
      <c r="V279" s="96"/>
    </row>
    <row r="280" spans="15:22" x14ac:dyDescent="0.2">
      <c r="O280" s="12"/>
      <c r="T280" s="24"/>
      <c r="V280" s="96"/>
    </row>
    <row r="281" spans="15:22" x14ac:dyDescent="0.2">
      <c r="O281" s="12"/>
      <c r="T281" s="24"/>
      <c r="V281" s="96"/>
    </row>
    <row r="282" spans="15:22" x14ac:dyDescent="0.2">
      <c r="O282" s="12"/>
      <c r="T282" s="24"/>
      <c r="V282" s="96"/>
    </row>
    <row r="283" spans="15:22" x14ac:dyDescent="0.2">
      <c r="O283" s="12"/>
      <c r="V283" s="96"/>
    </row>
    <row r="284" spans="15:22" x14ac:dyDescent="0.2">
      <c r="O284" s="12"/>
      <c r="V284" s="96"/>
    </row>
    <row r="285" spans="15:22" x14ac:dyDescent="0.2">
      <c r="O285" s="12"/>
      <c r="V285" s="96"/>
    </row>
    <row r="286" spans="15:22" x14ac:dyDescent="0.2">
      <c r="O286" s="12"/>
      <c r="V286" s="96"/>
    </row>
    <row r="287" spans="15:22" x14ac:dyDescent="0.2">
      <c r="O287" s="12"/>
      <c r="V287" s="96"/>
    </row>
    <row r="288" spans="15:22" x14ac:dyDescent="0.2">
      <c r="O288" s="12"/>
      <c r="V288" s="96"/>
    </row>
    <row r="289" spans="15:22" x14ac:dyDescent="0.2">
      <c r="O289" s="12"/>
      <c r="V289" s="96"/>
    </row>
    <row r="290" spans="15:22" x14ac:dyDescent="0.2">
      <c r="O290" s="12"/>
      <c r="V290" s="96"/>
    </row>
    <row r="291" spans="15:22" x14ac:dyDescent="0.2">
      <c r="O291" s="12"/>
      <c r="V291" s="96"/>
    </row>
    <row r="292" spans="15:22" x14ac:dyDescent="0.2">
      <c r="O292" s="12"/>
      <c r="V292" s="96"/>
    </row>
    <row r="293" spans="15:22" x14ac:dyDescent="0.2">
      <c r="O293" s="12"/>
      <c r="V293" s="96"/>
    </row>
    <row r="294" spans="15:22" x14ac:dyDescent="0.2">
      <c r="O294" s="12"/>
      <c r="V294" s="96"/>
    </row>
    <row r="295" spans="15:22" x14ac:dyDescent="0.2">
      <c r="O295" s="12"/>
      <c r="V295" s="96"/>
    </row>
    <row r="296" spans="15:22" x14ac:dyDescent="0.2">
      <c r="O296" s="12"/>
      <c r="V296" s="96"/>
    </row>
    <row r="297" spans="15:22" x14ac:dyDescent="0.2">
      <c r="O297" s="12"/>
      <c r="V297" s="96"/>
    </row>
    <row r="298" spans="15:22" x14ac:dyDescent="0.2">
      <c r="O298" s="12"/>
      <c r="V298" s="96"/>
    </row>
    <row r="299" spans="15:22" x14ac:dyDescent="0.2">
      <c r="O299" s="12"/>
      <c r="V299" s="96"/>
    </row>
    <row r="300" spans="15:22" x14ac:dyDescent="0.2">
      <c r="O300" s="12"/>
      <c r="V300" s="96"/>
    </row>
    <row r="301" spans="15:22" x14ac:dyDescent="0.2">
      <c r="O301" s="12"/>
      <c r="V301" s="96"/>
    </row>
    <row r="302" spans="15:22" x14ac:dyDescent="0.2">
      <c r="O302" s="12"/>
      <c r="V302" s="96"/>
    </row>
    <row r="303" spans="15:22" x14ac:dyDescent="0.2">
      <c r="O303" s="12"/>
      <c r="V303" s="96"/>
    </row>
    <row r="304" spans="15:22" x14ac:dyDescent="0.2">
      <c r="O304" s="12"/>
      <c r="V304" s="96"/>
    </row>
    <row r="305" spans="15:22" x14ac:dyDescent="0.2">
      <c r="O305" s="12"/>
      <c r="V305" s="96"/>
    </row>
    <row r="306" spans="15:22" x14ac:dyDescent="0.2">
      <c r="O306" s="12"/>
      <c r="V306" s="96"/>
    </row>
    <row r="307" spans="15:22" x14ac:dyDescent="0.2">
      <c r="O307" s="12"/>
      <c r="V307" s="96"/>
    </row>
    <row r="308" spans="15:22" x14ac:dyDescent="0.2">
      <c r="O308" s="12"/>
      <c r="V308" s="96"/>
    </row>
    <row r="309" spans="15:22" x14ac:dyDescent="0.2">
      <c r="O309" s="12"/>
      <c r="V309" s="96"/>
    </row>
    <row r="310" spans="15:22" x14ac:dyDescent="0.2">
      <c r="O310" s="12"/>
      <c r="V310" s="96"/>
    </row>
    <row r="311" spans="15:22" x14ac:dyDescent="0.2">
      <c r="O311" s="12"/>
      <c r="V311" s="96"/>
    </row>
    <row r="312" spans="15:22" x14ac:dyDescent="0.2">
      <c r="O312" s="12"/>
      <c r="V312" s="96"/>
    </row>
    <row r="313" spans="15:22" x14ac:dyDescent="0.2">
      <c r="O313" s="12"/>
      <c r="V313" s="96"/>
    </row>
    <row r="314" spans="15:22" x14ac:dyDescent="0.2">
      <c r="O314" s="12"/>
      <c r="V314" s="96"/>
    </row>
    <row r="315" spans="15:22" x14ac:dyDescent="0.2">
      <c r="O315" s="12"/>
      <c r="V315" s="96"/>
    </row>
    <row r="316" spans="15:22" x14ac:dyDescent="0.2">
      <c r="O316" s="12"/>
      <c r="V316" s="96"/>
    </row>
    <row r="317" spans="15:22" x14ac:dyDescent="0.2">
      <c r="O317" s="12"/>
      <c r="V317" s="96"/>
    </row>
    <row r="318" spans="15:22" x14ac:dyDescent="0.2">
      <c r="O318" s="12"/>
      <c r="V318" s="96"/>
    </row>
    <row r="319" spans="15:22" x14ac:dyDescent="0.2">
      <c r="O319" s="12"/>
      <c r="V319" s="96"/>
    </row>
    <row r="320" spans="15:22" x14ac:dyDescent="0.2">
      <c r="O320" s="12"/>
      <c r="V320" s="96"/>
    </row>
    <row r="321" spans="15:22" x14ac:dyDescent="0.2">
      <c r="O321" s="12"/>
      <c r="V321" s="96"/>
    </row>
    <row r="322" spans="15:22" x14ac:dyDescent="0.2">
      <c r="O322" s="12"/>
      <c r="V322" s="96"/>
    </row>
    <row r="323" spans="15:22" x14ac:dyDescent="0.2">
      <c r="O323" s="12"/>
      <c r="V323" s="96"/>
    </row>
    <row r="324" spans="15:22" x14ac:dyDescent="0.2">
      <c r="O324" s="12"/>
      <c r="V324" s="96"/>
    </row>
    <row r="325" spans="15:22" x14ac:dyDescent="0.2">
      <c r="O325" s="12"/>
      <c r="V325" s="96"/>
    </row>
    <row r="326" spans="15:22" x14ac:dyDescent="0.2">
      <c r="O326" s="12"/>
      <c r="V326" s="96"/>
    </row>
    <row r="327" spans="15:22" x14ac:dyDescent="0.2">
      <c r="O327" s="12"/>
      <c r="V327" s="96"/>
    </row>
    <row r="328" spans="15:22" x14ac:dyDescent="0.2">
      <c r="O328" s="12"/>
      <c r="V328" s="96"/>
    </row>
    <row r="329" spans="15:22" x14ac:dyDescent="0.2">
      <c r="O329" s="12"/>
      <c r="V329" s="96"/>
    </row>
    <row r="330" spans="15:22" x14ac:dyDescent="0.2">
      <c r="O330" s="12"/>
      <c r="V330" s="96"/>
    </row>
    <row r="331" spans="15:22" x14ac:dyDescent="0.2">
      <c r="O331" s="12"/>
      <c r="V331" s="96"/>
    </row>
    <row r="332" spans="15:22" x14ac:dyDescent="0.2">
      <c r="O332" s="12"/>
      <c r="V332" s="96"/>
    </row>
    <row r="333" spans="15:22" x14ac:dyDescent="0.2">
      <c r="O333" s="12"/>
      <c r="V333" s="96"/>
    </row>
    <row r="334" spans="15:22" x14ac:dyDescent="0.2">
      <c r="O334" s="12"/>
      <c r="V334" s="96"/>
    </row>
    <row r="335" spans="15:22" x14ac:dyDescent="0.2">
      <c r="O335" s="12"/>
      <c r="V335" s="96"/>
    </row>
    <row r="336" spans="15:22" x14ac:dyDescent="0.2">
      <c r="O336" s="12"/>
      <c r="V336" s="96"/>
    </row>
    <row r="337" spans="15:22" x14ac:dyDescent="0.2">
      <c r="O337" s="12"/>
      <c r="V337" s="96"/>
    </row>
    <row r="338" spans="15:22" x14ac:dyDescent="0.2">
      <c r="O338" s="12"/>
      <c r="V338" s="96"/>
    </row>
    <row r="339" spans="15:22" x14ac:dyDescent="0.2">
      <c r="O339" s="12"/>
      <c r="V339" s="96"/>
    </row>
    <row r="340" spans="15:22" x14ac:dyDescent="0.2">
      <c r="O340" s="12"/>
      <c r="V340" s="96"/>
    </row>
    <row r="341" spans="15:22" x14ac:dyDescent="0.2">
      <c r="O341" s="12"/>
      <c r="V341" s="96"/>
    </row>
    <row r="342" spans="15:22" x14ac:dyDescent="0.2">
      <c r="O342" s="12"/>
      <c r="V342" s="96"/>
    </row>
    <row r="343" spans="15:22" x14ac:dyDescent="0.2">
      <c r="O343" s="12"/>
      <c r="V343" s="96"/>
    </row>
    <row r="344" spans="15:22" x14ac:dyDescent="0.2">
      <c r="O344" s="12"/>
      <c r="V344" s="96"/>
    </row>
    <row r="345" spans="15:22" x14ac:dyDescent="0.2">
      <c r="O345" s="12"/>
      <c r="V345" s="96"/>
    </row>
    <row r="346" spans="15:22" x14ac:dyDescent="0.2">
      <c r="O346" s="12"/>
      <c r="V346" s="96"/>
    </row>
    <row r="347" spans="15:22" x14ac:dyDescent="0.2">
      <c r="O347" s="12"/>
      <c r="V347" s="96"/>
    </row>
    <row r="348" spans="15:22" x14ac:dyDescent="0.2">
      <c r="O348" s="12"/>
      <c r="V348" s="96"/>
    </row>
    <row r="349" spans="15:22" x14ac:dyDescent="0.2">
      <c r="O349" s="12"/>
      <c r="V349" s="96"/>
    </row>
    <row r="350" spans="15:22" x14ac:dyDescent="0.2">
      <c r="O350" s="12"/>
      <c r="V350" s="96"/>
    </row>
    <row r="351" spans="15:22" x14ac:dyDescent="0.2">
      <c r="O351" s="12"/>
      <c r="V351" s="96"/>
    </row>
    <row r="352" spans="15:22" x14ac:dyDescent="0.2">
      <c r="O352" s="12"/>
      <c r="V352" s="96"/>
    </row>
    <row r="353" spans="15:22" x14ac:dyDescent="0.2">
      <c r="O353" s="12"/>
      <c r="V353" s="96"/>
    </row>
    <row r="354" spans="15:22" x14ac:dyDescent="0.2">
      <c r="O354" s="12"/>
      <c r="V354" s="96"/>
    </row>
    <row r="355" spans="15:22" x14ac:dyDescent="0.2">
      <c r="O355" s="12"/>
      <c r="V355" s="96"/>
    </row>
    <row r="356" spans="15:22" x14ac:dyDescent="0.2">
      <c r="O356" s="12"/>
      <c r="V356" s="96"/>
    </row>
    <row r="357" spans="15:22" x14ac:dyDescent="0.2">
      <c r="O357" s="12"/>
      <c r="V357" s="96"/>
    </row>
    <row r="358" spans="15:22" x14ac:dyDescent="0.2">
      <c r="O358" s="12"/>
      <c r="V358" s="96"/>
    </row>
    <row r="359" spans="15:22" x14ac:dyDescent="0.2">
      <c r="O359" s="12"/>
      <c r="V359" s="96"/>
    </row>
    <row r="360" spans="15:22" x14ac:dyDescent="0.2">
      <c r="O360" s="12"/>
      <c r="V360" s="96"/>
    </row>
    <row r="361" spans="15:22" x14ac:dyDescent="0.2">
      <c r="O361" s="12"/>
      <c r="V361" s="96"/>
    </row>
    <row r="362" spans="15:22" x14ac:dyDescent="0.2">
      <c r="O362" s="12"/>
      <c r="V362" s="96"/>
    </row>
    <row r="363" spans="15:22" x14ac:dyDescent="0.2">
      <c r="O363" s="12"/>
      <c r="V363" s="96"/>
    </row>
    <row r="364" spans="15:22" x14ac:dyDescent="0.2">
      <c r="O364" s="12"/>
      <c r="V364" s="96"/>
    </row>
    <row r="365" spans="15:22" x14ac:dyDescent="0.2">
      <c r="O365" s="12"/>
      <c r="V365" s="96"/>
    </row>
    <row r="366" spans="15:22" x14ac:dyDescent="0.2">
      <c r="O366" s="12"/>
      <c r="V366" s="96"/>
    </row>
    <row r="367" spans="15:22" x14ac:dyDescent="0.2">
      <c r="O367" s="12"/>
      <c r="V367" s="96"/>
    </row>
    <row r="368" spans="15:22" x14ac:dyDescent="0.2">
      <c r="O368" s="12"/>
      <c r="V368" s="96"/>
    </row>
    <row r="369" spans="15:22" x14ac:dyDescent="0.2">
      <c r="O369" s="12"/>
      <c r="V369" s="96"/>
    </row>
    <row r="370" spans="15:22" x14ac:dyDescent="0.2">
      <c r="O370" s="12"/>
      <c r="V370" s="96"/>
    </row>
    <row r="371" spans="15:22" x14ac:dyDescent="0.2">
      <c r="O371" s="12"/>
      <c r="V371" s="96"/>
    </row>
    <row r="372" spans="15:22" x14ac:dyDescent="0.2">
      <c r="O372" s="12"/>
      <c r="V372" s="96"/>
    </row>
    <row r="373" spans="15:22" x14ac:dyDescent="0.2">
      <c r="O373" s="12"/>
      <c r="V373" s="96"/>
    </row>
    <row r="374" spans="15:22" x14ac:dyDescent="0.2">
      <c r="O374" s="12"/>
      <c r="V374" s="96"/>
    </row>
    <row r="375" spans="15:22" x14ac:dyDescent="0.2">
      <c r="O375" s="12"/>
      <c r="V375" s="96"/>
    </row>
    <row r="376" spans="15:22" x14ac:dyDescent="0.2">
      <c r="O376" s="12"/>
      <c r="V376" s="96"/>
    </row>
    <row r="377" spans="15:22" x14ac:dyDescent="0.2">
      <c r="O377" s="12"/>
      <c r="V377" s="96"/>
    </row>
    <row r="378" spans="15:22" x14ac:dyDescent="0.2">
      <c r="O378" s="12"/>
      <c r="V378" s="96"/>
    </row>
    <row r="379" spans="15:22" x14ac:dyDescent="0.2">
      <c r="O379" s="12"/>
      <c r="V379" s="96"/>
    </row>
    <row r="380" spans="15:22" x14ac:dyDescent="0.2">
      <c r="O380" s="12"/>
      <c r="V380" s="96"/>
    </row>
    <row r="381" spans="15:22" x14ac:dyDescent="0.2">
      <c r="O381" s="12"/>
      <c r="V381" s="96"/>
    </row>
    <row r="382" spans="15:22" x14ac:dyDescent="0.2">
      <c r="O382" s="12"/>
      <c r="V382" s="96"/>
    </row>
    <row r="383" spans="15:22" x14ac:dyDescent="0.2">
      <c r="O383" s="12"/>
      <c r="V383" s="96"/>
    </row>
    <row r="384" spans="15:22" x14ac:dyDescent="0.2">
      <c r="O384" s="12"/>
      <c r="V384" s="96"/>
    </row>
    <row r="385" spans="15:22" x14ac:dyDescent="0.2">
      <c r="O385" s="12"/>
      <c r="V385" s="96"/>
    </row>
    <row r="386" spans="15:22" x14ac:dyDescent="0.2">
      <c r="O386" s="12"/>
      <c r="V386" s="96"/>
    </row>
    <row r="387" spans="15:22" x14ac:dyDescent="0.2">
      <c r="O387" s="12"/>
      <c r="V387" s="96"/>
    </row>
    <row r="388" spans="15:22" x14ac:dyDescent="0.2">
      <c r="O388" s="12"/>
      <c r="V388" s="96"/>
    </row>
    <row r="389" spans="15:22" x14ac:dyDescent="0.2">
      <c r="O389" s="12"/>
      <c r="V389" s="96"/>
    </row>
    <row r="390" spans="15:22" x14ac:dyDescent="0.2">
      <c r="O390" s="12"/>
      <c r="V390" s="96"/>
    </row>
    <row r="391" spans="15:22" x14ac:dyDescent="0.2">
      <c r="O391" s="12"/>
      <c r="V391" s="96"/>
    </row>
    <row r="392" spans="15:22" x14ac:dyDescent="0.2">
      <c r="O392" s="12"/>
      <c r="V392" s="96"/>
    </row>
    <row r="393" spans="15:22" x14ac:dyDescent="0.2">
      <c r="V393" s="96"/>
    </row>
    <row r="394" spans="15:22" x14ac:dyDescent="0.2">
      <c r="V394" s="96"/>
    </row>
    <row r="395" spans="15:22" x14ac:dyDescent="0.2">
      <c r="V395" s="96"/>
    </row>
    <row r="396" spans="15:22" x14ac:dyDescent="0.2">
      <c r="V396" s="96"/>
    </row>
    <row r="397" spans="15:22" x14ac:dyDescent="0.2">
      <c r="V397" s="96"/>
    </row>
    <row r="398" spans="15:22" x14ac:dyDescent="0.2">
      <c r="V398" s="96"/>
    </row>
    <row r="399" spans="15:22" x14ac:dyDescent="0.2">
      <c r="V399" s="96"/>
    </row>
    <row r="400" spans="15:22" x14ac:dyDescent="0.2">
      <c r="V400" s="96"/>
    </row>
    <row r="401" spans="22:22" x14ac:dyDescent="0.2">
      <c r="V401" s="96"/>
    </row>
    <row r="402" spans="22:22" x14ac:dyDescent="0.2">
      <c r="V402" s="96"/>
    </row>
    <row r="403" spans="22:22" x14ac:dyDescent="0.2">
      <c r="V403" s="96"/>
    </row>
    <row r="404" spans="22:22" x14ac:dyDescent="0.2">
      <c r="V404" s="96"/>
    </row>
    <row r="405" spans="22:22" x14ac:dyDescent="0.2">
      <c r="V405" s="96"/>
    </row>
    <row r="406" spans="22:22" x14ac:dyDescent="0.2">
      <c r="V406" s="96"/>
    </row>
    <row r="407" spans="22:22" x14ac:dyDescent="0.2">
      <c r="V407" s="96"/>
    </row>
    <row r="408" spans="22:22" x14ac:dyDescent="0.2">
      <c r="V408" s="96"/>
    </row>
    <row r="409" spans="22:22" x14ac:dyDescent="0.2">
      <c r="V409" s="96"/>
    </row>
    <row r="410" spans="22:22" x14ac:dyDescent="0.2">
      <c r="V410" s="96"/>
    </row>
    <row r="411" spans="22:22" x14ac:dyDescent="0.2">
      <c r="V411" s="96"/>
    </row>
    <row r="412" spans="22:22" x14ac:dyDescent="0.2">
      <c r="V412" s="96"/>
    </row>
    <row r="413" spans="22:22" x14ac:dyDescent="0.2">
      <c r="V413" s="96"/>
    </row>
    <row r="414" spans="22:22" x14ac:dyDescent="0.2">
      <c r="V414" s="96"/>
    </row>
    <row r="415" spans="22:22" x14ac:dyDescent="0.2">
      <c r="V415" s="96"/>
    </row>
    <row r="416" spans="22:22" x14ac:dyDescent="0.2">
      <c r="V416" s="96"/>
    </row>
    <row r="417" spans="22:22" x14ac:dyDescent="0.2">
      <c r="V417" s="96"/>
    </row>
    <row r="418" spans="22:22" x14ac:dyDescent="0.2">
      <c r="V418" s="96"/>
    </row>
    <row r="419" spans="22:22" x14ac:dyDescent="0.2">
      <c r="V419" s="96"/>
    </row>
    <row r="420" spans="22:22" x14ac:dyDescent="0.2">
      <c r="V420" s="96"/>
    </row>
    <row r="421" spans="22:22" x14ac:dyDescent="0.2">
      <c r="V421" s="96"/>
    </row>
    <row r="422" spans="22:22" x14ac:dyDescent="0.2">
      <c r="V422" s="96"/>
    </row>
    <row r="423" spans="22:22" x14ac:dyDescent="0.2">
      <c r="V423" s="96"/>
    </row>
    <row r="424" spans="22:22" x14ac:dyDescent="0.2">
      <c r="V424" s="96"/>
    </row>
    <row r="425" spans="22:22" x14ac:dyDescent="0.2">
      <c r="V425" s="96"/>
    </row>
    <row r="426" spans="22:22" x14ac:dyDescent="0.2">
      <c r="V426" s="96"/>
    </row>
    <row r="427" spans="22:22" x14ac:dyDescent="0.2">
      <c r="V427" s="96"/>
    </row>
    <row r="428" spans="22:22" x14ac:dyDescent="0.2">
      <c r="V428" s="96"/>
    </row>
    <row r="429" spans="22:22" x14ac:dyDescent="0.2">
      <c r="V429" s="96"/>
    </row>
    <row r="430" spans="22:22" x14ac:dyDescent="0.2">
      <c r="V430" s="96"/>
    </row>
    <row r="431" spans="22:22" x14ac:dyDescent="0.2">
      <c r="V431" s="96"/>
    </row>
    <row r="432" spans="22:22" x14ac:dyDescent="0.2">
      <c r="V432" s="96"/>
    </row>
    <row r="433" spans="22:22" x14ac:dyDescent="0.2">
      <c r="V433" s="96"/>
    </row>
    <row r="434" spans="22:22" x14ac:dyDescent="0.2">
      <c r="V434" s="96"/>
    </row>
    <row r="435" spans="22:22" x14ac:dyDescent="0.2">
      <c r="V435" s="96"/>
    </row>
    <row r="436" spans="22:22" x14ac:dyDescent="0.2">
      <c r="V436" s="96"/>
    </row>
    <row r="437" spans="22:22" x14ac:dyDescent="0.2">
      <c r="V437" s="96"/>
    </row>
    <row r="438" spans="22:22" x14ac:dyDescent="0.2">
      <c r="V438" s="96"/>
    </row>
    <row r="439" spans="22:22" x14ac:dyDescent="0.2">
      <c r="V439" s="96"/>
    </row>
    <row r="440" spans="22:22" x14ac:dyDescent="0.2">
      <c r="V440" s="96"/>
    </row>
    <row r="441" spans="22:22" x14ac:dyDescent="0.2">
      <c r="V441" s="96"/>
    </row>
    <row r="442" spans="22:22" x14ac:dyDescent="0.2">
      <c r="V442" s="96"/>
    </row>
    <row r="443" spans="22:22" x14ac:dyDescent="0.2">
      <c r="V443" s="96"/>
    </row>
    <row r="444" spans="22:22" x14ac:dyDescent="0.2">
      <c r="V444" s="96"/>
    </row>
    <row r="445" spans="22:22" x14ac:dyDescent="0.2">
      <c r="V445" s="96"/>
    </row>
    <row r="446" spans="22:22" x14ac:dyDescent="0.2">
      <c r="V446" s="96"/>
    </row>
    <row r="447" spans="22:22" x14ac:dyDescent="0.2">
      <c r="V447" s="96"/>
    </row>
    <row r="448" spans="22:22" x14ac:dyDescent="0.2">
      <c r="V448" s="96"/>
    </row>
    <row r="449" spans="22:22" x14ac:dyDescent="0.2">
      <c r="V449" s="96"/>
    </row>
    <row r="450" spans="22:22" x14ac:dyDescent="0.2">
      <c r="V450" s="96"/>
    </row>
    <row r="451" spans="22:22" x14ac:dyDescent="0.2">
      <c r="V451" s="96"/>
    </row>
    <row r="452" spans="22:22" x14ac:dyDescent="0.2">
      <c r="V452" s="96"/>
    </row>
    <row r="453" spans="22:22" x14ac:dyDescent="0.2">
      <c r="V453" s="96"/>
    </row>
    <row r="454" spans="22:22" x14ac:dyDescent="0.2">
      <c r="V454" s="96"/>
    </row>
    <row r="455" spans="22:22" x14ac:dyDescent="0.2">
      <c r="V455" s="96"/>
    </row>
    <row r="456" spans="22:22" x14ac:dyDescent="0.2">
      <c r="V456" s="96"/>
    </row>
    <row r="457" spans="22:22" x14ac:dyDescent="0.2">
      <c r="V457" s="96"/>
    </row>
    <row r="458" spans="22:22" x14ac:dyDescent="0.2">
      <c r="V458" s="96"/>
    </row>
    <row r="459" spans="22:22" x14ac:dyDescent="0.2">
      <c r="V459" s="96"/>
    </row>
    <row r="460" spans="22:22" x14ac:dyDescent="0.2">
      <c r="V460" s="96"/>
    </row>
    <row r="461" spans="22:22" x14ac:dyDescent="0.2">
      <c r="V461" s="96"/>
    </row>
    <row r="462" spans="22:22" x14ac:dyDescent="0.2">
      <c r="V462" s="96"/>
    </row>
    <row r="463" spans="22:22" x14ac:dyDescent="0.2">
      <c r="V463" s="96"/>
    </row>
    <row r="464" spans="22:22" x14ac:dyDescent="0.2">
      <c r="V464" s="96"/>
    </row>
    <row r="465" spans="22:22" x14ac:dyDescent="0.2">
      <c r="V465" s="96"/>
    </row>
    <row r="466" spans="22:22" x14ac:dyDescent="0.2">
      <c r="V466" s="96"/>
    </row>
    <row r="467" spans="22:22" x14ac:dyDescent="0.2">
      <c r="V467" s="96"/>
    </row>
    <row r="468" spans="22:22" x14ac:dyDescent="0.2">
      <c r="V468" s="96"/>
    </row>
    <row r="469" spans="22:22" x14ac:dyDescent="0.2">
      <c r="V469" s="96"/>
    </row>
    <row r="470" spans="22:22" x14ac:dyDescent="0.2">
      <c r="V470" s="96"/>
    </row>
    <row r="471" spans="22:22" x14ac:dyDescent="0.2">
      <c r="V471" s="96"/>
    </row>
    <row r="472" spans="22:22" x14ac:dyDescent="0.2">
      <c r="V472" s="96"/>
    </row>
    <row r="473" spans="22:22" x14ac:dyDescent="0.2">
      <c r="V473" s="96"/>
    </row>
    <row r="474" spans="22:22" x14ac:dyDescent="0.2">
      <c r="V474" s="96"/>
    </row>
    <row r="475" spans="22:22" x14ac:dyDescent="0.2">
      <c r="V475" s="96"/>
    </row>
    <row r="476" spans="22:22" x14ac:dyDescent="0.2">
      <c r="V476" s="96"/>
    </row>
    <row r="477" spans="22:22" x14ac:dyDescent="0.2">
      <c r="V477" s="96"/>
    </row>
    <row r="478" spans="22:22" x14ac:dyDescent="0.2">
      <c r="V478" s="96"/>
    </row>
    <row r="479" spans="22:22" x14ac:dyDescent="0.2">
      <c r="V479" s="96"/>
    </row>
    <row r="480" spans="22:22" x14ac:dyDescent="0.2">
      <c r="V480" s="96"/>
    </row>
    <row r="481" spans="22:22" x14ac:dyDescent="0.2">
      <c r="V481" s="96"/>
    </row>
    <row r="482" spans="22:22" x14ac:dyDescent="0.2">
      <c r="V482" s="96"/>
    </row>
    <row r="483" spans="22:22" x14ac:dyDescent="0.2">
      <c r="V483" s="96"/>
    </row>
    <row r="484" spans="22:22" x14ac:dyDescent="0.2">
      <c r="V484" s="96"/>
    </row>
    <row r="485" spans="22:22" x14ac:dyDescent="0.2">
      <c r="V485" s="96"/>
    </row>
    <row r="486" spans="22:22" x14ac:dyDescent="0.2">
      <c r="V486" s="96"/>
    </row>
    <row r="487" spans="22:22" x14ac:dyDescent="0.2">
      <c r="V487" s="96"/>
    </row>
    <row r="488" spans="22:22" x14ac:dyDescent="0.2">
      <c r="V488" s="96"/>
    </row>
    <row r="489" spans="22:22" x14ac:dyDescent="0.2">
      <c r="V489" s="96"/>
    </row>
    <row r="490" spans="22:22" x14ac:dyDescent="0.2">
      <c r="V490" s="96"/>
    </row>
    <row r="491" spans="22:22" x14ac:dyDescent="0.2">
      <c r="V491" s="96"/>
    </row>
    <row r="492" spans="22:22" x14ac:dyDescent="0.2">
      <c r="V492" s="96"/>
    </row>
    <row r="493" spans="22:22" x14ac:dyDescent="0.2">
      <c r="V493" s="96"/>
    </row>
    <row r="494" spans="22:22" x14ac:dyDescent="0.2">
      <c r="V494" s="96"/>
    </row>
    <row r="495" spans="22:22" x14ac:dyDescent="0.2">
      <c r="V495" s="96"/>
    </row>
    <row r="496" spans="22:22" x14ac:dyDescent="0.2">
      <c r="V496" s="96"/>
    </row>
    <row r="497" spans="22:22" x14ac:dyDescent="0.2">
      <c r="V497" s="96"/>
    </row>
    <row r="498" spans="22:22" x14ac:dyDescent="0.2">
      <c r="V498" s="96"/>
    </row>
    <row r="499" spans="22:22" x14ac:dyDescent="0.2">
      <c r="V499" s="96"/>
    </row>
    <row r="500" spans="22:22" x14ac:dyDescent="0.2">
      <c r="V500" s="96"/>
    </row>
    <row r="501" spans="22:22" x14ac:dyDescent="0.2">
      <c r="V501" s="96"/>
    </row>
    <row r="502" spans="22:22" x14ac:dyDescent="0.2">
      <c r="V502" s="96"/>
    </row>
    <row r="503" spans="22:22" x14ac:dyDescent="0.2">
      <c r="V503" s="96"/>
    </row>
    <row r="504" spans="22:22" x14ac:dyDescent="0.2">
      <c r="V504" s="96"/>
    </row>
    <row r="505" spans="22:22" x14ac:dyDescent="0.2">
      <c r="V505" s="96"/>
    </row>
    <row r="506" spans="22:22" x14ac:dyDescent="0.2">
      <c r="V506" s="96"/>
    </row>
    <row r="507" spans="22:22" x14ac:dyDescent="0.2">
      <c r="V507" s="96"/>
    </row>
    <row r="508" spans="22:22" x14ac:dyDescent="0.2">
      <c r="V508" s="96"/>
    </row>
    <row r="509" spans="22:22" x14ac:dyDescent="0.2">
      <c r="V509" s="96"/>
    </row>
    <row r="510" spans="22:22" x14ac:dyDescent="0.2">
      <c r="V510" s="96"/>
    </row>
    <row r="511" spans="22:22" x14ac:dyDescent="0.2">
      <c r="V511" s="96"/>
    </row>
    <row r="512" spans="22:22" x14ac:dyDescent="0.2">
      <c r="V512" s="96"/>
    </row>
    <row r="513" spans="22:22" x14ac:dyDescent="0.2">
      <c r="V513" s="96"/>
    </row>
    <row r="514" spans="22:22" x14ac:dyDescent="0.2">
      <c r="V514" s="96"/>
    </row>
    <row r="515" spans="22:22" x14ac:dyDescent="0.2">
      <c r="V515" s="96"/>
    </row>
    <row r="516" spans="22:22" x14ac:dyDescent="0.2">
      <c r="V516" s="96"/>
    </row>
    <row r="517" spans="22:22" x14ac:dyDescent="0.2">
      <c r="V517" s="96"/>
    </row>
    <row r="518" spans="22:22" x14ac:dyDescent="0.2">
      <c r="V518" s="96"/>
    </row>
    <row r="519" spans="22:22" x14ac:dyDescent="0.2">
      <c r="V519" s="96"/>
    </row>
    <row r="520" spans="22:22" x14ac:dyDescent="0.2">
      <c r="V520" s="96"/>
    </row>
    <row r="521" spans="22:22" x14ac:dyDescent="0.2">
      <c r="V521" s="96"/>
    </row>
    <row r="522" spans="22:22" x14ac:dyDescent="0.2">
      <c r="V522" s="96"/>
    </row>
    <row r="523" spans="22:22" x14ac:dyDescent="0.2">
      <c r="V523" s="96"/>
    </row>
    <row r="524" spans="22:22" x14ac:dyDescent="0.2">
      <c r="V524" s="96"/>
    </row>
    <row r="525" spans="22:22" x14ac:dyDescent="0.2">
      <c r="V525" s="96"/>
    </row>
    <row r="526" spans="22:22" x14ac:dyDescent="0.2">
      <c r="V526" s="96"/>
    </row>
    <row r="527" spans="22:22" x14ac:dyDescent="0.2">
      <c r="V527" s="96"/>
    </row>
    <row r="528" spans="22:22" x14ac:dyDescent="0.2">
      <c r="V528" s="96"/>
    </row>
    <row r="529" spans="22:22" x14ac:dyDescent="0.2">
      <c r="V529" s="96"/>
    </row>
    <row r="530" spans="22:22" x14ac:dyDescent="0.2">
      <c r="V530" s="96"/>
    </row>
    <row r="531" spans="22:22" x14ac:dyDescent="0.2">
      <c r="V531" s="96"/>
    </row>
    <row r="532" spans="22:22" x14ac:dyDescent="0.2">
      <c r="V532" s="96"/>
    </row>
    <row r="533" spans="22:22" x14ac:dyDescent="0.2">
      <c r="V533" s="96"/>
    </row>
    <row r="534" spans="22:22" x14ac:dyDescent="0.2">
      <c r="V534" s="96"/>
    </row>
    <row r="535" spans="22:22" x14ac:dyDescent="0.2">
      <c r="V535" s="96"/>
    </row>
    <row r="536" spans="22:22" x14ac:dyDescent="0.2">
      <c r="V536" s="96"/>
    </row>
    <row r="537" spans="22:22" x14ac:dyDescent="0.2">
      <c r="V537" s="96"/>
    </row>
    <row r="538" spans="22:22" x14ac:dyDescent="0.2">
      <c r="V538" s="96"/>
    </row>
    <row r="539" spans="22:22" x14ac:dyDescent="0.2">
      <c r="V539" s="96"/>
    </row>
    <row r="540" spans="22:22" x14ac:dyDescent="0.2">
      <c r="V540" s="96"/>
    </row>
    <row r="541" spans="22:22" x14ac:dyDescent="0.2">
      <c r="V541" s="96"/>
    </row>
    <row r="542" spans="22:22" x14ac:dyDescent="0.2">
      <c r="V542" s="96"/>
    </row>
    <row r="543" spans="22:22" x14ac:dyDescent="0.2">
      <c r="V543" s="96"/>
    </row>
    <row r="544" spans="22:22" x14ac:dyDescent="0.2">
      <c r="V544" s="96"/>
    </row>
    <row r="545" spans="22:22" x14ac:dyDescent="0.2">
      <c r="V545" s="96"/>
    </row>
    <row r="546" spans="22:22" x14ac:dyDescent="0.2">
      <c r="V546" s="96"/>
    </row>
    <row r="547" spans="22:22" x14ac:dyDescent="0.2">
      <c r="V547" s="96"/>
    </row>
    <row r="548" spans="22:22" x14ac:dyDescent="0.2">
      <c r="V548" s="96"/>
    </row>
    <row r="549" spans="22:22" x14ac:dyDescent="0.2">
      <c r="V549" s="96"/>
    </row>
    <row r="550" spans="22:22" x14ac:dyDescent="0.2">
      <c r="V550" s="96"/>
    </row>
    <row r="551" spans="22:22" x14ac:dyDescent="0.2">
      <c r="V551" s="96"/>
    </row>
    <row r="552" spans="22:22" x14ac:dyDescent="0.2">
      <c r="V552" s="96"/>
    </row>
    <row r="553" spans="22:22" x14ac:dyDescent="0.2">
      <c r="V553" s="96"/>
    </row>
    <row r="554" spans="22:22" x14ac:dyDescent="0.2">
      <c r="V554" s="96"/>
    </row>
    <row r="555" spans="22:22" x14ac:dyDescent="0.2">
      <c r="V555" s="96"/>
    </row>
    <row r="556" spans="22:22" x14ac:dyDescent="0.2">
      <c r="V556" s="96"/>
    </row>
    <row r="557" spans="22:22" x14ac:dyDescent="0.2">
      <c r="V557" s="96"/>
    </row>
    <row r="558" spans="22:22" x14ac:dyDescent="0.2">
      <c r="V558" s="96"/>
    </row>
    <row r="559" spans="22:22" x14ac:dyDescent="0.2">
      <c r="V559" s="96"/>
    </row>
    <row r="560" spans="22:22" x14ac:dyDescent="0.2">
      <c r="V560" s="96"/>
    </row>
    <row r="561" spans="22:22" x14ac:dyDescent="0.2">
      <c r="V561" s="96"/>
    </row>
    <row r="562" spans="22:22" x14ac:dyDescent="0.2">
      <c r="V562" s="96"/>
    </row>
    <row r="563" spans="22:22" x14ac:dyDescent="0.2">
      <c r="V563" s="96"/>
    </row>
    <row r="564" spans="22:22" x14ac:dyDescent="0.2">
      <c r="V564" s="96"/>
    </row>
    <row r="565" spans="22:22" x14ac:dyDescent="0.2">
      <c r="V565" s="96"/>
    </row>
    <row r="566" spans="22:22" x14ac:dyDescent="0.2">
      <c r="V566" s="96"/>
    </row>
    <row r="567" spans="22:22" x14ac:dyDescent="0.2">
      <c r="V567" s="96"/>
    </row>
    <row r="568" spans="22:22" x14ac:dyDescent="0.2">
      <c r="V568" s="96"/>
    </row>
    <row r="569" spans="22:22" x14ac:dyDescent="0.2">
      <c r="V569" s="96"/>
    </row>
    <row r="570" spans="22:22" x14ac:dyDescent="0.2">
      <c r="V570" s="96"/>
    </row>
    <row r="571" spans="22:22" x14ac:dyDescent="0.2">
      <c r="V571" s="96"/>
    </row>
    <row r="572" spans="22:22" x14ac:dyDescent="0.2">
      <c r="V572" s="96"/>
    </row>
    <row r="573" spans="22:22" x14ac:dyDescent="0.2">
      <c r="V573" s="96"/>
    </row>
    <row r="574" spans="22:22" x14ac:dyDescent="0.2">
      <c r="V574" s="96"/>
    </row>
    <row r="575" spans="22:22" x14ac:dyDescent="0.2">
      <c r="V575" s="96"/>
    </row>
    <row r="576" spans="22:22" x14ac:dyDescent="0.2">
      <c r="V576" s="96"/>
    </row>
    <row r="577" spans="22:22" x14ac:dyDescent="0.2">
      <c r="V577" s="96"/>
    </row>
    <row r="578" spans="22:22" x14ac:dyDescent="0.2">
      <c r="V578" s="96"/>
    </row>
    <row r="579" spans="22:22" x14ac:dyDescent="0.2">
      <c r="V579" s="96"/>
    </row>
    <row r="580" spans="22:22" x14ac:dyDescent="0.2">
      <c r="V580" s="96"/>
    </row>
    <row r="581" spans="22:22" x14ac:dyDescent="0.2">
      <c r="V581" s="96"/>
    </row>
    <row r="582" spans="22:22" x14ac:dyDescent="0.2">
      <c r="V582" s="96"/>
    </row>
    <row r="583" spans="22:22" x14ac:dyDescent="0.2">
      <c r="V583" s="96"/>
    </row>
    <row r="584" spans="22:22" x14ac:dyDescent="0.2">
      <c r="V584" s="96"/>
    </row>
    <row r="585" spans="22:22" x14ac:dyDescent="0.2">
      <c r="V585" s="96"/>
    </row>
    <row r="586" spans="22:22" x14ac:dyDescent="0.2">
      <c r="V586" s="96"/>
    </row>
    <row r="587" spans="22:22" x14ac:dyDescent="0.2">
      <c r="V587" s="96"/>
    </row>
    <row r="588" spans="22:22" x14ac:dyDescent="0.2">
      <c r="V588" s="96"/>
    </row>
    <row r="589" spans="22:22" x14ac:dyDescent="0.2">
      <c r="V589" s="96"/>
    </row>
    <row r="590" spans="22:22" x14ac:dyDescent="0.2">
      <c r="V590" s="96"/>
    </row>
    <row r="591" spans="22:22" x14ac:dyDescent="0.2">
      <c r="V591" s="96"/>
    </row>
    <row r="592" spans="22:22" x14ac:dyDescent="0.2">
      <c r="V592" s="96"/>
    </row>
    <row r="593" spans="22:22" x14ac:dyDescent="0.2">
      <c r="V593" s="96"/>
    </row>
    <row r="594" spans="22:22" x14ac:dyDescent="0.2">
      <c r="V594" s="96"/>
    </row>
    <row r="595" spans="22:22" x14ac:dyDescent="0.2">
      <c r="V595" s="96"/>
    </row>
    <row r="596" spans="22:22" x14ac:dyDescent="0.2">
      <c r="V596" s="96"/>
    </row>
    <row r="597" spans="22:22" x14ac:dyDescent="0.2">
      <c r="V597" s="96"/>
    </row>
    <row r="598" spans="22:22" x14ac:dyDescent="0.2">
      <c r="V598" s="96"/>
    </row>
    <row r="599" spans="22:22" x14ac:dyDescent="0.2">
      <c r="V599" s="96"/>
    </row>
    <row r="600" spans="22:22" x14ac:dyDescent="0.2">
      <c r="V600" s="96"/>
    </row>
    <row r="601" spans="22:22" x14ac:dyDescent="0.2">
      <c r="V601" s="96"/>
    </row>
    <row r="602" spans="22:22" x14ac:dyDescent="0.2">
      <c r="V602" s="96"/>
    </row>
    <row r="603" spans="22:22" x14ac:dyDescent="0.2">
      <c r="V603" s="96"/>
    </row>
    <row r="604" spans="22:22" x14ac:dyDescent="0.2">
      <c r="V604" s="96"/>
    </row>
    <row r="605" spans="22:22" x14ac:dyDescent="0.2">
      <c r="V605" s="96"/>
    </row>
    <row r="606" spans="22:22" x14ac:dyDescent="0.2">
      <c r="V606" s="96"/>
    </row>
    <row r="607" spans="22:22" x14ac:dyDescent="0.2">
      <c r="V607" s="96"/>
    </row>
    <row r="608" spans="22:22" x14ac:dyDescent="0.2">
      <c r="V608" s="96"/>
    </row>
    <row r="609" spans="22:22" x14ac:dyDescent="0.2">
      <c r="V609" s="96"/>
    </row>
    <row r="610" spans="22:22" x14ac:dyDescent="0.2">
      <c r="V610" s="96"/>
    </row>
    <row r="611" spans="22:22" x14ac:dyDescent="0.2">
      <c r="V611" s="96"/>
    </row>
    <row r="612" spans="22:22" x14ac:dyDescent="0.2">
      <c r="V612" s="96"/>
    </row>
    <row r="613" spans="22:22" x14ac:dyDescent="0.2">
      <c r="V613" s="96"/>
    </row>
    <row r="614" spans="22:22" x14ac:dyDescent="0.2">
      <c r="V614" s="96"/>
    </row>
    <row r="615" spans="22:22" x14ac:dyDescent="0.2">
      <c r="V615" s="96"/>
    </row>
    <row r="616" spans="22:22" x14ac:dyDescent="0.2">
      <c r="V616" s="96"/>
    </row>
    <row r="617" spans="22:22" x14ac:dyDescent="0.2">
      <c r="V617" s="96"/>
    </row>
    <row r="618" spans="22:22" x14ac:dyDescent="0.2">
      <c r="V618" s="96"/>
    </row>
    <row r="619" spans="22:22" x14ac:dyDescent="0.2">
      <c r="V619" s="96"/>
    </row>
    <row r="620" spans="22:22" x14ac:dyDescent="0.2">
      <c r="V620" s="96"/>
    </row>
    <row r="621" spans="22:22" x14ac:dyDescent="0.2">
      <c r="V621" s="96"/>
    </row>
    <row r="622" spans="22:22" x14ac:dyDescent="0.2">
      <c r="V622" s="96"/>
    </row>
    <row r="623" spans="22:22" x14ac:dyDescent="0.2">
      <c r="V623" s="96"/>
    </row>
    <row r="624" spans="22:22" x14ac:dyDescent="0.2">
      <c r="V624" s="96"/>
    </row>
    <row r="625" spans="22:22" x14ac:dyDescent="0.2">
      <c r="V625" s="96"/>
    </row>
    <row r="626" spans="22:22" x14ac:dyDescent="0.2">
      <c r="V626" s="96"/>
    </row>
    <row r="627" spans="22:22" x14ac:dyDescent="0.2">
      <c r="V627" s="96"/>
    </row>
    <row r="628" spans="22:22" x14ac:dyDescent="0.2">
      <c r="V628" s="96"/>
    </row>
    <row r="629" spans="22:22" x14ac:dyDescent="0.2">
      <c r="V629" s="96"/>
    </row>
    <row r="630" spans="22:22" x14ac:dyDescent="0.2">
      <c r="V630" s="96"/>
    </row>
    <row r="631" spans="22:22" x14ac:dyDescent="0.2">
      <c r="V631" s="96"/>
    </row>
    <row r="632" spans="22:22" x14ac:dyDescent="0.2">
      <c r="V632" s="96"/>
    </row>
    <row r="633" spans="22:22" x14ac:dyDescent="0.2">
      <c r="V633" s="96"/>
    </row>
    <row r="634" spans="22:22" x14ac:dyDescent="0.2">
      <c r="V634" s="96"/>
    </row>
    <row r="635" spans="22:22" x14ac:dyDescent="0.2">
      <c r="V635" s="96"/>
    </row>
    <row r="636" spans="22:22" x14ac:dyDescent="0.2">
      <c r="V636" s="96"/>
    </row>
    <row r="637" spans="22:22" x14ac:dyDescent="0.2">
      <c r="V637" s="96"/>
    </row>
    <row r="638" spans="22:22" x14ac:dyDescent="0.2">
      <c r="V638" s="96"/>
    </row>
    <row r="639" spans="22:22" x14ac:dyDescent="0.2">
      <c r="V639" s="96"/>
    </row>
    <row r="640" spans="22:22" x14ac:dyDescent="0.2">
      <c r="V640" s="96"/>
    </row>
    <row r="641" spans="22:22" x14ac:dyDescent="0.2">
      <c r="V641" s="96"/>
    </row>
    <row r="642" spans="22:22" x14ac:dyDescent="0.2">
      <c r="V642" s="96"/>
    </row>
    <row r="643" spans="22:22" x14ac:dyDescent="0.2">
      <c r="V643" s="96"/>
    </row>
    <row r="644" spans="22:22" x14ac:dyDescent="0.2">
      <c r="V644" s="96"/>
    </row>
    <row r="645" spans="22:22" x14ac:dyDescent="0.2">
      <c r="V645" s="96"/>
    </row>
    <row r="646" spans="22:22" x14ac:dyDescent="0.2">
      <c r="V646" s="96"/>
    </row>
    <row r="647" spans="22:22" x14ac:dyDescent="0.2">
      <c r="V647" s="96"/>
    </row>
    <row r="648" spans="22:22" x14ac:dyDescent="0.2">
      <c r="V648" s="96"/>
    </row>
    <row r="649" spans="22:22" x14ac:dyDescent="0.2">
      <c r="V649" s="96"/>
    </row>
    <row r="650" spans="22:22" x14ac:dyDescent="0.2">
      <c r="V650" s="96"/>
    </row>
    <row r="651" spans="22:22" x14ac:dyDescent="0.2">
      <c r="V651" s="96"/>
    </row>
    <row r="652" spans="22:22" x14ac:dyDescent="0.2">
      <c r="V652" s="96"/>
    </row>
    <row r="653" spans="22:22" x14ac:dyDescent="0.2">
      <c r="V653" s="96"/>
    </row>
    <row r="654" spans="22:22" x14ac:dyDescent="0.2">
      <c r="V654" s="96"/>
    </row>
    <row r="655" spans="22:22" x14ac:dyDescent="0.2">
      <c r="V655" s="96"/>
    </row>
    <row r="656" spans="22:22" x14ac:dyDescent="0.2">
      <c r="V656" s="96"/>
    </row>
    <row r="657" spans="22:22" x14ac:dyDescent="0.2">
      <c r="V657" s="96"/>
    </row>
    <row r="658" spans="22:22" x14ac:dyDescent="0.2">
      <c r="V658" s="96"/>
    </row>
    <row r="659" spans="22:22" x14ac:dyDescent="0.2">
      <c r="V659" s="96"/>
    </row>
    <row r="660" spans="22:22" x14ac:dyDescent="0.2">
      <c r="V660" s="96"/>
    </row>
    <row r="661" spans="22:22" x14ac:dyDescent="0.2">
      <c r="V661" s="96"/>
    </row>
    <row r="662" spans="22:22" x14ac:dyDescent="0.2">
      <c r="V662" s="96"/>
    </row>
    <row r="663" spans="22:22" x14ac:dyDescent="0.2">
      <c r="V663" s="96"/>
    </row>
    <row r="664" spans="22:22" x14ac:dyDescent="0.2">
      <c r="V664" s="96"/>
    </row>
    <row r="665" spans="22:22" x14ac:dyDescent="0.2">
      <c r="V665" s="96"/>
    </row>
    <row r="666" spans="22:22" x14ac:dyDescent="0.2">
      <c r="V666" s="96"/>
    </row>
    <row r="667" spans="22:22" x14ac:dyDescent="0.2">
      <c r="V667" s="96"/>
    </row>
    <row r="668" spans="22:22" x14ac:dyDescent="0.2">
      <c r="V668" s="96"/>
    </row>
    <row r="669" spans="22:22" x14ac:dyDescent="0.2">
      <c r="V669" s="96"/>
    </row>
    <row r="670" spans="22:22" x14ac:dyDescent="0.2">
      <c r="V670" s="96"/>
    </row>
    <row r="671" spans="22:22" x14ac:dyDescent="0.2">
      <c r="V671" s="96"/>
    </row>
    <row r="672" spans="22:22" x14ac:dyDescent="0.2">
      <c r="V672" s="96"/>
    </row>
    <row r="673" spans="22:22" x14ac:dyDescent="0.2">
      <c r="V673" s="96"/>
    </row>
    <row r="674" spans="22:22" x14ac:dyDescent="0.2">
      <c r="V674" s="96"/>
    </row>
    <row r="675" spans="22:22" x14ac:dyDescent="0.2">
      <c r="V675" s="96"/>
    </row>
    <row r="676" spans="22:22" x14ac:dyDescent="0.2">
      <c r="V676" s="96"/>
    </row>
    <row r="677" spans="22:22" x14ac:dyDescent="0.2">
      <c r="V677" s="96"/>
    </row>
    <row r="678" spans="22:22" x14ac:dyDescent="0.2">
      <c r="V678" s="96"/>
    </row>
    <row r="679" spans="22:22" x14ac:dyDescent="0.2">
      <c r="V679" s="96"/>
    </row>
    <row r="680" spans="22:22" x14ac:dyDescent="0.2">
      <c r="V680" s="96"/>
    </row>
    <row r="681" spans="22:22" x14ac:dyDescent="0.2">
      <c r="V681" s="96"/>
    </row>
    <row r="682" spans="22:22" x14ac:dyDescent="0.2">
      <c r="V682" s="96"/>
    </row>
    <row r="683" spans="22:22" x14ac:dyDescent="0.2">
      <c r="V683" s="96"/>
    </row>
    <row r="684" spans="22:22" x14ac:dyDescent="0.2">
      <c r="V684" s="96"/>
    </row>
    <row r="685" spans="22:22" x14ac:dyDescent="0.2">
      <c r="V685" s="96"/>
    </row>
    <row r="686" spans="22:22" x14ac:dyDescent="0.2">
      <c r="V686" s="96"/>
    </row>
    <row r="687" spans="22:22" x14ac:dyDescent="0.2">
      <c r="V687" s="96"/>
    </row>
    <row r="688" spans="22:22" x14ac:dyDescent="0.2">
      <c r="V688" s="96"/>
    </row>
    <row r="689" spans="22:22" x14ac:dyDescent="0.2">
      <c r="V689" s="96"/>
    </row>
    <row r="690" spans="22:22" x14ac:dyDescent="0.2">
      <c r="V690" s="96"/>
    </row>
    <row r="691" spans="22:22" x14ac:dyDescent="0.2">
      <c r="V691" s="96"/>
    </row>
    <row r="692" spans="22:22" x14ac:dyDescent="0.2">
      <c r="V692" s="96"/>
    </row>
    <row r="693" spans="22:22" x14ac:dyDescent="0.2">
      <c r="V693" s="96"/>
    </row>
    <row r="694" spans="22:22" x14ac:dyDescent="0.2">
      <c r="V694" s="96"/>
    </row>
    <row r="695" spans="22:22" x14ac:dyDescent="0.2">
      <c r="V695" s="96"/>
    </row>
    <row r="696" spans="22:22" x14ac:dyDescent="0.2">
      <c r="V696" s="96"/>
    </row>
    <row r="697" spans="22:22" x14ac:dyDescent="0.2">
      <c r="V697" s="96"/>
    </row>
    <row r="698" spans="22:22" x14ac:dyDescent="0.2">
      <c r="V698" s="96"/>
    </row>
    <row r="699" spans="22:22" x14ac:dyDescent="0.2">
      <c r="V699" s="96"/>
    </row>
    <row r="700" spans="22:22" x14ac:dyDescent="0.2">
      <c r="V700" s="96"/>
    </row>
    <row r="701" spans="22:22" x14ac:dyDescent="0.2">
      <c r="V701" s="96"/>
    </row>
    <row r="702" spans="22:22" x14ac:dyDescent="0.2">
      <c r="V702" s="96"/>
    </row>
    <row r="703" spans="22:22" x14ac:dyDescent="0.2">
      <c r="V703" s="96"/>
    </row>
    <row r="704" spans="22:22" x14ac:dyDescent="0.2">
      <c r="V704" s="96"/>
    </row>
    <row r="705" spans="22:22" x14ac:dyDescent="0.2">
      <c r="V705" s="96"/>
    </row>
    <row r="706" spans="22:22" x14ac:dyDescent="0.2">
      <c r="V706" s="96"/>
    </row>
    <row r="707" spans="22:22" x14ac:dyDescent="0.2">
      <c r="V707" s="96"/>
    </row>
    <row r="708" spans="22:22" x14ac:dyDescent="0.2">
      <c r="V708" s="96"/>
    </row>
    <row r="709" spans="22:22" x14ac:dyDescent="0.2">
      <c r="V709" s="96"/>
    </row>
    <row r="710" spans="22:22" x14ac:dyDescent="0.2">
      <c r="V710" s="96"/>
    </row>
    <row r="711" spans="22:22" x14ac:dyDescent="0.2">
      <c r="V711" s="96"/>
    </row>
    <row r="712" spans="22:22" x14ac:dyDescent="0.2">
      <c r="V712" s="96"/>
    </row>
    <row r="713" spans="22:22" x14ac:dyDescent="0.2">
      <c r="V713" s="96"/>
    </row>
    <row r="714" spans="22:22" x14ac:dyDescent="0.2">
      <c r="V714" s="96"/>
    </row>
    <row r="715" spans="22:22" x14ac:dyDescent="0.2">
      <c r="V715" s="96"/>
    </row>
    <row r="716" spans="22:22" x14ac:dyDescent="0.2">
      <c r="V716" s="96"/>
    </row>
    <row r="717" spans="22:22" x14ac:dyDescent="0.2">
      <c r="V717" s="96"/>
    </row>
    <row r="718" spans="22:22" x14ac:dyDescent="0.2">
      <c r="V718" s="96"/>
    </row>
    <row r="719" spans="22:22" x14ac:dyDescent="0.2">
      <c r="V719" s="96"/>
    </row>
    <row r="720" spans="22:22" x14ac:dyDescent="0.2">
      <c r="V720" s="96"/>
    </row>
    <row r="721" spans="22:22" x14ac:dyDescent="0.2">
      <c r="V721" s="96"/>
    </row>
    <row r="722" spans="22:22" x14ac:dyDescent="0.2">
      <c r="V722" s="96"/>
    </row>
    <row r="723" spans="22:22" x14ac:dyDescent="0.2">
      <c r="V723" s="96"/>
    </row>
    <row r="724" spans="22:22" x14ac:dyDescent="0.2">
      <c r="V724" s="96"/>
    </row>
    <row r="725" spans="22:22" x14ac:dyDescent="0.2">
      <c r="V725" s="96"/>
    </row>
    <row r="726" spans="22:22" x14ac:dyDescent="0.2">
      <c r="V726" s="96"/>
    </row>
    <row r="727" spans="22:22" x14ac:dyDescent="0.2">
      <c r="V727" s="96"/>
    </row>
    <row r="728" spans="22:22" x14ac:dyDescent="0.2">
      <c r="V728" s="96"/>
    </row>
    <row r="729" spans="22:22" x14ac:dyDescent="0.2">
      <c r="V729" s="96"/>
    </row>
    <row r="730" spans="22:22" x14ac:dyDescent="0.2">
      <c r="V730" s="96"/>
    </row>
    <row r="731" spans="22:22" x14ac:dyDescent="0.2">
      <c r="V731" s="96"/>
    </row>
    <row r="732" spans="22:22" x14ac:dyDescent="0.2">
      <c r="V732" s="96"/>
    </row>
    <row r="733" spans="22:22" x14ac:dyDescent="0.2">
      <c r="V733" s="96"/>
    </row>
    <row r="734" spans="22:22" x14ac:dyDescent="0.2">
      <c r="V734" s="96"/>
    </row>
    <row r="735" spans="22:22" x14ac:dyDescent="0.2">
      <c r="V735" s="96"/>
    </row>
    <row r="736" spans="22:22" x14ac:dyDescent="0.2">
      <c r="V736" s="96"/>
    </row>
    <row r="737" spans="22:22" x14ac:dyDescent="0.2">
      <c r="V737" s="96"/>
    </row>
    <row r="738" spans="22:22" x14ac:dyDescent="0.2">
      <c r="V738" s="96"/>
    </row>
    <row r="739" spans="22:22" x14ac:dyDescent="0.2">
      <c r="V739" s="96"/>
    </row>
    <row r="740" spans="22:22" x14ac:dyDescent="0.2">
      <c r="V740" s="96"/>
    </row>
    <row r="741" spans="22:22" x14ac:dyDescent="0.2">
      <c r="V741" s="96"/>
    </row>
    <row r="742" spans="22:22" x14ac:dyDescent="0.2">
      <c r="V742" s="96"/>
    </row>
    <row r="743" spans="22:22" x14ac:dyDescent="0.2">
      <c r="V743" s="96"/>
    </row>
    <row r="744" spans="22:22" x14ac:dyDescent="0.2">
      <c r="V744" s="96"/>
    </row>
    <row r="745" spans="22:22" x14ac:dyDescent="0.2">
      <c r="V745" s="96"/>
    </row>
    <row r="746" spans="22:22" x14ac:dyDescent="0.2">
      <c r="V746" s="96"/>
    </row>
    <row r="747" spans="22:22" x14ac:dyDescent="0.2">
      <c r="V747" s="96"/>
    </row>
    <row r="748" spans="22:22" x14ac:dyDescent="0.2">
      <c r="V748" s="96"/>
    </row>
    <row r="749" spans="22:22" x14ac:dyDescent="0.2">
      <c r="V749" s="96"/>
    </row>
    <row r="750" spans="22:22" x14ac:dyDescent="0.2">
      <c r="V750" s="96"/>
    </row>
    <row r="751" spans="22:22" x14ac:dyDescent="0.2">
      <c r="V751" s="96"/>
    </row>
    <row r="752" spans="22:22" x14ac:dyDescent="0.2">
      <c r="V752" s="96"/>
    </row>
    <row r="753" spans="22:22" x14ac:dyDescent="0.2">
      <c r="V753" s="96"/>
    </row>
    <row r="754" spans="22:22" x14ac:dyDescent="0.2">
      <c r="V754" s="96"/>
    </row>
    <row r="755" spans="22:22" x14ac:dyDescent="0.2">
      <c r="V755" s="96"/>
    </row>
    <row r="756" spans="22:22" x14ac:dyDescent="0.2">
      <c r="V756" s="96"/>
    </row>
    <row r="757" spans="22:22" x14ac:dyDescent="0.2">
      <c r="V757" s="96"/>
    </row>
    <row r="758" spans="22:22" x14ac:dyDescent="0.2">
      <c r="V758" s="96"/>
    </row>
    <row r="759" spans="22:22" x14ac:dyDescent="0.2">
      <c r="V759" s="96"/>
    </row>
    <row r="760" spans="22:22" x14ac:dyDescent="0.2">
      <c r="V760" s="96"/>
    </row>
    <row r="761" spans="22:22" x14ac:dyDescent="0.2">
      <c r="V761" s="96"/>
    </row>
    <row r="762" spans="22:22" x14ac:dyDescent="0.2">
      <c r="V762" s="96"/>
    </row>
    <row r="763" spans="22:22" x14ac:dyDescent="0.2">
      <c r="V763" s="96"/>
    </row>
    <row r="764" spans="22:22" x14ac:dyDescent="0.2">
      <c r="V764" s="96"/>
    </row>
    <row r="765" spans="22:22" x14ac:dyDescent="0.2">
      <c r="V765" s="96"/>
    </row>
    <row r="766" spans="22:22" x14ac:dyDescent="0.2">
      <c r="V766" s="96"/>
    </row>
    <row r="767" spans="22:22" x14ac:dyDescent="0.2">
      <c r="V767" s="96"/>
    </row>
    <row r="768" spans="22:22" x14ac:dyDescent="0.2">
      <c r="V768" s="96"/>
    </row>
    <row r="769" spans="22:22" x14ac:dyDescent="0.2">
      <c r="V769" s="96"/>
    </row>
    <row r="770" spans="22:22" x14ac:dyDescent="0.2">
      <c r="V770" s="96"/>
    </row>
    <row r="771" spans="22:22" x14ac:dyDescent="0.2">
      <c r="V771" s="96"/>
    </row>
    <row r="772" spans="22:22" x14ac:dyDescent="0.2">
      <c r="V772" s="96"/>
    </row>
    <row r="773" spans="22:22" x14ac:dyDescent="0.2">
      <c r="V773" s="96"/>
    </row>
    <row r="774" spans="22:22" x14ac:dyDescent="0.2">
      <c r="V774" s="96"/>
    </row>
    <row r="775" spans="22:22" x14ac:dyDescent="0.2">
      <c r="V775" s="96"/>
    </row>
    <row r="776" spans="22:22" x14ac:dyDescent="0.2">
      <c r="V776" s="96"/>
    </row>
    <row r="777" spans="22:22" x14ac:dyDescent="0.2">
      <c r="V777" s="96"/>
    </row>
    <row r="778" spans="22:22" x14ac:dyDescent="0.2">
      <c r="V778" s="96"/>
    </row>
    <row r="779" spans="22:22" x14ac:dyDescent="0.2">
      <c r="V779" s="96"/>
    </row>
    <row r="780" spans="22:22" x14ac:dyDescent="0.2">
      <c r="V780" s="96"/>
    </row>
    <row r="781" spans="22:22" x14ac:dyDescent="0.2">
      <c r="V781" s="96"/>
    </row>
    <row r="782" spans="22:22" x14ac:dyDescent="0.2">
      <c r="V782" s="96"/>
    </row>
    <row r="783" spans="22:22" x14ac:dyDescent="0.2">
      <c r="V783" s="96"/>
    </row>
    <row r="784" spans="22:22" x14ac:dyDescent="0.2">
      <c r="V784" s="96"/>
    </row>
    <row r="785" spans="22:22" x14ac:dyDescent="0.2">
      <c r="V785" s="96"/>
    </row>
    <row r="786" spans="22:22" x14ac:dyDescent="0.2">
      <c r="V786" s="96"/>
    </row>
    <row r="787" spans="22:22" x14ac:dyDescent="0.2">
      <c r="V787" s="96"/>
    </row>
    <row r="788" spans="22:22" x14ac:dyDescent="0.2">
      <c r="V788" s="96"/>
    </row>
    <row r="789" spans="22:22" x14ac:dyDescent="0.2">
      <c r="V789" s="96"/>
    </row>
    <row r="790" spans="22:22" x14ac:dyDescent="0.2">
      <c r="V790" s="96"/>
    </row>
    <row r="791" spans="22:22" x14ac:dyDescent="0.2">
      <c r="V791" s="96"/>
    </row>
    <row r="792" spans="22:22" x14ac:dyDescent="0.2">
      <c r="V792" s="96"/>
    </row>
  </sheetData>
  <phoneticPr fontId="8" type="noConversion"/>
  <hyperlinks>
    <hyperlink ref="H64483" r:id="rId1" display="http://vsolj.cetus-net.org/bulletin.html" xr:uid="{00000000-0004-0000-0000-000000000000}"/>
    <hyperlink ref="H64476" r:id="rId2" display="https://www.aavso.org/ejaavso" xr:uid="{00000000-0004-0000-0000-000001000000}"/>
    <hyperlink ref="I64483" r:id="rId3" display="http://vsolj.cetus-net.org/bulletin.html" xr:uid="{00000000-0004-0000-0000-000002000000}"/>
    <hyperlink ref="AQ58134" r:id="rId4" display="http://cdsbib.u-strasbg.fr/cgi-bin/cdsbib?1990RMxAA..21..381G" xr:uid="{00000000-0004-0000-0000-000003000000}"/>
    <hyperlink ref="H64480" r:id="rId5" display="https://www.aavso.org/ejaavso" xr:uid="{00000000-0004-0000-0000-000004000000}"/>
    <hyperlink ref="AP5498" r:id="rId6" display="http://cdsbib.u-strasbg.fr/cgi-bin/cdsbib?1990RMxAA..21..381G" xr:uid="{00000000-0004-0000-0000-000005000000}"/>
    <hyperlink ref="AP5501" r:id="rId7" display="http://cdsbib.u-strasbg.fr/cgi-bin/cdsbib?1990RMxAA..21..381G" xr:uid="{00000000-0004-0000-0000-000006000000}"/>
    <hyperlink ref="AP5499" r:id="rId8" display="http://cdsbib.u-strasbg.fr/cgi-bin/cdsbib?1990RMxAA..21..381G" xr:uid="{00000000-0004-0000-0000-000007000000}"/>
    <hyperlink ref="AP5483" r:id="rId9" display="http://cdsbib.u-strasbg.fr/cgi-bin/cdsbib?1990RMxAA..21..381G" xr:uid="{00000000-0004-0000-0000-000008000000}"/>
    <hyperlink ref="AQ5712" r:id="rId10" display="http://cdsbib.u-strasbg.fr/cgi-bin/cdsbib?1990RMxAA..21..381G" xr:uid="{00000000-0004-0000-0000-000009000000}"/>
    <hyperlink ref="AQ5716" r:id="rId11" display="http://cdsbib.u-strasbg.fr/cgi-bin/cdsbib?1990RMxAA..21..381G" xr:uid="{00000000-0004-0000-0000-00000A000000}"/>
    <hyperlink ref="AQ65396" r:id="rId12" display="http://cdsbib.u-strasbg.fr/cgi-bin/cdsbib?1990RMxAA..21..381G" xr:uid="{00000000-0004-0000-0000-00000B000000}"/>
    <hyperlink ref="I2604" r:id="rId13" display="http://vsolj.cetus-net.org/bulletin.html" xr:uid="{00000000-0004-0000-0000-00000C000000}"/>
    <hyperlink ref="H2604" r:id="rId14" display="http://vsolj.cetus-net.org/bulletin.html" xr:uid="{00000000-0004-0000-0000-00000D000000}"/>
    <hyperlink ref="AQ521" r:id="rId15" display="http://cdsbib.u-strasbg.fr/cgi-bin/cdsbib?1990RMxAA..21..381G" xr:uid="{00000000-0004-0000-0000-00000E000000}"/>
    <hyperlink ref="AQ520" r:id="rId16" display="http://cdsbib.u-strasbg.fr/cgi-bin/cdsbib?1990RMxAA..21..381G" xr:uid="{00000000-0004-0000-0000-00000F000000}"/>
    <hyperlink ref="AP3774" r:id="rId17" display="http://cdsbib.u-strasbg.fr/cgi-bin/cdsbib?1990RMxAA..21..381G" xr:uid="{00000000-0004-0000-0000-000010000000}"/>
    <hyperlink ref="AP3792" r:id="rId18" display="http://cdsbib.u-strasbg.fr/cgi-bin/cdsbib?1990RMxAA..21..381G" xr:uid="{00000000-0004-0000-0000-000011000000}"/>
    <hyperlink ref="AP3793" r:id="rId19" display="http://cdsbib.u-strasbg.fr/cgi-bin/cdsbib?1990RMxAA..21..381G" xr:uid="{00000000-0004-0000-0000-000012000000}"/>
    <hyperlink ref="AP3789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EE63-6187-4028-B2EA-8FDD3BE67D1E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792"/>
  <sheetViews>
    <sheetView workbookViewId="0">
      <selection activeCell="A178" sqref="A178:T182"/>
    </sheetView>
  </sheetViews>
  <sheetFormatPr defaultColWidth="10.28515625" defaultRowHeight="12.75" x14ac:dyDescent="0.2"/>
  <cols>
    <col min="1" max="1" width="19.42578125" customWidth="1"/>
    <col min="2" max="2" width="4.42578125" customWidth="1"/>
    <col min="3" max="3" width="11.85546875" customWidth="1"/>
    <col min="4" max="4" width="10.7109375" customWidth="1"/>
    <col min="5" max="5" width="9.140625" style="11" customWidth="1"/>
    <col min="6" max="6" width="17.28515625" customWidth="1"/>
    <col min="7" max="7" width="8.140625" style="12" customWidth="1"/>
    <col min="8" max="11" width="8.5703125" style="12" customWidth="1"/>
    <col min="12" max="12" width="13.140625" style="12" bestFit="1" customWidth="1"/>
    <col min="13" max="15" width="8.5703125" style="12" customWidth="1"/>
    <col min="16" max="16" width="8" style="12" customWidth="1"/>
    <col min="17" max="17" width="10.5703125" style="12" customWidth="1"/>
    <col min="18" max="18" width="10.140625" style="10" bestFit="1" customWidth="1"/>
    <col min="19" max="20" width="10.28515625" customWidth="1"/>
    <col min="21" max="21" width="9.140625" customWidth="1"/>
  </cols>
  <sheetData>
    <row r="1" spans="1:18" ht="20.25" x14ac:dyDescent="0.3">
      <c r="A1" s="1" t="s">
        <v>189</v>
      </c>
      <c r="E1"/>
      <c r="G1"/>
      <c r="H1"/>
      <c r="I1"/>
      <c r="J1"/>
      <c r="K1"/>
      <c r="L1"/>
      <c r="M1"/>
      <c r="N1"/>
      <c r="O1"/>
      <c r="P1"/>
      <c r="Q1"/>
      <c r="R1"/>
    </row>
    <row r="2" spans="1:18" x14ac:dyDescent="0.2">
      <c r="A2" t="s">
        <v>42</v>
      </c>
      <c r="B2" t="s">
        <v>57</v>
      </c>
      <c r="E2"/>
      <c r="G2"/>
      <c r="H2"/>
      <c r="I2"/>
      <c r="J2"/>
      <c r="K2"/>
      <c r="L2"/>
      <c r="M2"/>
      <c r="N2"/>
      <c r="O2"/>
      <c r="P2"/>
      <c r="Q2"/>
      <c r="R2"/>
    </row>
    <row r="3" spans="1:18" ht="13.5" thickBot="1" x14ac:dyDescent="0.25">
      <c r="A3" s="13" t="s">
        <v>56</v>
      </c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Top="1" thickBot="1" x14ac:dyDescent="0.25">
      <c r="A4" s="7" t="s">
        <v>18</v>
      </c>
      <c r="C4" s="2">
        <v>44474.326999999997</v>
      </c>
      <c r="D4" s="3">
        <v>0.35006710000000002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1:18" ht="13.5" thickTop="1" x14ac:dyDescent="0.2">
      <c r="A5" s="81" t="s">
        <v>176</v>
      </c>
      <c r="B5" s="45"/>
      <c r="C5" s="82">
        <v>8</v>
      </c>
      <c r="D5" s="45" t="s">
        <v>177</v>
      </c>
      <c r="E5"/>
      <c r="G5"/>
      <c r="H5"/>
      <c r="I5"/>
      <c r="J5"/>
      <c r="K5"/>
      <c r="L5"/>
      <c r="M5"/>
      <c r="N5"/>
      <c r="O5"/>
      <c r="P5"/>
      <c r="Q5"/>
      <c r="R5"/>
    </row>
    <row r="6" spans="1:18" x14ac:dyDescent="0.2">
      <c r="A6" s="7" t="s">
        <v>19</v>
      </c>
      <c r="E6"/>
      <c r="G6"/>
      <c r="H6"/>
      <c r="I6"/>
      <c r="J6"/>
      <c r="K6"/>
      <c r="L6"/>
      <c r="M6"/>
      <c r="N6"/>
      <c r="O6"/>
      <c r="P6"/>
      <c r="Q6"/>
      <c r="R6"/>
    </row>
    <row r="7" spans="1:18" x14ac:dyDescent="0.2">
      <c r="A7" t="s">
        <v>20</v>
      </c>
      <c r="C7">
        <v>53099.275699999998</v>
      </c>
      <c r="E7"/>
      <c r="G7"/>
      <c r="H7"/>
      <c r="I7"/>
      <c r="J7"/>
      <c r="K7"/>
      <c r="L7"/>
      <c r="M7"/>
      <c r="N7"/>
      <c r="O7"/>
      <c r="P7"/>
      <c r="Q7"/>
      <c r="R7"/>
    </row>
    <row r="8" spans="1:18" x14ac:dyDescent="0.2">
      <c r="A8" t="s">
        <v>21</v>
      </c>
      <c r="C8">
        <v>0.350067933</v>
      </c>
      <c r="E8"/>
      <c r="G8"/>
      <c r="H8"/>
      <c r="I8"/>
      <c r="J8"/>
      <c r="K8"/>
      <c r="L8"/>
      <c r="M8"/>
      <c r="N8"/>
      <c r="O8"/>
      <c r="P8"/>
      <c r="Q8"/>
      <c r="R8"/>
    </row>
    <row r="9" spans="1:18" x14ac:dyDescent="0.2">
      <c r="A9" s="22" t="s">
        <v>93</v>
      </c>
      <c r="B9" s="22"/>
      <c r="C9" s="22">
        <v>120</v>
      </c>
      <c r="D9" s="22" t="str">
        <f>"F"&amp;C9</f>
        <v>F120</v>
      </c>
      <c r="E9" s="22" t="str">
        <f>"G"&amp;C9</f>
        <v>G120</v>
      </c>
      <c r="G9"/>
      <c r="H9"/>
      <c r="I9"/>
      <c r="J9"/>
      <c r="K9"/>
      <c r="L9"/>
      <c r="M9"/>
      <c r="N9"/>
      <c r="O9"/>
      <c r="P9"/>
      <c r="Q9"/>
      <c r="R9"/>
    </row>
    <row r="10" spans="1:18" ht="13.5" thickBot="1" x14ac:dyDescent="0.25">
      <c r="C10" s="6" t="s">
        <v>37</v>
      </c>
      <c r="D10" s="6" t="s">
        <v>38</v>
      </c>
      <c r="E10"/>
      <c r="G10"/>
      <c r="H10"/>
      <c r="I10"/>
      <c r="J10"/>
      <c r="K10"/>
      <c r="L10"/>
      <c r="M10"/>
      <c r="N10"/>
      <c r="O10"/>
      <c r="P10"/>
      <c r="Q10"/>
      <c r="R10"/>
    </row>
    <row r="11" spans="1:18" x14ac:dyDescent="0.2">
      <c r="A11" t="s">
        <v>33</v>
      </c>
      <c r="C11" s="23">
        <f ca="1">INTERCEPT(INDIRECT(E9):G997,INDIRECT(D9):$F997)</f>
        <v>-1.5970379074282583E-3</v>
      </c>
      <c r="D11" s="5">
        <f>+E11*F11</f>
        <v>9.9921764287618392E-8</v>
      </c>
      <c r="E11" s="14">
        <v>0.99921764287618398</v>
      </c>
      <c r="F11">
        <v>9.9999999999999995E-8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x14ac:dyDescent="0.2">
      <c r="A12" t="s">
        <v>34</v>
      </c>
      <c r="C12" s="23">
        <f ca="1">SLOPE(INDIRECT(E9):G997,INDIRECT(D9):$F997)</f>
        <v>-8.9103957269745275E-7</v>
      </c>
      <c r="D12" s="5">
        <f>+E12*F12</f>
        <v>-2.5498111820140522E-7</v>
      </c>
      <c r="E12" s="15">
        <v>-2.5498111820140523</v>
      </c>
      <c r="F12">
        <v>9.9999999999999995E-8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ht="13.5" thickBot="1" x14ac:dyDescent="0.25">
      <c r="A13" t="s">
        <v>36</v>
      </c>
      <c r="C13" s="5" t="s">
        <v>31</v>
      </c>
      <c r="D13" s="5">
        <f>+E13*F13</f>
        <v>2.2739125225585019E-11</v>
      </c>
      <c r="E13" s="16">
        <v>0.22739125225585019</v>
      </c>
      <c r="F13">
        <v>1E-10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x14ac:dyDescent="0.2">
      <c r="A14" t="s">
        <v>41</v>
      </c>
      <c r="E14">
        <f>SUM(T21:T901)</f>
        <v>6.1565773467323883E-3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x14ac:dyDescent="0.2">
      <c r="A15" s="4" t="s">
        <v>35</v>
      </c>
      <c r="C15" s="17">
        <f ca="1">(C7+C11)+(C8+C12)*INT(MAX(F21:F3524))</f>
        <v>56408.45785061401</v>
      </c>
      <c r="D15" s="19">
        <f>+C7+INT(MAX(F21:F1579))*C8+D11+D12*INT(MAX(F21:F4014))+D13*INT(MAX(F21:F4041)^2)</f>
        <v>56408.467492362659</v>
      </c>
      <c r="E15" s="83" t="s">
        <v>178</v>
      </c>
      <c r="F15" s="82">
        <v>1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A16" s="7" t="s">
        <v>22</v>
      </c>
      <c r="C16" s="18">
        <f ca="1">+C8+C12</f>
        <v>0.35006704196042732</v>
      </c>
      <c r="D16" s="19">
        <f>+C8+D12+2*D13*F95</f>
        <v>0.35006791179982821</v>
      </c>
      <c r="E16" s="83" t="s">
        <v>179</v>
      </c>
      <c r="F16" s="84">
        <f ca="1">NOW()+15018.5+$C$5/24</f>
        <v>60310.486301041667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22" ht="13.5" thickBot="1" x14ac:dyDescent="0.25">
      <c r="A17" s="23" t="s">
        <v>88</v>
      </c>
      <c r="C17">
        <f>COUNT(C21:C2182)</f>
        <v>157</v>
      </c>
      <c r="E17" s="83" t="s">
        <v>180</v>
      </c>
      <c r="F17" s="84">
        <f ca="1">ROUND(2*(F16-$C$7)/$C$8,0)/2+F15</f>
        <v>20600.5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22" ht="14.25" thickTop="1" thickBot="1" x14ac:dyDescent="0.25">
      <c r="A18" s="7" t="s">
        <v>183</v>
      </c>
      <c r="C18" s="40">
        <f ca="1">+C15</f>
        <v>56408.45785061401</v>
      </c>
      <c r="D18" s="41">
        <f ca="1">C16</f>
        <v>0.35006704196042732</v>
      </c>
      <c r="E18" s="83" t="s">
        <v>181</v>
      </c>
      <c r="F18" s="19">
        <f ca="1">ROUND(2*(F16-$C$15)/$C$16,0)/2+F15</f>
        <v>11147.5</v>
      </c>
      <c r="G18"/>
      <c r="H18"/>
      <c r="I18"/>
      <c r="J18"/>
      <c r="K18"/>
      <c r="L18"/>
      <c r="M18"/>
      <c r="N18"/>
      <c r="O18"/>
      <c r="P18"/>
      <c r="Q18"/>
      <c r="R18"/>
    </row>
    <row r="19" spans="1:22" ht="13.5" thickBot="1" x14ac:dyDescent="0.25">
      <c r="A19" s="7" t="s">
        <v>184</v>
      </c>
      <c r="B19">
        <f>COUNT(C21:C4730)</f>
        <v>157</v>
      </c>
      <c r="C19" s="20">
        <f>+D15</f>
        <v>56408.467492362659</v>
      </c>
      <c r="D19" s="21">
        <f>+D16</f>
        <v>0.35006791179982821</v>
      </c>
      <c r="E19" s="83" t="s">
        <v>182</v>
      </c>
      <c r="F19" s="85">
        <f ca="1">+$C$15+$C$16*F18-15018.5-$C$5/24</f>
        <v>45291.996867534537</v>
      </c>
      <c r="G19"/>
      <c r="H19"/>
      <c r="I19"/>
      <c r="J19"/>
      <c r="K19"/>
      <c r="L19"/>
      <c r="M19"/>
      <c r="N19"/>
      <c r="O19"/>
      <c r="P19"/>
      <c r="Q19"/>
      <c r="R19"/>
    </row>
    <row r="20" spans="1:22" ht="15" thickBot="1" x14ac:dyDescent="0.25">
      <c r="A20" s="6" t="s">
        <v>23</v>
      </c>
      <c r="B20" s="6" t="s">
        <v>24</v>
      </c>
      <c r="C20" s="6" t="s">
        <v>25</v>
      </c>
      <c r="D20" s="6" t="s">
        <v>30</v>
      </c>
      <c r="E20" s="6" t="s">
        <v>26</v>
      </c>
      <c r="F20" s="6" t="s">
        <v>27</v>
      </c>
      <c r="G20" s="6" t="s">
        <v>28</v>
      </c>
      <c r="H20" s="9" t="s">
        <v>29</v>
      </c>
      <c r="I20" s="9" t="s">
        <v>49</v>
      </c>
      <c r="J20" s="9" t="s">
        <v>51</v>
      </c>
      <c r="K20" s="9" t="s">
        <v>84</v>
      </c>
      <c r="L20" s="9" t="s">
        <v>60</v>
      </c>
      <c r="M20" s="9" t="s">
        <v>205</v>
      </c>
      <c r="N20" s="9" t="s">
        <v>90</v>
      </c>
      <c r="O20" s="9" t="s">
        <v>43</v>
      </c>
      <c r="P20" s="9" t="s">
        <v>40</v>
      </c>
      <c r="Q20" s="8" t="s">
        <v>39</v>
      </c>
      <c r="R20" s="6" t="s">
        <v>32</v>
      </c>
      <c r="S20" s="95" t="s">
        <v>102</v>
      </c>
      <c r="T20" s="8" t="s">
        <v>196</v>
      </c>
      <c r="U20" s="8" t="s">
        <v>198</v>
      </c>
      <c r="V20" s="8" t="s">
        <v>197</v>
      </c>
    </row>
    <row r="21" spans="1:22" s="24" customFormat="1" x14ac:dyDescent="0.2">
      <c r="A21" s="90" t="s">
        <v>200</v>
      </c>
      <c r="B21" s="91" t="s">
        <v>53</v>
      </c>
      <c r="C21" s="92">
        <v>50590.684999999998</v>
      </c>
      <c r="D21" s="92"/>
      <c r="E21" s="98">
        <f t="shared" ref="E21:E52" si="0">+(C21-C$7)/C$8</f>
        <v>-7166.0111181905959</v>
      </c>
      <c r="F21" s="24">
        <f t="shared" ref="F21:F52" si="1">ROUND(2*E21,0)/2</f>
        <v>-7166</v>
      </c>
      <c r="G21" s="27">
        <f t="shared" ref="G21:G62" si="2">+C21-(C$7+F21*C$8)</f>
        <v>-3.8921220038901083E-3</v>
      </c>
      <c r="H21" s="27"/>
      <c r="I21" s="27"/>
      <c r="J21" s="12"/>
      <c r="K21" s="27"/>
      <c r="L21" s="27"/>
      <c r="M21" s="27"/>
      <c r="N21" s="12"/>
      <c r="O21" s="27">
        <f>+G21</f>
        <v>-3.8921220038901083E-3</v>
      </c>
      <c r="P21" s="27">
        <f ca="1">+C$11+C$12*$F21</f>
        <v>4.7881516705216877E-3</v>
      </c>
      <c r="Q21" s="27">
        <f t="shared" ref="Q21:Q52" si="3">+D$11+D$12*F21+D$13*F21^2</f>
        <v>2.994984077208199E-3</v>
      </c>
      <c r="R21" s="28">
        <f t="shared" ref="R21:R52" si="4">+C21-15018.5</f>
        <v>35572.184999999998</v>
      </c>
      <c r="S21" s="96"/>
      <c r="T21" s="24">
        <f t="shared" ref="T21:T43" si="5">+(Q21-G21)^2</f>
        <v>4.7432230172301286E-5</v>
      </c>
      <c r="U21"/>
      <c r="V21"/>
    </row>
    <row r="22" spans="1:22" s="24" customFormat="1" x14ac:dyDescent="0.2">
      <c r="A22" s="90" t="s">
        <v>200</v>
      </c>
      <c r="B22" s="91" t="s">
        <v>53</v>
      </c>
      <c r="C22" s="92">
        <v>51056.629000000001</v>
      </c>
      <c r="D22" s="92"/>
      <c r="E22" s="98">
        <f t="shared" si="0"/>
        <v>-5835.0008882418761</v>
      </c>
      <c r="F22" s="24">
        <f t="shared" si="1"/>
        <v>-5835</v>
      </c>
      <c r="G22" s="27">
        <f t="shared" si="2"/>
        <v>-3.1094499718165025E-4</v>
      </c>
      <c r="H22" s="27"/>
      <c r="I22" s="27"/>
      <c r="J22" s="12"/>
      <c r="K22" s="27"/>
      <c r="L22" s="27"/>
      <c r="M22" s="27"/>
      <c r="N22" s="12"/>
      <c r="O22" s="27">
        <f>+G22</f>
        <v>-3.1094499718165025E-4</v>
      </c>
      <c r="P22" s="27">
        <f ca="1">+C$11+C$12*$F22</f>
        <v>3.6021779992613783E-3</v>
      </c>
      <c r="Q22" s="27">
        <f t="shared" si="3"/>
        <v>2.262118859328156E-3</v>
      </c>
      <c r="R22" s="28">
        <f t="shared" si="4"/>
        <v>36038.129000000001</v>
      </c>
      <c r="S22" s="96"/>
      <c r="T22" s="24">
        <f t="shared" si="5"/>
        <v>6.6206576096771163E-6</v>
      </c>
      <c r="U22"/>
      <c r="V22"/>
    </row>
    <row r="23" spans="1:22" s="24" customFormat="1" x14ac:dyDescent="0.2">
      <c r="A23" s="24" t="s">
        <v>82</v>
      </c>
      <c r="B23" s="29"/>
      <c r="C23" s="25">
        <v>48396.468399999998</v>
      </c>
      <c r="D23" s="25"/>
      <c r="E23" s="26">
        <f t="shared" si="0"/>
        <v>-13433.984826025184</v>
      </c>
      <c r="F23" s="24">
        <f t="shared" si="1"/>
        <v>-13434</v>
      </c>
      <c r="G23" s="27">
        <f t="shared" si="2"/>
        <v>5.3119219955988228E-3</v>
      </c>
      <c r="H23" s="27"/>
      <c r="I23" s="27"/>
      <c r="J23" s="27">
        <f t="shared" ref="J23:J28" si="6">G23</f>
        <v>5.3119219955988228E-3</v>
      </c>
      <c r="K23" s="27"/>
      <c r="L23" s="27"/>
      <c r="M23" s="27"/>
      <c r="N23" s="27"/>
      <c r="O23" s="27"/>
      <c r="P23" s="27"/>
      <c r="Q23" s="27">
        <f t="shared" si="3"/>
        <v>7.5292997665223262E-3</v>
      </c>
      <c r="R23" s="28">
        <f t="shared" si="4"/>
        <v>33377.968399999998</v>
      </c>
      <c r="S23" s="96"/>
      <c r="T23" s="24">
        <f t="shared" si="5"/>
        <v>4.916764178985685E-6</v>
      </c>
    </row>
    <row r="24" spans="1:22" s="24" customFormat="1" x14ac:dyDescent="0.2">
      <c r="A24" s="24" t="s">
        <v>82</v>
      </c>
      <c r="B24" s="29"/>
      <c r="C24" s="25">
        <v>48397.3439</v>
      </c>
      <c r="D24" s="25"/>
      <c r="E24" s="26">
        <f t="shared" si="0"/>
        <v>-13431.483882872524</v>
      </c>
      <c r="F24" s="24">
        <f t="shared" si="1"/>
        <v>-13431.5</v>
      </c>
      <c r="G24" s="27">
        <f t="shared" si="2"/>
        <v>5.6420895052724518E-3</v>
      </c>
      <c r="H24" s="27"/>
      <c r="I24" s="27"/>
      <c r="J24" s="27">
        <f t="shared" si="6"/>
        <v>5.6420895052724518E-3</v>
      </c>
      <c r="K24" s="27"/>
      <c r="L24" s="27"/>
      <c r="M24" s="27"/>
      <c r="N24" s="27"/>
      <c r="O24" s="27"/>
      <c r="P24" s="27"/>
      <c r="Q24" s="27">
        <f t="shared" si="3"/>
        <v>7.5271350688049521E-3</v>
      </c>
      <c r="R24" s="28">
        <f t="shared" si="4"/>
        <v>33378.8439</v>
      </c>
      <c r="S24" s="96"/>
      <c r="T24" s="24">
        <f t="shared" si="5"/>
        <v>3.5533967765935616E-6</v>
      </c>
    </row>
    <row r="25" spans="1:22" s="24" customFormat="1" x14ac:dyDescent="0.2">
      <c r="A25" s="24" t="s">
        <v>82</v>
      </c>
      <c r="B25" s="29"/>
      <c r="C25" s="25">
        <v>48397.344700000001</v>
      </c>
      <c r="D25" s="25"/>
      <c r="E25" s="26">
        <f t="shared" si="0"/>
        <v>-13431.481597601791</v>
      </c>
      <c r="F25" s="24">
        <f t="shared" si="1"/>
        <v>-13431.5</v>
      </c>
      <c r="G25" s="27">
        <f t="shared" si="2"/>
        <v>6.4420895068906248E-3</v>
      </c>
      <c r="H25" s="27"/>
      <c r="I25" s="27"/>
      <c r="J25" s="27">
        <f t="shared" si="6"/>
        <v>6.4420895068906248E-3</v>
      </c>
      <c r="K25" s="27"/>
      <c r="L25" s="27"/>
      <c r="M25" s="27"/>
      <c r="N25" s="27"/>
      <c r="O25" s="27"/>
      <c r="P25" s="27"/>
      <c r="Q25" s="27">
        <f t="shared" si="3"/>
        <v>7.5271350688049521E-3</v>
      </c>
      <c r="R25" s="28">
        <f t="shared" si="4"/>
        <v>33378.844700000001</v>
      </c>
      <c r="S25" s="96"/>
      <c r="T25" s="24">
        <f t="shared" si="5"/>
        <v>1.1773238714299783E-6</v>
      </c>
    </row>
    <row r="26" spans="1:22" s="24" customFormat="1" x14ac:dyDescent="0.2">
      <c r="A26" s="24" t="s">
        <v>82</v>
      </c>
      <c r="B26" s="29"/>
      <c r="C26" s="25">
        <v>48397.518700000001</v>
      </c>
      <c r="D26" s="25"/>
      <c r="E26" s="26">
        <f t="shared" si="0"/>
        <v>-13430.984551218515</v>
      </c>
      <c r="F26" s="24">
        <f t="shared" si="1"/>
        <v>-13431</v>
      </c>
      <c r="G26" s="27">
        <f t="shared" si="2"/>
        <v>5.4081230045994744E-3</v>
      </c>
      <c r="H26" s="27"/>
      <c r="I26" s="27"/>
      <c r="J26" s="27">
        <f t="shared" si="6"/>
        <v>5.4081230045994744E-3</v>
      </c>
      <c r="K26" s="27"/>
      <c r="L26" s="27"/>
      <c r="M26" s="27"/>
      <c r="N26" s="27"/>
      <c r="O26" s="27"/>
      <c r="P26" s="27"/>
      <c r="Q26" s="27">
        <f t="shared" si="3"/>
        <v>7.5267021633701652E-3</v>
      </c>
      <c r="R26" s="28">
        <f t="shared" si="4"/>
        <v>33379.018700000001</v>
      </c>
      <c r="S26" s="96"/>
      <c r="T26" s="24">
        <f t="shared" si="5"/>
        <v>4.4883776519775281E-6</v>
      </c>
    </row>
    <row r="27" spans="1:22" s="24" customFormat="1" x14ac:dyDescent="0.2">
      <c r="A27" s="24" t="s">
        <v>82</v>
      </c>
      <c r="B27" s="29"/>
      <c r="C27" s="25">
        <v>48398.394800000002</v>
      </c>
      <c r="D27" s="25"/>
      <c r="E27" s="26">
        <f t="shared" si="0"/>
        <v>-13428.481894112811</v>
      </c>
      <c r="F27" s="24">
        <f t="shared" si="1"/>
        <v>-13428.5</v>
      </c>
      <c r="G27" s="27">
        <f t="shared" si="2"/>
        <v>6.338290506391786E-3</v>
      </c>
      <c r="H27" s="27"/>
      <c r="I27" s="27"/>
      <c r="J27" s="27">
        <f t="shared" si="6"/>
        <v>6.338290506391786E-3</v>
      </c>
      <c r="K27" s="27"/>
      <c r="L27" s="27"/>
      <c r="M27" s="27"/>
      <c r="N27" s="27"/>
      <c r="O27" s="27"/>
      <c r="P27" s="27"/>
      <c r="Q27" s="27">
        <f t="shared" si="3"/>
        <v>7.5245378067396694E-3</v>
      </c>
      <c r="R27" s="28">
        <f t="shared" si="4"/>
        <v>33379.894800000002</v>
      </c>
      <c r="S27" s="96"/>
      <c r="T27" s="24">
        <f t="shared" si="5"/>
        <v>1.4071826575826415E-6</v>
      </c>
    </row>
    <row r="28" spans="1:22" s="24" customFormat="1" x14ac:dyDescent="0.2">
      <c r="A28" s="24" t="s">
        <v>82</v>
      </c>
      <c r="B28" s="29"/>
      <c r="C28" s="25">
        <v>48398.395299999996</v>
      </c>
      <c r="D28" s="25"/>
      <c r="E28" s="26">
        <f t="shared" si="0"/>
        <v>-13428.48046581862</v>
      </c>
      <c r="F28" s="24">
        <f t="shared" si="1"/>
        <v>-13428.5</v>
      </c>
      <c r="G28" s="27">
        <f t="shared" si="2"/>
        <v>6.8382905010366812E-3</v>
      </c>
      <c r="H28" s="27"/>
      <c r="I28" s="27"/>
      <c r="J28" s="27">
        <f t="shared" si="6"/>
        <v>6.8382905010366812E-3</v>
      </c>
      <c r="K28" s="27"/>
      <c r="L28" s="27"/>
      <c r="M28" s="27"/>
      <c r="N28" s="27"/>
      <c r="O28" s="27"/>
      <c r="P28" s="27"/>
      <c r="Q28" s="27">
        <f t="shared" si="3"/>
        <v>7.5245378067396694E-3</v>
      </c>
      <c r="R28" s="28">
        <f t="shared" si="4"/>
        <v>33379.895299999996</v>
      </c>
      <c r="S28" s="96"/>
      <c r="T28" s="24">
        <f t="shared" si="5"/>
        <v>4.7093536458461052E-7</v>
      </c>
    </row>
    <row r="29" spans="1:22" s="24" customFormat="1" x14ac:dyDescent="0.2">
      <c r="A29" s="24" t="s">
        <v>80</v>
      </c>
      <c r="B29" s="29"/>
      <c r="C29" s="25">
        <v>47349.425000000003</v>
      </c>
      <c r="D29" s="25"/>
      <c r="E29" s="26">
        <f t="shared" si="0"/>
        <v>-16424.956866871882</v>
      </c>
      <c r="F29" s="24">
        <f t="shared" si="1"/>
        <v>-16425</v>
      </c>
      <c r="G29" s="27">
        <f t="shared" si="2"/>
        <v>1.5099525000550784E-2</v>
      </c>
      <c r="H29" s="27"/>
      <c r="I29" s="27"/>
      <c r="J29" s="27"/>
      <c r="K29" s="27">
        <f>G29</f>
        <v>1.5099525000550784E-2</v>
      </c>
      <c r="L29" s="27"/>
      <c r="M29" s="27"/>
      <c r="N29" s="27"/>
      <c r="O29" s="27"/>
      <c r="P29" s="27"/>
      <c r="Q29" s="27">
        <f t="shared" si="3"/>
        <v>1.0322740203533961E-2</v>
      </c>
      <c r="R29" s="28">
        <f t="shared" si="4"/>
        <v>32330.925000000003</v>
      </c>
      <c r="S29" s="96"/>
      <c r="T29" s="24">
        <f t="shared" si="5"/>
        <v>2.2817672997011054E-5</v>
      </c>
    </row>
    <row r="30" spans="1:22" s="24" customFormat="1" x14ac:dyDescent="0.2">
      <c r="A30" s="24" t="s">
        <v>67</v>
      </c>
      <c r="B30" s="29"/>
      <c r="C30" s="25">
        <v>43248.389000000003</v>
      </c>
      <c r="D30" s="25"/>
      <c r="E30" s="26">
        <f t="shared" si="0"/>
        <v>-28139.928772053496</v>
      </c>
      <c r="F30" s="24">
        <f t="shared" si="1"/>
        <v>-28140</v>
      </c>
      <c r="G30" s="27">
        <f t="shared" si="2"/>
        <v>2.4934620007115882E-2</v>
      </c>
      <c r="H30" s="27"/>
      <c r="I30" s="27"/>
      <c r="J30" s="27"/>
      <c r="K30" s="27"/>
      <c r="L30" s="27"/>
      <c r="M30" s="27"/>
      <c r="N30" s="27"/>
      <c r="O30" s="27">
        <f t="shared" ref="O30:O39" si="7">G30</f>
        <v>2.4934620007115882E-2</v>
      </c>
      <c r="P30" s="27"/>
      <c r="Q30" s="27">
        <f t="shared" si="3"/>
        <v>2.5181463193433493E-2</v>
      </c>
      <c r="R30" s="28">
        <f t="shared" si="4"/>
        <v>28229.889000000003</v>
      </c>
      <c r="S30" s="96"/>
      <c r="T30" s="24">
        <f t="shared" si="5"/>
        <v>6.093155863143068E-8</v>
      </c>
    </row>
    <row r="31" spans="1:22" s="24" customFormat="1" x14ac:dyDescent="0.2">
      <c r="A31" s="24" t="s">
        <v>67</v>
      </c>
      <c r="B31" s="29"/>
      <c r="C31" s="25">
        <v>43258.368000000002</v>
      </c>
      <c r="D31" s="25"/>
      <c r="E31" s="26">
        <f t="shared" si="0"/>
        <v>-28111.422876313543</v>
      </c>
      <c r="F31" s="24">
        <f t="shared" si="1"/>
        <v>-28111.5</v>
      </c>
      <c r="G31" s="27">
        <f t="shared" si="2"/>
        <v>2.6998529501724988E-2</v>
      </c>
      <c r="H31" s="27"/>
      <c r="I31" s="27"/>
      <c r="J31" s="27"/>
      <c r="K31" s="27"/>
      <c r="L31" s="27"/>
      <c r="M31" s="27"/>
      <c r="N31" s="27"/>
      <c r="O31" s="27">
        <f t="shared" si="7"/>
        <v>2.6998529501724988E-2</v>
      </c>
      <c r="P31" s="27"/>
      <c r="Q31" s="27">
        <f t="shared" si="3"/>
        <v>2.5137741599339881E-2</v>
      </c>
      <c r="R31" s="28">
        <f t="shared" si="4"/>
        <v>28239.868000000002</v>
      </c>
      <c r="S31" s="96"/>
      <c r="T31" s="24">
        <f t="shared" si="5"/>
        <v>3.4625316176627657E-6</v>
      </c>
    </row>
    <row r="32" spans="1:22" s="24" customFormat="1" x14ac:dyDescent="0.2">
      <c r="A32" s="24" t="s">
        <v>67</v>
      </c>
      <c r="B32" s="29"/>
      <c r="C32" s="25">
        <v>43292.508999999998</v>
      </c>
      <c r="D32" s="25"/>
      <c r="E32" s="26">
        <f t="shared" si="0"/>
        <v>-28013.89609141949</v>
      </c>
      <c r="F32" s="24">
        <f t="shared" si="1"/>
        <v>-28014</v>
      </c>
      <c r="G32" s="27">
        <f t="shared" si="2"/>
        <v>3.6375062001752667E-2</v>
      </c>
      <c r="H32" s="27"/>
      <c r="I32" s="27"/>
      <c r="J32" s="27"/>
      <c r="K32" s="27"/>
      <c r="L32" s="27"/>
      <c r="M32" s="27"/>
      <c r="N32" s="27"/>
      <c r="O32" s="27">
        <f t="shared" si="7"/>
        <v>3.6375062001752667E-2</v>
      </c>
      <c r="P32" s="27"/>
      <c r="Q32" s="27">
        <f t="shared" si="3"/>
        <v>2.4988447074962512E-2</v>
      </c>
      <c r="R32" s="28">
        <f t="shared" si="4"/>
        <v>28274.008999999998</v>
      </c>
      <c r="S32" s="96"/>
      <c r="T32" s="24">
        <f t="shared" si="5"/>
        <v>1.2965499949100037E-4</v>
      </c>
    </row>
    <row r="33" spans="1:32" s="24" customFormat="1" x14ac:dyDescent="0.2">
      <c r="A33" s="24" t="s">
        <v>67</v>
      </c>
      <c r="B33" s="29"/>
      <c r="C33" s="25">
        <v>43294.438999999998</v>
      </c>
      <c r="D33" s="25"/>
      <c r="E33" s="26">
        <f t="shared" si="0"/>
        <v>-28008.382875788855</v>
      </c>
      <c r="F33" s="24">
        <f t="shared" si="1"/>
        <v>-28008.5</v>
      </c>
      <c r="G33" s="27">
        <f t="shared" si="2"/>
        <v>4.1001430501637515E-2</v>
      </c>
      <c r="H33" s="27"/>
      <c r="I33" s="27"/>
      <c r="J33" s="27"/>
      <c r="K33" s="27"/>
      <c r="L33" s="27"/>
      <c r="M33" s="27"/>
      <c r="N33" s="27"/>
      <c r="O33" s="27">
        <f t="shared" si="7"/>
        <v>4.1001430501637515E-2</v>
      </c>
      <c r="P33" s="27"/>
      <c r="Q33" s="27">
        <f t="shared" si="3"/>
        <v>2.4980038214276176E-2</v>
      </c>
      <c r="R33" s="28">
        <f t="shared" si="4"/>
        <v>28275.938999999998</v>
      </c>
      <c r="S33" s="96"/>
      <c r="T33" s="24">
        <f t="shared" si="5"/>
        <v>2.566850108255214E-4</v>
      </c>
    </row>
    <row r="34" spans="1:32" s="24" customFormat="1" x14ac:dyDescent="0.2">
      <c r="A34" s="24" t="s">
        <v>67</v>
      </c>
      <c r="B34" s="29"/>
      <c r="C34" s="25">
        <v>43296.540999999997</v>
      </c>
      <c r="D34" s="25"/>
      <c r="E34" s="26">
        <f t="shared" si="0"/>
        <v>-28002.378326951759</v>
      </c>
      <c r="F34" s="24">
        <f t="shared" si="1"/>
        <v>-28002.5</v>
      </c>
      <c r="G34" s="27">
        <f t="shared" si="2"/>
        <v>4.2593832498823758E-2</v>
      </c>
      <c r="H34" s="27"/>
      <c r="I34" s="27"/>
      <c r="J34" s="27"/>
      <c r="K34" s="27"/>
      <c r="L34" s="27"/>
      <c r="M34" s="27"/>
      <c r="N34" s="27"/>
      <c r="O34" s="27">
        <f t="shared" si="7"/>
        <v>4.2593832498823758E-2</v>
      </c>
      <c r="P34" s="27"/>
      <c r="Q34" s="27">
        <f t="shared" si="3"/>
        <v>2.4970866480708908E-2</v>
      </c>
      <c r="R34" s="28">
        <f t="shared" si="4"/>
        <v>28278.040999999997</v>
      </c>
      <c r="S34" s="96"/>
      <c r="T34" s="24">
        <f t="shared" si="5"/>
        <v>3.1056893127563077E-4</v>
      </c>
    </row>
    <row r="35" spans="1:32" s="24" customFormat="1" x14ac:dyDescent="0.2">
      <c r="A35" s="24" t="s">
        <v>63</v>
      </c>
      <c r="B35" s="29"/>
      <c r="C35" s="25">
        <v>42858.243699999999</v>
      </c>
      <c r="D35" s="25"/>
      <c r="E35" s="26">
        <f t="shared" si="0"/>
        <v>-29254.413314115234</v>
      </c>
      <c r="F35" s="24">
        <f t="shared" si="1"/>
        <v>-29254.5</v>
      </c>
      <c r="G35" s="27">
        <f t="shared" si="2"/>
        <v>3.0345948500325903E-2</v>
      </c>
      <c r="H35" s="27"/>
      <c r="I35" s="27"/>
      <c r="J35" s="27"/>
      <c r="K35" s="27"/>
      <c r="L35" s="27"/>
      <c r="M35" s="27"/>
      <c r="N35" s="27"/>
      <c r="O35" s="27">
        <f t="shared" si="7"/>
        <v>3.0345948500325903E-2</v>
      </c>
      <c r="P35" s="27"/>
      <c r="Q35" s="27">
        <f t="shared" si="3"/>
        <v>2.69201744051848E-2</v>
      </c>
      <c r="R35" s="28">
        <f t="shared" si="4"/>
        <v>27839.743699999999</v>
      </c>
      <c r="S35" s="96"/>
      <c r="T35" s="24">
        <f t="shared" si="5"/>
        <v>1.1735928150939842E-5</v>
      </c>
    </row>
    <row r="36" spans="1:32" s="24" customFormat="1" x14ac:dyDescent="0.2">
      <c r="A36" s="24" t="s">
        <v>63</v>
      </c>
      <c r="B36" s="29"/>
      <c r="C36" s="25">
        <v>43215.310400000002</v>
      </c>
      <c r="D36" s="25"/>
      <c r="E36" s="26">
        <f t="shared" si="0"/>
        <v>-28234.420717421141</v>
      </c>
      <c r="F36" s="24">
        <f t="shared" si="1"/>
        <v>-28234.5</v>
      </c>
      <c r="G36" s="27">
        <f t="shared" si="2"/>
        <v>2.7754288501455449E-2</v>
      </c>
      <c r="H36" s="27"/>
      <c r="I36" s="27"/>
      <c r="J36" s="27"/>
      <c r="K36" s="27"/>
      <c r="L36" s="27"/>
      <c r="M36" s="27"/>
      <c r="N36" s="27"/>
      <c r="O36" s="27">
        <f t="shared" si="7"/>
        <v>2.7754288501455449E-2</v>
      </c>
      <c r="P36" s="27"/>
      <c r="Q36" s="27">
        <f t="shared" si="3"/>
        <v>2.5326699103123837E-2</v>
      </c>
      <c r="R36" s="28">
        <f t="shared" si="4"/>
        <v>28196.810400000002</v>
      </c>
      <c r="S36" s="96"/>
      <c r="T36" s="24">
        <f t="shared" si="5"/>
        <v>5.8931902868920361E-6</v>
      </c>
      <c r="AB36" s="24">
        <v>11</v>
      </c>
      <c r="AD36" s="24" t="s">
        <v>44</v>
      </c>
      <c r="AF36" s="24" t="s">
        <v>46</v>
      </c>
    </row>
    <row r="37" spans="1:32" s="24" customFormat="1" x14ac:dyDescent="0.2">
      <c r="A37" s="24" t="s">
        <v>63</v>
      </c>
      <c r="B37" s="29"/>
      <c r="C37" s="25">
        <v>43244.190399999999</v>
      </c>
      <c r="D37" s="25"/>
      <c r="E37" s="26">
        <f t="shared" si="0"/>
        <v>-28151.922444150288</v>
      </c>
      <c r="F37" s="24">
        <f t="shared" si="1"/>
        <v>-28152</v>
      </c>
      <c r="G37" s="27">
        <f t="shared" si="2"/>
        <v>2.71498160000192E-2</v>
      </c>
      <c r="H37" s="27"/>
      <c r="I37" s="27"/>
      <c r="J37" s="27"/>
      <c r="K37" s="27"/>
      <c r="L37" s="27"/>
      <c r="M37" s="27"/>
      <c r="N37" s="27"/>
      <c r="O37" s="27">
        <f t="shared" si="7"/>
        <v>2.71498160000192E-2</v>
      </c>
      <c r="P37" s="27"/>
      <c r="Q37" s="27">
        <f t="shared" si="3"/>
        <v>2.5199883336898293E-2</v>
      </c>
      <c r="R37" s="28">
        <f t="shared" si="4"/>
        <v>28225.690399999999</v>
      </c>
      <c r="S37" s="96"/>
      <c r="T37" s="24">
        <f t="shared" si="5"/>
        <v>3.802237390705792E-6</v>
      </c>
      <c r="AB37" s="24">
        <v>10</v>
      </c>
      <c r="AD37" s="24" t="s">
        <v>44</v>
      </c>
      <c r="AF37" s="24" t="s">
        <v>46</v>
      </c>
    </row>
    <row r="38" spans="1:32" s="24" customFormat="1" x14ac:dyDescent="0.2">
      <c r="A38" s="24" t="s">
        <v>63</v>
      </c>
      <c r="B38" s="29"/>
      <c r="C38" s="25">
        <v>43277.097199999997</v>
      </c>
      <c r="D38" s="25"/>
      <c r="E38" s="26">
        <f t="shared" si="0"/>
        <v>-28057.921260671432</v>
      </c>
      <c r="F38" s="24">
        <f t="shared" si="1"/>
        <v>-28058</v>
      </c>
      <c r="G38" s="27">
        <f t="shared" si="2"/>
        <v>2.7564113996049855E-2</v>
      </c>
      <c r="H38" s="27"/>
      <c r="I38" s="27"/>
      <c r="J38" s="27"/>
      <c r="K38" s="27"/>
      <c r="L38" s="27"/>
      <c r="M38" s="27"/>
      <c r="N38" s="27"/>
      <c r="O38" s="27">
        <f t="shared" si="7"/>
        <v>2.7564113996049855E-2</v>
      </c>
      <c r="P38" s="27"/>
      <c r="Q38" s="27">
        <f t="shared" si="3"/>
        <v>2.5055767486267928E-2</v>
      </c>
      <c r="R38" s="28">
        <f t="shared" si="4"/>
        <v>28258.597199999997</v>
      </c>
      <c r="S38" s="96"/>
      <c r="T38" s="24">
        <f t="shared" si="5"/>
        <v>6.2918022131351728E-6</v>
      </c>
    </row>
    <row r="39" spans="1:32" s="24" customFormat="1" x14ac:dyDescent="0.2">
      <c r="A39" s="24" t="s">
        <v>63</v>
      </c>
      <c r="B39" s="29"/>
      <c r="C39" s="25">
        <v>43280.074200000003</v>
      </c>
      <c r="D39" s="25"/>
      <c r="E39" s="26">
        <f t="shared" si="0"/>
        <v>-28049.417196975868</v>
      </c>
      <c r="F39" s="24">
        <f t="shared" si="1"/>
        <v>-28049.5</v>
      </c>
      <c r="G39" s="27">
        <f t="shared" si="2"/>
        <v>2.8986683508264832E-2</v>
      </c>
      <c r="H39" s="27"/>
      <c r="I39" s="27"/>
      <c r="J39" s="27"/>
      <c r="K39" s="27"/>
      <c r="L39" s="27"/>
      <c r="M39" s="27"/>
      <c r="N39" s="27"/>
      <c r="O39" s="27">
        <f t="shared" si="7"/>
        <v>2.8986683508264832E-2</v>
      </c>
      <c r="P39" s="27"/>
      <c r="Q39" s="27">
        <f t="shared" si="3"/>
        <v>2.5042755545280161E-2</v>
      </c>
      <c r="R39" s="28">
        <f t="shared" si="4"/>
        <v>28261.574200000003</v>
      </c>
      <c r="S39" s="96"/>
      <c r="T39" s="24">
        <f t="shared" si="5"/>
        <v>1.5554567777212416E-5</v>
      </c>
    </row>
    <row r="40" spans="1:32" s="24" customFormat="1" x14ac:dyDescent="0.2">
      <c r="A40" s="24" t="s">
        <v>194</v>
      </c>
      <c r="B40" s="29"/>
      <c r="C40" s="25">
        <v>46127.688800000004</v>
      </c>
      <c r="D40" s="25"/>
      <c r="E40" s="26">
        <f t="shared" si="0"/>
        <v>-19914.954335448929</v>
      </c>
      <c r="F40" s="24">
        <f t="shared" si="1"/>
        <v>-19915</v>
      </c>
      <c r="G40" s="27">
        <f t="shared" si="2"/>
        <v>1.5985695004928857E-2</v>
      </c>
      <c r="H40" s="27"/>
      <c r="I40" s="27"/>
      <c r="J40" s="27">
        <f>G40</f>
        <v>1.5985695004928857E-2</v>
      </c>
      <c r="K40" s="27"/>
      <c r="L40" s="27"/>
      <c r="M40" s="27"/>
      <c r="N40" s="27"/>
      <c r="O40" s="27"/>
      <c r="P40" s="27"/>
      <c r="Q40" s="27">
        <f t="shared" si="3"/>
        <v>1.4096550245392046E-2</v>
      </c>
      <c r="R40" s="28">
        <f t="shared" si="4"/>
        <v>31109.188800000004</v>
      </c>
      <c r="S40" s="96"/>
      <c r="T40" s="24">
        <f t="shared" si="5"/>
        <v>3.5688679224853945E-6</v>
      </c>
    </row>
    <row r="41" spans="1:32" s="24" customFormat="1" x14ac:dyDescent="0.2">
      <c r="A41" s="24" t="s">
        <v>45</v>
      </c>
      <c r="B41" s="29"/>
      <c r="C41" s="25">
        <v>48801.500999999997</v>
      </c>
      <c r="D41" s="25">
        <v>3.0000000000000001E-3</v>
      </c>
      <c r="E41" s="26">
        <f t="shared" si="0"/>
        <v>-12276.97339533239</v>
      </c>
      <c r="F41" s="24">
        <f t="shared" si="1"/>
        <v>-12277</v>
      </c>
      <c r="G41" s="27">
        <f t="shared" si="2"/>
        <v>9.3134409980848432E-3</v>
      </c>
      <c r="H41" s="27"/>
      <c r="I41" s="27">
        <f>+G41</f>
        <v>9.3134409980848432E-3</v>
      </c>
      <c r="J41" s="27"/>
      <c r="K41" s="27"/>
      <c r="L41" s="27"/>
      <c r="M41" s="27"/>
      <c r="N41" s="27"/>
      <c r="O41" s="27"/>
      <c r="P41" s="27"/>
      <c r="Q41" s="27">
        <f t="shared" si="3"/>
        <v>6.5578515972463053E-3</v>
      </c>
      <c r="R41" s="28">
        <f t="shared" si="4"/>
        <v>33783.000999999997</v>
      </c>
      <c r="S41" s="96"/>
      <c r="T41" s="24">
        <f t="shared" si="5"/>
        <v>7.593272946013692E-6</v>
      </c>
    </row>
    <row r="42" spans="1:32" s="24" customFormat="1" x14ac:dyDescent="0.2">
      <c r="A42" s="36" t="s">
        <v>47</v>
      </c>
      <c r="B42" s="77" t="s">
        <v>48</v>
      </c>
      <c r="C42" s="32">
        <v>49480.442000000003</v>
      </c>
      <c r="D42" s="25">
        <v>5.0000000000000001E-3</v>
      </c>
      <c r="E42" s="26">
        <f t="shared" si="0"/>
        <v>-10337.518403892183</v>
      </c>
      <c r="F42" s="24">
        <f t="shared" si="1"/>
        <v>-10337.5</v>
      </c>
      <c r="G42" s="27">
        <f t="shared" si="2"/>
        <v>-6.4426124954479747E-3</v>
      </c>
      <c r="H42" s="27"/>
      <c r="I42" s="27">
        <f>+G42</f>
        <v>-6.4426124954479747E-3</v>
      </c>
      <c r="J42" s="27"/>
      <c r="K42" s="27"/>
      <c r="L42" s="27"/>
      <c r="M42" s="27"/>
      <c r="N42" s="27"/>
      <c r="O42" s="27"/>
      <c r="P42" s="27"/>
      <c r="Q42" s="27">
        <f t="shared" si="3"/>
        <v>5.0659589774852418E-3</v>
      </c>
      <c r="R42" s="28">
        <f t="shared" si="4"/>
        <v>34461.942000000003</v>
      </c>
      <c r="S42" s="96"/>
      <c r="T42" s="24">
        <f t="shared" si="5"/>
        <v>1.3244721734761221E-4</v>
      </c>
    </row>
    <row r="43" spans="1:32" s="24" customFormat="1" x14ac:dyDescent="0.2">
      <c r="A43" s="24" t="s">
        <v>75</v>
      </c>
      <c r="B43" s="29"/>
      <c r="C43" s="25">
        <v>46649.449000000001</v>
      </c>
      <c r="D43" s="25"/>
      <c r="E43" s="26">
        <f t="shared" si="0"/>
        <v>-18424.50019550919</v>
      </c>
      <c r="F43" s="24">
        <f t="shared" si="1"/>
        <v>-18424.5</v>
      </c>
      <c r="G43" s="27">
        <f t="shared" si="2"/>
        <v>-6.8441499024629593E-5</v>
      </c>
      <c r="H43" s="27"/>
      <c r="I43" s="27"/>
      <c r="J43" s="27"/>
      <c r="K43" s="27">
        <f>G43</f>
        <v>-6.8441499024629593E-5</v>
      </c>
      <c r="L43" s="27"/>
      <c r="M43" s="27"/>
      <c r="N43" s="27"/>
      <c r="O43" s="27"/>
      <c r="P43" s="27"/>
      <c r="Q43" s="27">
        <f t="shared" si="3"/>
        <v>1.2417073014903445E-2</v>
      </c>
      <c r="R43" s="28">
        <f t="shared" si="4"/>
        <v>31630.949000000001</v>
      </c>
      <c r="S43" s="96"/>
      <c r="T43" s="24">
        <f t="shared" si="5"/>
        <v>1.5588807267750862E-4</v>
      </c>
    </row>
    <row r="44" spans="1:32" s="24" customFormat="1" x14ac:dyDescent="0.2">
      <c r="A44" s="101" t="s">
        <v>284</v>
      </c>
      <c r="B44" s="102" t="s">
        <v>53</v>
      </c>
      <c r="C44" s="101">
        <v>47672.532700000003</v>
      </c>
      <c r="D44" s="101" t="s">
        <v>190</v>
      </c>
      <c r="E44" s="98">
        <f t="shared" si="0"/>
        <v>-15501.971155981302</v>
      </c>
      <c r="F44" s="24">
        <f t="shared" si="1"/>
        <v>-15502</v>
      </c>
      <c r="G44" s="27">
        <f t="shared" si="2"/>
        <v>1.0097366008267272E-2</v>
      </c>
      <c r="H44" s="27"/>
      <c r="I44" s="27"/>
      <c r="J44" s="12"/>
      <c r="K44" s="27"/>
      <c r="L44" s="27"/>
      <c r="M44" s="27">
        <f t="shared" ref="M44:M53" si="8">+G44</f>
        <v>1.0097366008267272E-2</v>
      </c>
      <c r="N44" s="12"/>
      <c r="O44" s="12"/>
      <c r="P44" s="27">
        <f t="shared" ref="P44:P53" ca="1" si="9">+C$11+C$12*$F44</f>
        <v>1.2215857548527654E-2</v>
      </c>
      <c r="Q44" s="27">
        <f t="shared" si="3"/>
        <v>9.4173019682897586E-3</v>
      </c>
      <c r="R44" s="28">
        <f t="shared" si="4"/>
        <v>32654.032700000003</v>
      </c>
      <c r="S44" s="96"/>
      <c r="T44"/>
      <c r="U44"/>
      <c r="V44"/>
    </row>
    <row r="45" spans="1:32" s="24" customFormat="1" x14ac:dyDescent="0.2">
      <c r="A45" s="101" t="s">
        <v>284</v>
      </c>
      <c r="B45" s="102" t="s">
        <v>53</v>
      </c>
      <c r="C45" s="101">
        <v>47676.3799</v>
      </c>
      <c r="D45" s="101" t="s">
        <v>190</v>
      </c>
      <c r="E45" s="98">
        <f t="shared" si="0"/>
        <v>-15490.981289051684</v>
      </c>
      <c r="F45" s="24">
        <f t="shared" si="1"/>
        <v>-15491</v>
      </c>
      <c r="G45" s="27">
        <f t="shared" si="2"/>
        <v>6.5501030039740726E-3</v>
      </c>
      <c r="H45" s="27"/>
      <c r="I45" s="27"/>
      <c r="J45" s="12"/>
      <c r="K45" s="27"/>
      <c r="L45" s="27"/>
      <c r="M45" s="27">
        <f t="shared" si="8"/>
        <v>6.5501030039740726E-3</v>
      </c>
      <c r="N45" s="12"/>
      <c r="O45" s="12"/>
      <c r="P45" s="27">
        <f t="shared" ca="1" si="9"/>
        <v>1.2206056113227982E-2</v>
      </c>
      <c r="Q45" s="27">
        <f t="shared" si="3"/>
        <v>9.4067448852002619E-3</v>
      </c>
      <c r="R45" s="28">
        <f t="shared" si="4"/>
        <v>32657.8799</v>
      </c>
      <c r="S45" s="96"/>
      <c r="T45"/>
      <c r="U45"/>
      <c r="V45"/>
    </row>
    <row r="46" spans="1:32" s="24" customFormat="1" x14ac:dyDescent="0.2">
      <c r="A46" s="101" t="s">
        <v>284</v>
      </c>
      <c r="B46" s="102" t="s">
        <v>48</v>
      </c>
      <c r="C46" s="101">
        <v>47668.506600000001</v>
      </c>
      <c r="D46" s="101" t="s">
        <v>190</v>
      </c>
      <c r="E46" s="98">
        <f t="shared" si="0"/>
        <v>-15513.472066577426</v>
      </c>
      <c r="F46" s="24">
        <f t="shared" si="1"/>
        <v>-15513.5</v>
      </c>
      <c r="G46" s="27">
        <f t="shared" si="2"/>
        <v>9.7785955003928393E-3</v>
      </c>
      <c r="H46" s="27"/>
      <c r="I46" s="27"/>
      <c r="J46" s="12"/>
      <c r="K46" s="27"/>
      <c r="L46" s="27"/>
      <c r="M46" s="27">
        <f t="shared" si="8"/>
        <v>9.7785955003928393E-3</v>
      </c>
      <c r="N46" s="12"/>
      <c r="O46" s="12"/>
      <c r="P46" s="27">
        <f t="shared" ca="1" si="9"/>
        <v>1.2226104503613675E-2</v>
      </c>
      <c r="Q46" s="27">
        <f t="shared" si="3"/>
        <v>9.4283448025410665E-3</v>
      </c>
      <c r="R46" s="28">
        <f t="shared" si="4"/>
        <v>32650.006600000001</v>
      </c>
      <c r="S46" s="96"/>
      <c r="T46"/>
      <c r="U46"/>
      <c r="V46"/>
    </row>
    <row r="47" spans="1:32" s="24" customFormat="1" x14ac:dyDescent="0.2">
      <c r="A47" s="101" t="s">
        <v>284</v>
      </c>
      <c r="B47" s="102" t="s">
        <v>48</v>
      </c>
      <c r="C47" s="101">
        <v>47672.356099999997</v>
      </c>
      <c r="D47" s="101" t="s">
        <v>190</v>
      </c>
      <c r="E47" s="98">
        <f t="shared" si="0"/>
        <v>-15502.475629494465</v>
      </c>
      <c r="F47" s="24">
        <f t="shared" si="1"/>
        <v>-15502.5</v>
      </c>
      <c r="G47" s="27">
        <f t="shared" si="2"/>
        <v>8.5313324962044135E-3</v>
      </c>
      <c r="H47" s="27"/>
      <c r="I47" s="27"/>
      <c r="J47" s="12"/>
      <c r="K47" s="27"/>
      <c r="L47" s="27"/>
      <c r="M47" s="27">
        <f t="shared" si="8"/>
        <v>8.5313324962044135E-3</v>
      </c>
      <c r="N47" s="12"/>
      <c r="O47" s="12"/>
      <c r="P47" s="27">
        <f t="shared" ca="1" si="9"/>
        <v>1.2216303068314003E-2</v>
      </c>
      <c r="Q47" s="27">
        <f t="shared" si="3"/>
        <v>9.4177819664528883E-3</v>
      </c>
      <c r="R47" s="28">
        <f t="shared" si="4"/>
        <v>32653.856099999997</v>
      </c>
      <c r="S47" s="96"/>
      <c r="T47"/>
      <c r="U47"/>
      <c r="V47"/>
    </row>
    <row r="48" spans="1:32" s="24" customFormat="1" x14ac:dyDescent="0.2">
      <c r="A48" s="101" t="s">
        <v>285</v>
      </c>
      <c r="B48" s="102" t="s">
        <v>53</v>
      </c>
      <c r="C48" s="101">
        <v>48028.548999999999</v>
      </c>
      <c r="D48" s="101" t="s">
        <v>190</v>
      </c>
      <c r="E48" s="98">
        <f t="shared" si="0"/>
        <v>-14484.979119752734</v>
      </c>
      <c r="F48" s="24">
        <f t="shared" si="1"/>
        <v>-14485</v>
      </c>
      <c r="G48" s="27">
        <f t="shared" si="2"/>
        <v>7.3095050029223785E-3</v>
      </c>
      <c r="H48" s="27"/>
      <c r="I48" s="27"/>
      <c r="J48" s="12"/>
      <c r="K48" s="27"/>
      <c r="L48" s="27"/>
      <c r="M48" s="27">
        <f t="shared" si="8"/>
        <v>7.3095050029223785E-3</v>
      </c>
      <c r="N48" s="12"/>
      <c r="O48" s="12"/>
      <c r="P48" s="27">
        <f t="shared" ca="1" si="9"/>
        <v>1.1309670303094346E-2</v>
      </c>
      <c r="Q48" s="27">
        <f t="shared" si="3"/>
        <v>8.4645160944209381E-3</v>
      </c>
      <c r="R48" s="28">
        <f t="shared" si="4"/>
        <v>33010.048999999999</v>
      </c>
      <c r="S48" s="96"/>
      <c r="T48"/>
      <c r="U48"/>
      <c r="V48"/>
    </row>
    <row r="49" spans="1:22" s="24" customFormat="1" x14ac:dyDescent="0.2">
      <c r="A49" s="101" t="s">
        <v>285</v>
      </c>
      <c r="B49" s="102" t="s">
        <v>48</v>
      </c>
      <c r="C49" s="101">
        <v>48028.374400000001</v>
      </c>
      <c r="D49" s="101" t="s">
        <v>190</v>
      </c>
      <c r="E49" s="98">
        <f t="shared" si="0"/>
        <v>-14485.477880089056</v>
      </c>
      <c r="F49" s="24">
        <f t="shared" si="1"/>
        <v>-14485.5</v>
      </c>
      <c r="G49" s="27">
        <f t="shared" si="2"/>
        <v>7.7434715058188885E-3</v>
      </c>
      <c r="H49" s="27"/>
      <c r="I49" s="27"/>
      <c r="J49" s="12"/>
      <c r="K49" s="27"/>
      <c r="L49" s="27"/>
      <c r="M49" s="27">
        <f t="shared" si="8"/>
        <v>7.7434715058188885E-3</v>
      </c>
      <c r="N49" s="12"/>
      <c r="O49" s="12"/>
      <c r="P49" s="27">
        <f t="shared" ca="1" si="9"/>
        <v>1.1310115822880693E-2</v>
      </c>
      <c r="Q49" s="27">
        <f t="shared" si="3"/>
        <v>8.4649729668937138E-3</v>
      </c>
      <c r="R49" s="28">
        <f t="shared" si="4"/>
        <v>33009.874400000001</v>
      </c>
      <c r="S49" s="96"/>
      <c r="T49"/>
      <c r="U49"/>
      <c r="V49"/>
    </row>
    <row r="50" spans="1:22" s="24" customFormat="1" x14ac:dyDescent="0.2">
      <c r="A50" s="101" t="s">
        <v>285</v>
      </c>
      <c r="B50" s="102" t="s">
        <v>48</v>
      </c>
      <c r="C50" s="101">
        <v>48030.475400000003</v>
      </c>
      <c r="D50" s="101" t="s">
        <v>190</v>
      </c>
      <c r="E50" s="98">
        <f t="shared" si="0"/>
        <v>-14479.476187840362</v>
      </c>
      <c r="F50" s="24">
        <f t="shared" si="1"/>
        <v>-14479.5</v>
      </c>
      <c r="G50" s="27">
        <f t="shared" si="2"/>
        <v>8.3358735064393841E-3</v>
      </c>
      <c r="H50" s="27"/>
      <c r="I50" s="27"/>
      <c r="J50" s="12"/>
      <c r="K50" s="27"/>
      <c r="L50" s="27"/>
      <c r="M50" s="27">
        <f t="shared" si="8"/>
        <v>8.3358735064393841E-3</v>
      </c>
      <c r="N50" s="12"/>
      <c r="O50" s="12"/>
      <c r="P50" s="27">
        <f t="shared" ca="1" si="9"/>
        <v>1.1304769585444508E-2</v>
      </c>
      <c r="Q50" s="27">
        <f t="shared" si="3"/>
        <v>8.4594912476115506E-3</v>
      </c>
      <c r="R50" s="28">
        <f t="shared" si="4"/>
        <v>33011.975400000003</v>
      </c>
      <c r="S50" s="96"/>
      <c r="T50"/>
      <c r="U50"/>
      <c r="V50"/>
    </row>
    <row r="51" spans="1:22" s="24" customFormat="1" x14ac:dyDescent="0.2">
      <c r="A51" s="101" t="s">
        <v>285</v>
      </c>
      <c r="B51" s="102" t="s">
        <v>48</v>
      </c>
      <c r="C51" s="101">
        <v>48035.375899999999</v>
      </c>
      <c r="D51" s="101" t="s">
        <v>190</v>
      </c>
      <c r="E51" s="98">
        <f t="shared" si="0"/>
        <v>-14465.477476338854</v>
      </c>
      <c r="F51" s="24">
        <f t="shared" si="1"/>
        <v>-14465.5</v>
      </c>
      <c r="G51" s="27">
        <f t="shared" si="2"/>
        <v>7.88481150084408E-3</v>
      </c>
      <c r="H51" s="27"/>
      <c r="I51" s="27"/>
      <c r="J51" s="12"/>
      <c r="K51" s="27"/>
      <c r="L51" s="27"/>
      <c r="M51" s="27">
        <f t="shared" si="8"/>
        <v>7.88481150084408E-3</v>
      </c>
      <c r="N51" s="12"/>
      <c r="O51" s="12"/>
      <c r="P51" s="27">
        <f t="shared" ca="1" si="9"/>
        <v>1.1292295031426744E-2</v>
      </c>
      <c r="Q51" s="27">
        <f t="shared" si="3"/>
        <v>8.4467069362415669E-3</v>
      </c>
      <c r="R51" s="28">
        <f t="shared" si="4"/>
        <v>33016.875899999999</v>
      </c>
      <c r="S51" s="96"/>
      <c r="T51"/>
      <c r="U51"/>
      <c r="V51"/>
    </row>
    <row r="52" spans="1:22" s="24" customFormat="1" x14ac:dyDescent="0.2">
      <c r="A52" s="101" t="s">
        <v>286</v>
      </c>
      <c r="B52" s="102" t="s">
        <v>48</v>
      </c>
      <c r="C52" s="101">
        <v>48397.344299999997</v>
      </c>
      <c r="D52" s="101" t="s">
        <v>190</v>
      </c>
      <c r="E52" s="98">
        <f t="shared" si="0"/>
        <v>-13431.482740237168</v>
      </c>
      <c r="F52" s="24">
        <f t="shared" si="1"/>
        <v>-13431.5</v>
      </c>
      <c r="G52" s="27">
        <f t="shared" si="2"/>
        <v>6.0420895024435595E-3</v>
      </c>
      <c r="H52" s="27"/>
      <c r="I52" s="27"/>
      <c r="J52" s="12"/>
      <c r="K52" s="27"/>
      <c r="L52" s="27"/>
      <c r="M52" s="27">
        <f t="shared" si="8"/>
        <v>6.0420895024435595E-3</v>
      </c>
      <c r="N52" s="12"/>
      <c r="O52" s="12"/>
      <c r="P52" s="27">
        <f t="shared" ca="1" si="9"/>
        <v>1.0370960113257579E-2</v>
      </c>
      <c r="Q52" s="27">
        <f t="shared" si="3"/>
        <v>7.5271350688049521E-3</v>
      </c>
      <c r="R52" s="28">
        <f t="shared" si="4"/>
        <v>33378.844299999997</v>
      </c>
      <c r="S52" s="96"/>
      <c r="T52"/>
      <c r="U52"/>
      <c r="V52"/>
    </row>
    <row r="53" spans="1:22" s="24" customFormat="1" x14ac:dyDescent="0.2">
      <c r="A53" s="101" t="s">
        <v>286</v>
      </c>
      <c r="B53" s="102" t="s">
        <v>48</v>
      </c>
      <c r="C53" s="101">
        <v>48398.394999999997</v>
      </c>
      <c r="D53" s="101" t="s">
        <v>190</v>
      </c>
      <c r="E53" s="98">
        <f t="shared" ref="E53:E84" si="10">+(C53-C$7)/C$8</f>
        <v>-13428.481322795144</v>
      </c>
      <c r="F53" s="24">
        <f t="shared" ref="F53:F84" si="11">ROUND(2*E53,0)/2</f>
        <v>-13428.5</v>
      </c>
      <c r="G53" s="27">
        <f t="shared" si="2"/>
        <v>6.5382905013393611E-3</v>
      </c>
      <c r="H53" s="27"/>
      <c r="I53" s="27"/>
      <c r="J53" s="12"/>
      <c r="K53" s="27"/>
      <c r="L53" s="27"/>
      <c r="M53" s="27">
        <f t="shared" si="8"/>
        <v>6.5382905013393611E-3</v>
      </c>
      <c r="N53" s="12"/>
      <c r="O53" s="12"/>
      <c r="P53" s="27">
        <f t="shared" ca="1" si="9"/>
        <v>1.0368286994539486E-2</v>
      </c>
      <c r="Q53" s="27">
        <f t="shared" ref="Q53:Q84" si="12">+D$11+D$12*F53+D$13*F53^2</f>
        <v>7.5245378067396694E-3</v>
      </c>
      <c r="R53" s="28">
        <f t="shared" ref="R53:R84" si="13">+C53-15018.5</f>
        <v>33379.894999999997</v>
      </c>
      <c r="S53" s="96"/>
      <c r="T53"/>
      <c r="U53"/>
      <c r="V53"/>
    </row>
    <row r="54" spans="1:22" s="24" customFormat="1" x14ac:dyDescent="0.2">
      <c r="A54" s="24" t="s">
        <v>64</v>
      </c>
      <c r="B54" s="29"/>
      <c r="C54" s="25">
        <v>42878.372000000003</v>
      </c>
      <c r="D54" s="25"/>
      <c r="E54" s="26">
        <f t="shared" si="10"/>
        <v>-29196.915045629146</v>
      </c>
      <c r="F54" s="24">
        <f t="shared" si="11"/>
        <v>-29197</v>
      </c>
      <c r="G54" s="27">
        <f t="shared" si="2"/>
        <v>2.9739801000687294E-2</v>
      </c>
      <c r="H54" s="27"/>
      <c r="I54" s="27"/>
      <c r="J54" s="27"/>
      <c r="K54" s="27"/>
      <c r="L54" s="27"/>
      <c r="M54" s="27"/>
      <c r="N54" s="27"/>
      <c r="O54" s="27">
        <f t="shared" ref="O54:O61" si="14">G54</f>
        <v>2.9739801000687294E-2</v>
      </c>
      <c r="P54" s="27"/>
      <c r="Q54" s="27">
        <f t="shared" si="12"/>
        <v>2.6829087672146132E-2</v>
      </c>
      <c r="R54" s="28">
        <f t="shared" si="13"/>
        <v>27859.872000000003</v>
      </c>
      <c r="S54" s="96"/>
      <c r="T54" s="24">
        <f t="shared" ref="T54:T63" si="15">+(Q54-G54)^2</f>
        <v>8.47225208094717E-6</v>
      </c>
    </row>
    <row r="55" spans="1:22" s="24" customFormat="1" x14ac:dyDescent="0.2">
      <c r="A55" s="24" t="s">
        <v>64</v>
      </c>
      <c r="B55" s="29"/>
      <c r="C55" s="25">
        <v>42878.546999999999</v>
      </c>
      <c r="D55" s="25"/>
      <c r="E55" s="26">
        <f t="shared" si="10"/>
        <v>-29196.415142657468</v>
      </c>
      <c r="F55" s="24">
        <f t="shared" si="11"/>
        <v>-29196.5</v>
      </c>
      <c r="G55" s="27">
        <f t="shared" si="2"/>
        <v>2.9705834502237849E-2</v>
      </c>
      <c r="H55" s="27"/>
      <c r="I55" s="27"/>
      <c r="J55" s="27"/>
      <c r="K55" s="27"/>
      <c r="L55" s="27"/>
      <c r="M55" s="27"/>
      <c r="N55" s="27"/>
      <c r="O55" s="27">
        <f t="shared" si="14"/>
        <v>2.9705834502237849E-2</v>
      </c>
      <c r="P55" s="27"/>
      <c r="Q55" s="27">
        <f t="shared" si="12"/>
        <v>2.6828296273032598E-2</v>
      </c>
      <c r="R55" s="28">
        <f t="shared" si="13"/>
        <v>27860.046999999999</v>
      </c>
      <c r="S55" s="96"/>
      <c r="T55" s="24">
        <f t="shared" si="15"/>
        <v>8.2802262605376905E-6</v>
      </c>
    </row>
    <row r="56" spans="1:22" s="24" customFormat="1" x14ac:dyDescent="0.2">
      <c r="A56" s="24" t="s">
        <v>64</v>
      </c>
      <c r="B56" s="29"/>
      <c r="C56" s="25">
        <v>44053.543899999997</v>
      </c>
      <c r="D56" s="25"/>
      <c r="E56" s="26">
        <f t="shared" si="10"/>
        <v>-25839.932616735852</v>
      </c>
      <c r="F56" s="24">
        <f t="shared" si="11"/>
        <v>-25840</v>
      </c>
      <c r="G56" s="27">
        <f t="shared" si="2"/>
        <v>2.3588719996041618E-2</v>
      </c>
      <c r="H56" s="27"/>
      <c r="I56" s="27"/>
      <c r="J56" s="27"/>
      <c r="K56" s="27"/>
      <c r="L56" s="27"/>
      <c r="M56" s="27"/>
      <c r="N56" s="27"/>
      <c r="O56" s="27">
        <f t="shared" si="14"/>
        <v>2.3588719996041618E-2</v>
      </c>
      <c r="P56" s="27"/>
      <c r="Q56" s="27">
        <f t="shared" si="12"/>
        <v>2.1771853268312977E-2</v>
      </c>
      <c r="R56" s="28">
        <f t="shared" si="13"/>
        <v>29035.043899999997</v>
      </c>
      <c r="S56" s="96"/>
      <c r="T56" s="24">
        <f t="shared" si="15"/>
        <v>3.3010047063273818E-6</v>
      </c>
    </row>
    <row r="57" spans="1:22" s="24" customFormat="1" x14ac:dyDescent="0.2">
      <c r="A57" s="24" t="s">
        <v>64</v>
      </c>
      <c r="B57" s="29"/>
      <c r="C57" s="25">
        <v>44129.335299999999</v>
      </c>
      <c r="D57" s="25"/>
      <c r="E57" s="26">
        <f t="shared" si="10"/>
        <v>-25623.427781944254</v>
      </c>
      <c r="F57" s="24">
        <f t="shared" si="11"/>
        <v>-25623.5</v>
      </c>
      <c r="G57" s="27">
        <f t="shared" si="2"/>
        <v>2.5281225498474669E-2</v>
      </c>
      <c r="H57" s="27"/>
      <c r="I57" s="27"/>
      <c r="J57" s="27"/>
      <c r="K57" s="27"/>
      <c r="L57" s="27"/>
      <c r="M57" s="27"/>
      <c r="N57" s="27"/>
      <c r="O57" s="27">
        <f t="shared" si="14"/>
        <v>2.5281225498474669E-2</v>
      </c>
      <c r="P57" s="27"/>
      <c r="Q57" s="27">
        <f t="shared" si="12"/>
        <v>2.1463293984990722E-2</v>
      </c>
      <c r="R57" s="28">
        <f t="shared" si="13"/>
        <v>29110.835299999999</v>
      </c>
      <c r="S57" s="96"/>
      <c r="T57" s="24">
        <f t="shared" si="15"/>
        <v>1.4576601041653817E-5</v>
      </c>
    </row>
    <row r="58" spans="1:22" s="24" customFormat="1" x14ac:dyDescent="0.2">
      <c r="A58" s="24" t="s">
        <v>64</v>
      </c>
      <c r="B58" s="29"/>
      <c r="C58" s="25">
        <v>44140.361100000002</v>
      </c>
      <c r="D58" s="25"/>
      <c r="E58" s="26">
        <f t="shared" si="10"/>
        <v>-25591.93160945706</v>
      </c>
      <c r="F58" s="24">
        <f t="shared" si="11"/>
        <v>-25592</v>
      </c>
      <c r="G58" s="27">
        <f t="shared" si="2"/>
        <v>2.3941336003190372E-2</v>
      </c>
      <c r="H58" s="27"/>
      <c r="I58" s="27"/>
      <c r="J58" s="27"/>
      <c r="K58" s="27"/>
      <c r="L58" s="27"/>
      <c r="M58" s="27"/>
      <c r="N58" s="27"/>
      <c r="O58" s="27">
        <f t="shared" si="14"/>
        <v>2.3941336003190372E-2</v>
      </c>
      <c r="P58" s="27"/>
      <c r="Q58" s="27">
        <f t="shared" si="12"/>
        <v>2.1418577316225661E-2</v>
      </c>
      <c r="R58" s="28">
        <f t="shared" si="13"/>
        <v>29121.861100000002</v>
      </c>
      <c r="S58" s="96"/>
      <c r="T58" s="24">
        <f t="shared" si="15"/>
        <v>6.3643113926559118E-6</v>
      </c>
    </row>
    <row r="59" spans="1:22" s="24" customFormat="1" x14ac:dyDescent="0.2">
      <c r="A59" s="24" t="s">
        <v>64</v>
      </c>
      <c r="B59" s="29"/>
      <c r="C59" s="25">
        <v>44344.448700000001</v>
      </c>
      <c r="D59" s="25"/>
      <c r="E59" s="26">
        <f t="shared" si="10"/>
        <v>-25008.937336742572</v>
      </c>
      <c r="F59" s="24">
        <f t="shared" si="11"/>
        <v>-25009</v>
      </c>
      <c r="G59" s="27">
        <f t="shared" si="2"/>
        <v>2.1936397002718877E-2</v>
      </c>
      <c r="H59" s="27"/>
      <c r="I59" s="27"/>
      <c r="J59" s="27"/>
      <c r="K59" s="27"/>
      <c r="L59" s="27"/>
      <c r="M59" s="27"/>
      <c r="N59" s="27"/>
      <c r="O59" s="27">
        <f t="shared" si="14"/>
        <v>2.1936397002718877E-2</v>
      </c>
      <c r="P59" s="27"/>
      <c r="Q59" s="27">
        <f t="shared" si="12"/>
        <v>2.0599110421074523E-2</v>
      </c>
      <c r="R59" s="28">
        <f t="shared" si="13"/>
        <v>29325.948700000001</v>
      </c>
      <c r="S59" s="96"/>
      <c r="T59" s="24">
        <f t="shared" si="15"/>
        <v>1.7883354014460421E-6</v>
      </c>
    </row>
    <row r="60" spans="1:22" s="24" customFormat="1" x14ac:dyDescent="0.2">
      <c r="A60" s="24" t="s">
        <v>64</v>
      </c>
      <c r="B60" s="29"/>
      <c r="C60" s="25">
        <v>44345.500599999999</v>
      </c>
      <c r="D60" s="25"/>
      <c r="E60" s="26">
        <f t="shared" si="10"/>
        <v>-25005.932491394462</v>
      </c>
      <c r="F60" s="24">
        <f t="shared" si="11"/>
        <v>-25006</v>
      </c>
      <c r="G60" s="27">
        <f t="shared" si="2"/>
        <v>2.3632598000403959E-2</v>
      </c>
      <c r="H60" s="27"/>
      <c r="I60" s="27"/>
      <c r="J60" s="27"/>
      <c r="K60" s="27"/>
      <c r="L60" s="27"/>
      <c r="M60" s="27"/>
      <c r="N60" s="27"/>
      <c r="O60" s="27">
        <f t="shared" si="14"/>
        <v>2.3632598000403959E-2</v>
      </c>
      <c r="P60" s="27"/>
      <c r="Q60" s="27">
        <f t="shared" si="12"/>
        <v>2.0594933585675448E-2</v>
      </c>
      <c r="R60" s="28">
        <f t="shared" si="13"/>
        <v>29327.000599999999</v>
      </c>
      <c r="S60" s="96"/>
      <c r="T60" s="24">
        <f t="shared" si="15"/>
        <v>9.2274050965079062E-6</v>
      </c>
    </row>
    <row r="61" spans="1:22" s="24" customFormat="1" x14ac:dyDescent="0.2">
      <c r="A61" s="24" t="s">
        <v>61</v>
      </c>
      <c r="C61" s="25">
        <v>40362.788500000002</v>
      </c>
      <c r="D61" s="25"/>
      <c r="E61" s="26">
        <f t="shared" si="10"/>
        <v>-36382.90171525078</v>
      </c>
      <c r="F61" s="24">
        <f t="shared" si="11"/>
        <v>-36383</v>
      </c>
      <c r="G61" s="27">
        <f t="shared" si="2"/>
        <v>3.4406339000270236E-2</v>
      </c>
      <c r="H61" s="27"/>
      <c r="I61" s="27"/>
      <c r="J61" s="27"/>
      <c r="K61" s="27"/>
      <c r="L61" s="27"/>
      <c r="M61" s="27"/>
      <c r="N61" s="27"/>
      <c r="O61" s="27">
        <f t="shared" si="14"/>
        <v>3.4406339000270236E-2</v>
      </c>
      <c r="P61" s="27"/>
      <c r="Q61" s="27">
        <f t="shared" si="12"/>
        <v>3.9377373934405144E-2</v>
      </c>
      <c r="R61" s="28">
        <f t="shared" si="13"/>
        <v>25344.288500000002</v>
      </c>
      <c r="S61" s="96"/>
      <c r="T61" s="24">
        <f t="shared" si="15"/>
        <v>2.4711188316389644E-5</v>
      </c>
    </row>
    <row r="62" spans="1:22" s="24" customFormat="1" x14ac:dyDescent="0.2">
      <c r="A62" s="24" t="s">
        <v>79</v>
      </c>
      <c r="B62" s="29"/>
      <c r="C62" s="25">
        <v>47240.364999999998</v>
      </c>
      <c r="D62" s="25"/>
      <c r="E62" s="26">
        <f t="shared" si="10"/>
        <v>-16736.496398828967</v>
      </c>
      <c r="F62" s="24">
        <f t="shared" si="11"/>
        <v>-16736.5</v>
      </c>
      <c r="G62" s="27">
        <f t="shared" si="2"/>
        <v>1.2606544987647794E-3</v>
      </c>
      <c r="H62" s="27"/>
      <c r="I62" s="27"/>
      <c r="J62" s="27"/>
      <c r="K62" s="27">
        <f>G62</f>
        <v>1.2606544987647794E-3</v>
      </c>
      <c r="L62" s="27"/>
      <c r="M62" s="27"/>
      <c r="N62" s="27"/>
      <c r="O62" s="27"/>
      <c r="P62" s="27"/>
      <c r="Q62" s="27">
        <f t="shared" si="12"/>
        <v>1.0637057602467605E-2</v>
      </c>
      <c r="R62" s="28">
        <f t="shared" si="13"/>
        <v>32221.864999999998</v>
      </c>
      <c r="S62" s="96"/>
      <c r="T62" s="24">
        <f t="shared" si="15"/>
        <v>8.7916935163127982E-5</v>
      </c>
    </row>
    <row r="63" spans="1:22" s="24" customFormat="1" x14ac:dyDescent="0.2">
      <c r="A63" s="24" t="s">
        <v>29</v>
      </c>
      <c r="B63" s="29"/>
      <c r="C63" s="25">
        <v>44474.326999999997</v>
      </c>
      <c r="D63" s="25" t="s">
        <v>31</v>
      </c>
      <c r="E63" s="26">
        <f t="shared" si="10"/>
        <v>-24637.92849029677</v>
      </c>
      <c r="F63" s="24">
        <f t="shared" si="11"/>
        <v>-24638</v>
      </c>
      <c r="G63" s="27"/>
      <c r="H63" s="27">
        <f>+C63-(C$7+F63*C$8)</f>
        <v>2.5033254001755267E-2</v>
      </c>
      <c r="I63" s="27"/>
      <c r="J63" s="27"/>
      <c r="K63" s="27"/>
      <c r="L63" s="27"/>
      <c r="M63" s="27"/>
      <c r="N63" s="27"/>
      <c r="O63" s="27"/>
      <c r="P63" s="27"/>
      <c r="Q63" s="27">
        <f t="shared" si="12"/>
        <v>2.0085679637344121E-2</v>
      </c>
      <c r="R63" s="28">
        <f t="shared" si="13"/>
        <v>29455.826999999997</v>
      </c>
      <c r="S63" s="96"/>
      <c r="T63" s="24">
        <f t="shared" si="15"/>
        <v>4.0343452649402024E-4</v>
      </c>
    </row>
    <row r="64" spans="1:22" s="24" customFormat="1" x14ac:dyDescent="0.2">
      <c r="A64" s="101" t="s">
        <v>283</v>
      </c>
      <c r="B64" s="102" t="s">
        <v>53</v>
      </c>
      <c r="C64" s="101">
        <v>47398.424700000003</v>
      </c>
      <c r="D64" s="101" t="s">
        <v>190</v>
      </c>
      <c r="E64" s="98">
        <f t="shared" si="10"/>
        <v>-16284.984891775264</v>
      </c>
      <c r="F64" s="24">
        <f t="shared" si="11"/>
        <v>-16285</v>
      </c>
      <c r="G64" s="27">
        <f t="shared" ref="G64:G89" si="16">+C64-(C$7+F64*C$8)</f>
        <v>5.2889050057274289E-3</v>
      </c>
      <c r="H64" s="27"/>
      <c r="I64" s="27"/>
      <c r="J64" s="12"/>
      <c r="K64" s="27"/>
      <c r="L64" s="27"/>
      <c r="M64" s="27">
        <f>+G64</f>
        <v>5.2889050057274289E-3</v>
      </c>
      <c r="N64" s="12"/>
      <c r="O64" s="12"/>
      <c r="P64" s="27">
        <f ca="1">+C$11+C$12*$F64</f>
        <v>1.291354153394976E-2</v>
      </c>
      <c r="Q64" s="27">
        <f t="shared" si="12"/>
        <v>1.018291129692772E-2</v>
      </c>
      <c r="R64" s="28">
        <f t="shared" si="13"/>
        <v>32379.924700000003</v>
      </c>
      <c r="S64" s="96"/>
      <c r="T64"/>
      <c r="U64"/>
      <c r="V64"/>
    </row>
    <row r="65" spans="1:26" s="24" customFormat="1" x14ac:dyDescent="0.2">
      <c r="A65" s="24" t="s">
        <v>191</v>
      </c>
      <c r="B65" s="29" t="s">
        <v>48</v>
      </c>
      <c r="C65" s="25">
        <v>38882.885699999999</v>
      </c>
      <c r="D65" s="25" t="s">
        <v>190</v>
      </c>
      <c r="E65" s="26">
        <f t="shared" si="10"/>
        <v>-40610.374901148112</v>
      </c>
      <c r="F65" s="24">
        <f t="shared" si="11"/>
        <v>-40610.5</v>
      </c>
      <c r="G65" s="27">
        <f t="shared" si="16"/>
        <v>4.3793096498120576E-2</v>
      </c>
      <c r="H65" s="27"/>
      <c r="I65" s="27"/>
      <c r="J65" s="27"/>
      <c r="K65" s="27"/>
      <c r="L65" s="27"/>
      <c r="M65" s="27"/>
      <c r="N65" s="27"/>
      <c r="O65" s="27">
        <f>G65</f>
        <v>4.3793096498120576E-2</v>
      </c>
      <c r="P65" s="27"/>
      <c r="Q65" s="27">
        <f t="shared" si="12"/>
        <v>4.7856664964483667E-2</v>
      </c>
      <c r="R65" s="28">
        <f t="shared" si="13"/>
        <v>23864.385699999999</v>
      </c>
      <c r="T65" s="24">
        <f t="shared" ref="T65:T89" si="17">+(Q65-G65)^2</f>
        <v>1.6512588680820481E-5</v>
      </c>
    </row>
    <row r="66" spans="1:26" s="24" customFormat="1" x14ac:dyDescent="0.2">
      <c r="A66" s="24" t="s">
        <v>191</v>
      </c>
      <c r="B66" s="29" t="s">
        <v>53</v>
      </c>
      <c r="C66" s="25">
        <v>38883.760399999999</v>
      </c>
      <c r="D66" s="25" t="s">
        <v>190</v>
      </c>
      <c r="E66" s="26">
        <f t="shared" si="10"/>
        <v>-40607.87624326619</v>
      </c>
      <c r="F66" s="24">
        <f t="shared" si="11"/>
        <v>-40608</v>
      </c>
      <c r="G66" s="27">
        <f t="shared" si="16"/>
        <v>4.3323263998900075E-2</v>
      </c>
      <c r="H66" s="27"/>
      <c r="I66" s="27"/>
      <c r="J66" s="27"/>
      <c r="K66" s="27"/>
      <c r="L66" s="27"/>
      <c r="M66" s="27"/>
      <c r="N66" s="27"/>
      <c r="O66" s="27">
        <f>G66</f>
        <v>4.3323263998900075E-2</v>
      </c>
      <c r="P66" s="27"/>
      <c r="Q66" s="27">
        <f t="shared" si="12"/>
        <v>4.7851410417582826E-2</v>
      </c>
      <c r="R66" s="28">
        <f t="shared" si="13"/>
        <v>23865.260399999999</v>
      </c>
      <c r="T66" s="24">
        <f t="shared" si="17"/>
        <v>2.0504109989029432E-5</v>
      </c>
    </row>
    <row r="67" spans="1:26" s="24" customFormat="1" x14ac:dyDescent="0.2">
      <c r="A67" s="24" t="s">
        <v>191</v>
      </c>
      <c r="B67" s="29" t="s">
        <v>53</v>
      </c>
      <c r="C67" s="25">
        <v>38884.810400000002</v>
      </c>
      <c r="D67" s="25" t="s">
        <v>190</v>
      </c>
      <c r="E67" s="26">
        <f t="shared" si="10"/>
        <v>-40604.87682543604</v>
      </c>
      <c r="F67" s="24">
        <f t="shared" si="11"/>
        <v>-40605</v>
      </c>
      <c r="G67" s="27">
        <f t="shared" si="16"/>
        <v>4.3119465000927448E-2</v>
      </c>
      <c r="H67" s="27"/>
      <c r="I67" s="27"/>
      <c r="J67" s="27"/>
      <c r="K67" s="27"/>
      <c r="L67" s="27"/>
      <c r="M67" s="27"/>
      <c r="N67" s="27"/>
      <c r="O67" s="27">
        <f>G67</f>
        <v>4.3119465000927448E-2</v>
      </c>
      <c r="P67" s="27"/>
      <c r="Q67" s="27">
        <f t="shared" si="12"/>
        <v>4.7845105336497391E-2</v>
      </c>
      <c r="R67" s="28">
        <f t="shared" si="13"/>
        <v>23866.310400000002</v>
      </c>
      <c r="T67" s="24">
        <f t="shared" si="17"/>
        <v>2.2331676581165605E-5</v>
      </c>
    </row>
    <row r="68" spans="1:26" s="24" customFormat="1" x14ac:dyDescent="0.2">
      <c r="A68" s="24" t="s">
        <v>191</v>
      </c>
      <c r="B68" s="29" t="s">
        <v>48</v>
      </c>
      <c r="C68" s="25">
        <v>38941.696900000003</v>
      </c>
      <c r="D68" s="25" t="s">
        <v>190</v>
      </c>
      <c r="E68" s="26">
        <f t="shared" si="10"/>
        <v>-40442.375508870151</v>
      </c>
      <c r="F68" s="24">
        <f t="shared" si="11"/>
        <v>-40442.5</v>
      </c>
      <c r="G68" s="27">
        <f t="shared" si="16"/>
        <v>4.3580352503340691E-2</v>
      </c>
      <c r="H68" s="27"/>
      <c r="I68" s="27"/>
      <c r="J68" s="27"/>
      <c r="K68" s="27"/>
      <c r="L68" s="27"/>
      <c r="M68" s="27"/>
      <c r="N68" s="27"/>
      <c r="O68" s="27">
        <f>G68</f>
        <v>4.3580352503340691E-2</v>
      </c>
      <c r="P68" s="27"/>
      <c r="Q68" s="27">
        <f t="shared" si="12"/>
        <v>4.7504191651385058E-2</v>
      </c>
      <c r="R68" s="28">
        <f t="shared" si="13"/>
        <v>23923.196900000003</v>
      </c>
      <c r="S68" s="96"/>
      <c r="T68" s="24">
        <f t="shared" si="17"/>
        <v>1.5396513659725543E-5</v>
      </c>
    </row>
    <row r="69" spans="1:26" s="24" customFormat="1" x14ac:dyDescent="0.2">
      <c r="A69" s="24" t="s">
        <v>59</v>
      </c>
      <c r="B69" s="29" t="s">
        <v>53</v>
      </c>
      <c r="C69" s="25">
        <v>47868.916799999999</v>
      </c>
      <c r="D69" s="25"/>
      <c r="E69" s="26">
        <f t="shared" si="10"/>
        <v>-14940.982612080608</v>
      </c>
      <c r="F69" s="24">
        <f t="shared" si="11"/>
        <v>-14941</v>
      </c>
      <c r="G69" s="27">
        <f t="shared" si="16"/>
        <v>6.0869529988849536E-3</v>
      </c>
      <c r="H69" s="27"/>
      <c r="I69" s="27"/>
      <c r="J69" s="27"/>
      <c r="K69" s="27"/>
      <c r="L69" s="27"/>
      <c r="N69" s="27"/>
      <c r="O69" s="27">
        <f>+G69</f>
        <v>6.0869529988849536E-3</v>
      </c>
      <c r="P69" s="27"/>
      <c r="Q69" s="27">
        <f t="shared" si="12"/>
        <v>8.8859068878137364E-3</v>
      </c>
      <c r="R69" s="28">
        <f t="shared" si="13"/>
        <v>32850.416799999999</v>
      </c>
      <c r="S69" s="96"/>
      <c r="T69" s="24">
        <f t="shared" si="17"/>
        <v>7.8341428723495575E-6</v>
      </c>
    </row>
    <row r="70" spans="1:26" s="24" customFormat="1" x14ac:dyDescent="0.2">
      <c r="A70" s="24" t="s">
        <v>55</v>
      </c>
      <c r="B70" s="29" t="s">
        <v>48</v>
      </c>
      <c r="C70" s="25">
        <v>47668.506300000008</v>
      </c>
      <c r="D70" s="25"/>
      <c r="E70" s="26">
        <f t="shared" si="10"/>
        <v>-15513.472923553927</v>
      </c>
      <c r="F70" s="24">
        <f t="shared" si="11"/>
        <v>-15513.5</v>
      </c>
      <c r="G70" s="27">
        <f t="shared" si="16"/>
        <v>9.4785955079714768E-3</v>
      </c>
      <c r="H70" s="27"/>
      <c r="I70" s="27"/>
      <c r="J70" s="27">
        <f t="shared" ref="J70:J79" si="18">+G70</f>
        <v>9.4785955079714768E-3</v>
      </c>
      <c r="K70" s="27"/>
      <c r="L70" s="27"/>
      <c r="M70" s="27"/>
      <c r="N70" s="27"/>
      <c r="O70" s="27"/>
      <c r="P70" s="27"/>
      <c r="Q70" s="27">
        <f t="shared" si="12"/>
        <v>9.4283448025410665E-3</v>
      </c>
      <c r="R70" s="28">
        <f t="shared" si="13"/>
        <v>32650.006300000008</v>
      </c>
      <c r="S70" s="96"/>
      <c r="T70" s="24">
        <f t="shared" si="17"/>
        <v>2.5251333962538584E-9</v>
      </c>
    </row>
    <row r="71" spans="1:26" s="24" customFormat="1" x14ac:dyDescent="0.2">
      <c r="A71" s="24" t="s">
        <v>55</v>
      </c>
      <c r="B71" s="29" t="s">
        <v>48</v>
      </c>
      <c r="C71" s="25">
        <v>47672.3572999998</v>
      </c>
      <c r="D71" s="25"/>
      <c r="E71" s="26">
        <f t="shared" si="10"/>
        <v>-15502.472201588938</v>
      </c>
      <c r="F71" s="24">
        <f t="shared" si="11"/>
        <v>-15502.5</v>
      </c>
      <c r="G71" s="27">
        <f t="shared" si="16"/>
        <v>9.7313322985428385E-3</v>
      </c>
      <c r="H71" s="27"/>
      <c r="I71" s="27"/>
      <c r="J71" s="27">
        <f t="shared" si="18"/>
        <v>9.7313322985428385E-3</v>
      </c>
      <c r="K71" s="27"/>
      <c r="L71" s="27"/>
      <c r="M71" s="27"/>
      <c r="N71" s="27"/>
      <c r="O71" s="27"/>
      <c r="P71" s="27"/>
      <c r="Q71" s="27">
        <f t="shared" si="12"/>
        <v>9.4177819664528883E-3</v>
      </c>
      <c r="R71" s="28">
        <f t="shared" si="13"/>
        <v>32653.8572999998</v>
      </c>
      <c r="S71" s="96"/>
      <c r="T71" s="24">
        <f t="shared" si="17"/>
        <v>9.8313810753718095E-8</v>
      </c>
    </row>
    <row r="72" spans="1:26" s="24" customFormat="1" x14ac:dyDescent="0.2">
      <c r="A72" s="24" t="s">
        <v>55</v>
      </c>
      <c r="B72" s="29" t="s">
        <v>53</v>
      </c>
      <c r="C72" s="25">
        <v>47672.531599999871</v>
      </c>
      <c r="D72" s="25"/>
      <c r="E72" s="26">
        <f t="shared" si="10"/>
        <v>-15501.97429822893</v>
      </c>
      <c r="F72" s="24">
        <f t="shared" si="11"/>
        <v>-15502</v>
      </c>
      <c r="G72" s="27">
        <f t="shared" si="16"/>
        <v>8.9973658759845421E-3</v>
      </c>
      <c r="H72" s="27"/>
      <c r="I72" s="27"/>
      <c r="J72" s="27">
        <f t="shared" si="18"/>
        <v>8.9973658759845421E-3</v>
      </c>
      <c r="K72" s="27"/>
      <c r="L72" s="27"/>
      <c r="M72" s="27"/>
      <c r="N72" s="27"/>
      <c r="O72" s="27"/>
      <c r="P72" s="27"/>
      <c r="Q72" s="27">
        <f t="shared" si="12"/>
        <v>9.4173019682897586E-3</v>
      </c>
      <c r="R72" s="28">
        <f t="shared" si="13"/>
        <v>32654.031599999871</v>
      </c>
      <c r="S72" s="96"/>
      <c r="T72" s="24">
        <f t="shared" si="17"/>
        <v>1.7634632162057534E-7</v>
      </c>
    </row>
    <row r="73" spans="1:26" s="24" customFormat="1" x14ac:dyDescent="0.2">
      <c r="A73" s="24" t="s">
        <v>55</v>
      </c>
      <c r="B73" s="29" t="s">
        <v>53</v>
      </c>
      <c r="C73" s="25">
        <v>47676.379900000058</v>
      </c>
      <c r="D73" s="25"/>
      <c r="E73" s="26">
        <f t="shared" si="10"/>
        <v>-15490.981289051517</v>
      </c>
      <c r="F73" s="24">
        <f t="shared" si="11"/>
        <v>-15491</v>
      </c>
      <c r="G73" s="27">
        <f t="shared" si="16"/>
        <v>6.5501030621817335E-3</v>
      </c>
      <c r="H73" s="27"/>
      <c r="I73" s="27"/>
      <c r="J73" s="27">
        <f t="shared" si="18"/>
        <v>6.5501030621817335E-3</v>
      </c>
      <c r="K73" s="27"/>
      <c r="L73" s="27"/>
      <c r="M73" s="27"/>
      <c r="N73" s="27"/>
      <c r="O73" s="27"/>
      <c r="P73" s="27"/>
      <c r="Q73" s="27">
        <f t="shared" si="12"/>
        <v>9.4067448852002619E-3</v>
      </c>
      <c r="R73" s="28">
        <f t="shared" si="13"/>
        <v>32657.879900000058</v>
      </c>
      <c r="S73" s="96"/>
      <c r="T73" s="24">
        <f t="shared" si="17"/>
        <v>8.1604025050186219E-6</v>
      </c>
    </row>
    <row r="74" spans="1:26" s="24" customFormat="1" x14ac:dyDescent="0.2">
      <c r="A74" s="24" t="s">
        <v>52</v>
      </c>
      <c r="B74" s="29"/>
      <c r="C74" s="25">
        <v>47398.423999999999</v>
      </c>
      <c r="D74" s="25"/>
      <c r="E74" s="26">
        <f t="shared" si="10"/>
        <v>-16284.986891387161</v>
      </c>
      <c r="F74" s="24">
        <f t="shared" si="11"/>
        <v>-16285</v>
      </c>
      <c r="G74" s="27">
        <f t="shared" si="16"/>
        <v>4.5889050015830435E-3</v>
      </c>
      <c r="H74" s="27"/>
      <c r="I74" s="27"/>
      <c r="J74" s="27">
        <f t="shared" si="18"/>
        <v>4.5889050015830435E-3</v>
      </c>
      <c r="K74" s="27"/>
      <c r="L74" s="27"/>
      <c r="M74" s="27"/>
      <c r="N74" s="27"/>
      <c r="O74" s="27"/>
      <c r="P74" s="27"/>
      <c r="Q74" s="27">
        <f t="shared" si="12"/>
        <v>1.018291129692772E-2</v>
      </c>
      <c r="R74" s="28">
        <f t="shared" si="13"/>
        <v>32379.923999999999</v>
      </c>
      <c r="S74" s="96"/>
      <c r="T74" s="24">
        <f t="shared" si="17"/>
        <v>3.1292906432355868E-5</v>
      </c>
    </row>
    <row r="75" spans="1:26" s="24" customFormat="1" x14ac:dyDescent="0.2">
      <c r="A75" s="24" t="s">
        <v>52</v>
      </c>
      <c r="B75" s="29"/>
      <c r="C75" s="25">
        <v>47398.4254</v>
      </c>
      <c r="D75" s="25"/>
      <c r="E75" s="26">
        <f t="shared" si="10"/>
        <v>-16284.982892163385</v>
      </c>
      <c r="F75" s="24">
        <f t="shared" si="11"/>
        <v>-16285</v>
      </c>
      <c r="G75" s="27">
        <f t="shared" si="16"/>
        <v>5.9889050025958568E-3</v>
      </c>
      <c r="H75" s="27"/>
      <c r="I75" s="27"/>
      <c r="J75" s="27">
        <f t="shared" si="18"/>
        <v>5.9889050025958568E-3</v>
      </c>
      <c r="K75" s="27"/>
      <c r="L75" s="27"/>
      <c r="M75" s="27"/>
      <c r="N75" s="27"/>
      <c r="O75" s="27"/>
      <c r="P75" s="27"/>
      <c r="Q75" s="27">
        <f t="shared" si="12"/>
        <v>1.018291129692772E-2</v>
      </c>
      <c r="R75" s="28">
        <f t="shared" si="13"/>
        <v>32379.9254</v>
      </c>
      <c r="S75" s="96"/>
      <c r="T75" s="24">
        <f t="shared" si="17"/>
        <v>1.7589688796895284E-5</v>
      </c>
      <c r="Z75" s="24" t="s">
        <v>195</v>
      </c>
    </row>
    <row r="76" spans="1:26" s="24" customFormat="1" x14ac:dyDescent="0.2">
      <c r="A76" s="24" t="s">
        <v>54</v>
      </c>
      <c r="B76" s="29" t="s">
        <v>48</v>
      </c>
      <c r="C76" s="25">
        <v>48028.374499999918</v>
      </c>
      <c r="D76" s="25"/>
      <c r="E76" s="26">
        <f t="shared" si="10"/>
        <v>-14485.477594430451</v>
      </c>
      <c r="F76" s="24">
        <f t="shared" si="11"/>
        <v>-14485.5</v>
      </c>
      <c r="G76" s="27">
        <f t="shared" si="16"/>
        <v>7.8434714232571423E-3</v>
      </c>
      <c r="H76" s="27"/>
      <c r="I76" s="27"/>
      <c r="J76" s="27">
        <f t="shared" si="18"/>
        <v>7.8434714232571423E-3</v>
      </c>
      <c r="K76" s="27"/>
      <c r="L76" s="27"/>
      <c r="M76" s="27"/>
      <c r="N76" s="27"/>
      <c r="O76" s="27"/>
      <c r="P76" s="27"/>
      <c r="Q76" s="27">
        <f t="shared" si="12"/>
        <v>8.4649729668937138E-3</v>
      </c>
      <c r="R76" s="28">
        <f t="shared" si="13"/>
        <v>33009.874499999918</v>
      </c>
      <c r="S76" s="96"/>
      <c r="T76" s="24">
        <f t="shared" si="17"/>
        <v>3.8626416874264122E-7</v>
      </c>
    </row>
    <row r="77" spans="1:26" s="24" customFormat="1" x14ac:dyDescent="0.2">
      <c r="A77" s="24" t="s">
        <v>54</v>
      </c>
      <c r="B77" s="29" t="s">
        <v>53</v>
      </c>
      <c r="C77" s="25">
        <v>48028.54889999982</v>
      </c>
      <c r="D77" s="25"/>
      <c r="E77" s="26">
        <f t="shared" si="10"/>
        <v>-14484.979405412088</v>
      </c>
      <c r="F77" s="24">
        <f t="shared" si="11"/>
        <v>-14485</v>
      </c>
      <c r="G77" s="27">
        <f t="shared" si="16"/>
        <v>7.2095048235496506E-3</v>
      </c>
      <c r="H77" s="27"/>
      <c r="I77" s="27"/>
      <c r="J77" s="27">
        <f t="shared" si="18"/>
        <v>7.2095048235496506E-3</v>
      </c>
      <c r="K77" s="27"/>
      <c r="L77" s="27"/>
      <c r="M77" s="27"/>
      <c r="N77" s="27"/>
      <c r="O77" s="27"/>
      <c r="P77" s="27"/>
      <c r="Q77" s="27">
        <f t="shared" si="12"/>
        <v>8.4645160944209381E-3</v>
      </c>
      <c r="R77" s="28">
        <f t="shared" si="13"/>
        <v>33010.04889999982</v>
      </c>
      <c r="S77" s="96"/>
      <c r="T77" s="24">
        <f t="shared" si="17"/>
        <v>1.5750532900139643E-6</v>
      </c>
    </row>
    <row r="78" spans="1:26" s="24" customFormat="1" x14ac:dyDescent="0.2">
      <c r="A78" s="24" t="s">
        <v>54</v>
      </c>
      <c r="B78" s="29" t="s">
        <v>48</v>
      </c>
      <c r="C78" s="25">
        <v>48030.475600000005</v>
      </c>
      <c r="D78" s="25"/>
      <c r="E78" s="26">
        <f t="shared" si="10"/>
        <v>-14479.475616522674</v>
      </c>
      <c r="F78" s="24">
        <f t="shared" si="11"/>
        <v>-14479.5</v>
      </c>
      <c r="G78" s="27">
        <f t="shared" si="16"/>
        <v>8.5358735086629167E-3</v>
      </c>
      <c r="H78" s="27"/>
      <c r="I78" s="27"/>
      <c r="J78" s="27">
        <f t="shared" si="18"/>
        <v>8.5358735086629167E-3</v>
      </c>
      <c r="K78" s="27"/>
      <c r="L78" s="27"/>
      <c r="M78" s="27"/>
      <c r="N78" s="27"/>
      <c r="O78" s="27"/>
      <c r="P78" s="27"/>
      <c r="Q78" s="27">
        <f t="shared" si="12"/>
        <v>8.4594912476115506E-3</v>
      </c>
      <c r="R78" s="28">
        <f t="shared" si="13"/>
        <v>33011.975600000005</v>
      </c>
      <c r="S78" s="96"/>
      <c r="T78" s="24">
        <f t="shared" si="17"/>
        <v>5.8342498033190429E-9</v>
      </c>
    </row>
    <row r="79" spans="1:26" s="24" customFormat="1" x14ac:dyDescent="0.2">
      <c r="A79" s="24" t="s">
        <v>54</v>
      </c>
      <c r="B79" s="29" t="s">
        <v>48</v>
      </c>
      <c r="C79" s="25">
        <v>48035.375800000038</v>
      </c>
      <c r="D79" s="25"/>
      <c r="E79" s="26">
        <f t="shared" si="10"/>
        <v>-14465.477761997585</v>
      </c>
      <c r="F79" s="24">
        <f t="shared" si="11"/>
        <v>-14465.5</v>
      </c>
      <c r="G79" s="27">
        <f t="shared" si="16"/>
        <v>7.7848115397500806E-3</v>
      </c>
      <c r="H79" s="27"/>
      <c r="I79" s="27"/>
      <c r="J79" s="27">
        <f t="shared" si="18"/>
        <v>7.7848115397500806E-3</v>
      </c>
      <c r="K79" s="27"/>
      <c r="L79" s="27"/>
      <c r="M79" s="27"/>
      <c r="N79" s="27"/>
      <c r="O79" s="27"/>
      <c r="P79" s="27"/>
      <c r="Q79" s="27">
        <f t="shared" si="12"/>
        <v>8.4467069362415669E-3</v>
      </c>
      <c r="R79" s="28">
        <f t="shared" si="13"/>
        <v>33016.875800000038</v>
      </c>
      <c r="S79" s="96"/>
      <c r="T79" s="24">
        <f t="shared" si="17"/>
        <v>4.3810551589662194E-7</v>
      </c>
    </row>
    <row r="80" spans="1:26" s="24" customFormat="1" x14ac:dyDescent="0.2">
      <c r="A80" s="32" t="s">
        <v>85</v>
      </c>
      <c r="B80" s="77"/>
      <c r="C80" s="32">
        <v>51636.342299999997</v>
      </c>
      <c r="D80" s="32"/>
      <c r="E80" s="26">
        <f t="shared" si="10"/>
        <v>-4178.9985945385115</v>
      </c>
      <c r="F80" s="24">
        <f t="shared" si="11"/>
        <v>-4179</v>
      </c>
      <c r="G80" s="27">
        <f t="shared" si="16"/>
        <v>4.9200699868379161E-4</v>
      </c>
      <c r="H80" s="27"/>
      <c r="I80" s="27"/>
      <c r="J80" s="27"/>
      <c r="K80" s="27"/>
      <c r="L80" s="27"/>
      <c r="M80" s="27"/>
      <c r="N80" s="27"/>
      <c r="O80" s="27">
        <f>G80</f>
        <v>4.9200699868379161E-4</v>
      </c>
      <c r="P80" s="27">
        <f t="shared" ref="P80:P105" ca="1" si="19">+C$11+C$12*$F80</f>
        <v>2.1266164668743968E-3</v>
      </c>
      <c r="Q80" s="27">
        <f t="shared" si="12"/>
        <v>1.4627830299717109E-3</v>
      </c>
      <c r="R80" s="28">
        <f t="shared" si="13"/>
        <v>36617.842299999997</v>
      </c>
      <c r="S80" s="96"/>
      <c r="T80" s="24">
        <f t="shared" si="17"/>
        <v>9.4240610292312327E-7</v>
      </c>
    </row>
    <row r="81" spans="1:22" s="24" customFormat="1" x14ac:dyDescent="0.2">
      <c r="A81" s="36" t="s">
        <v>50</v>
      </c>
      <c r="B81" s="34" t="s">
        <v>48</v>
      </c>
      <c r="C81" s="35">
        <v>50330.414499999999</v>
      </c>
      <c r="D81" s="35">
        <v>1E-3</v>
      </c>
      <c r="E81" s="26">
        <f t="shared" si="10"/>
        <v>-7909.4968118659399</v>
      </c>
      <c r="F81" s="24">
        <f t="shared" si="11"/>
        <v>-7909.5</v>
      </c>
      <c r="G81" s="27">
        <f t="shared" si="16"/>
        <v>1.1160635040141642E-3</v>
      </c>
      <c r="H81" s="27"/>
      <c r="I81" s="27"/>
      <c r="J81" s="27">
        <f>+G81</f>
        <v>1.1160635040141642E-3</v>
      </c>
      <c r="K81" s="27"/>
      <c r="L81" s="27"/>
      <c r="M81" s="27"/>
      <c r="N81" s="27"/>
      <c r="O81" s="27"/>
      <c r="P81" s="27">
        <f t="shared" ca="1" si="19"/>
        <v>5.4506395928222446E-3</v>
      </c>
      <c r="Q81" s="27">
        <f t="shared" si="12"/>
        <v>3.4394370764094752E-3</v>
      </c>
      <c r="R81" s="28">
        <f t="shared" si="13"/>
        <v>35311.914499999999</v>
      </c>
      <c r="S81" s="96"/>
      <c r="T81" s="24">
        <f t="shared" si="17"/>
        <v>5.3980647569049493E-6</v>
      </c>
    </row>
    <row r="82" spans="1:22" s="24" customFormat="1" x14ac:dyDescent="0.2">
      <c r="A82" s="36" t="s">
        <v>50</v>
      </c>
      <c r="B82" s="34" t="s">
        <v>48</v>
      </c>
      <c r="C82" s="35">
        <v>50653.526400000002</v>
      </c>
      <c r="D82" s="35">
        <v>1E-4</v>
      </c>
      <c r="E82" s="26">
        <f t="shared" si="10"/>
        <v>-6986.4991033040315</v>
      </c>
      <c r="F82" s="24">
        <f t="shared" si="11"/>
        <v>-6986.5</v>
      </c>
      <c r="G82" s="27">
        <f t="shared" si="16"/>
        <v>3.1390450749313459E-4</v>
      </c>
      <c r="H82" s="27"/>
      <c r="I82" s="27"/>
      <c r="J82" s="27">
        <f>+G82</f>
        <v>3.1390450749313459E-4</v>
      </c>
      <c r="K82" s="27"/>
      <c r="L82" s="27"/>
      <c r="M82" s="27"/>
      <c r="N82" s="27"/>
      <c r="O82" s="27"/>
      <c r="P82" s="27">
        <f t="shared" ca="1" si="19"/>
        <v>4.6282100672224956E-3</v>
      </c>
      <c r="Q82" s="27">
        <f t="shared" si="12"/>
        <v>2.8914490896700079E-3</v>
      </c>
      <c r="R82" s="28">
        <f t="shared" si="13"/>
        <v>35635.026400000002</v>
      </c>
      <c r="S82" s="96"/>
      <c r="T82" s="24">
        <f t="shared" si="17"/>
        <v>6.6437360731093523E-6</v>
      </c>
    </row>
    <row r="83" spans="1:22" s="24" customFormat="1" x14ac:dyDescent="0.2">
      <c r="A83" s="36" t="s">
        <v>58</v>
      </c>
      <c r="B83" s="34" t="s">
        <v>48</v>
      </c>
      <c r="C83" s="35">
        <v>52729.781999999999</v>
      </c>
      <c r="D83" s="35">
        <v>2.0000000000000001E-4</v>
      </c>
      <c r="E83" s="98">
        <f t="shared" si="10"/>
        <v>-1055.4914208608736</v>
      </c>
      <c r="F83" s="24">
        <f t="shared" si="11"/>
        <v>-1055.5</v>
      </c>
      <c r="G83" s="27">
        <f t="shared" si="16"/>
        <v>3.003281497512944E-3</v>
      </c>
      <c r="H83" s="27"/>
      <c r="I83" s="27"/>
      <c r="J83" s="27"/>
      <c r="K83" s="27"/>
      <c r="L83" s="27">
        <f>+G83</f>
        <v>3.003281497512944E-3</v>
      </c>
      <c r="M83" s="27"/>
      <c r="N83" s="27"/>
      <c r="O83" s="27"/>
      <c r="P83" s="27">
        <f t="shared" ca="1" si="19"/>
        <v>-6.5654563844609701E-4</v>
      </c>
      <c r="Q83" s="27">
        <f t="shared" si="12"/>
        <v>2.945657023419719E-4</v>
      </c>
      <c r="R83" s="28">
        <f t="shared" si="13"/>
        <v>37711.281999999999</v>
      </c>
      <c r="S83" s="96"/>
      <c r="T83" s="24">
        <f t="shared" si="17"/>
        <v>7.3371412590087112E-6</v>
      </c>
    </row>
    <row r="84" spans="1:22" s="24" customFormat="1" x14ac:dyDescent="0.2">
      <c r="A84" s="37" t="s">
        <v>86</v>
      </c>
      <c r="B84" s="77" t="s">
        <v>48</v>
      </c>
      <c r="C84" s="32">
        <v>53092.451399999998</v>
      </c>
      <c r="D84" s="32">
        <v>1E-4</v>
      </c>
      <c r="E84" s="98">
        <f t="shared" si="10"/>
        <v>-19.494216284015426</v>
      </c>
      <c r="F84" s="24">
        <f t="shared" si="11"/>
        <v>-19.5</v>
      </c>
      <c r="G84" s="27">
        <f t="shared" si="16"/>
        <v>2.0246935018803924E-3</v>
      </c>
      <c r="H84" s="27"/>
      <c r="I84" s="27"/>
      <c r="J84" s="27"/>
      <c r="K84" s="27"/>
      <c r="L84" s="27">
        <f>+G84</f>
        <v>2.0246935018803924E-3</v>
      </c>
      <c r="M84" s="27"/>
      <c r="N84" s="27"/>
      <c r="O84" s="27"/>
      <c r="P84" s="27">
        <f t="shared" ca="1" si="19"/>
        <v>-1.579662635760658E-3</v>
      </c>
      <c r="Q84" s="27">
        <f t="shared" si="12"/>
        <v>5.0807001215820491E-6</v>
      </c>
      <c r="R84" s="28">
        <f t="shared" si="13"/>
        <v>38073.951399999998</v>
      </c>
      <c r="S84" s="96"/>
      <c r="T84" s="24">
        <f t="shared" si="17"/>
        <v>4.0788358690280717E-6</v>
      </c>
    </row>
    <row r="85" spans="1:22" s="24" customFormat="1" x14ac:dyDescent="0.2">
      <c r="A85" s="37" t="s">
        <v>86</v>
      </c>
      <c r="B85" s="77" t="s">
        <v>48</v>
      </c>
      <c r="C85" s="32">
        <v>53099.450700000001</v>
      </c>
      <c r="D85" s="32">
        <v>2.0000000000000001E-4</v>
      </c>
      <c r="E85" s="98">
        <f t="shared" ref="E85:E116" si="20">+(C85-C$7)/C$8</f>
        <v>0.49990297169809716</v>
      </c>
      <c r="F85" s="24">
        <f t="shared" ref="F85:F116" si="21">ROUND(2*E85,0)/2</f>
        <v>0.5</v>
      </c>
      <c r="G85" s="27">
        <f t="shared" si="16"/>
        <v>-3.3966498449444771E-5</v>
      </c>
      <c r="H85" s="27"/>
      <c r="I85" s="27"/>
      <c r="J85" s="27"/>
      <c r="K85" s="27"/>
      <c r="L85" s="27">
        <f>+G85</f>
        <v>-3.3966498449444771E-5</v>
      </c>
      <c r="M85" s="27"/>
      <c r="N85" s="27"/>
      <c r="O85" s="27"/>
      <c r="P85" s="27">
        <f t="shared" ca="1" si="19"/>
        <v>-1.597483427214607E-3</v>
      </c>
      <c r="Q85" s="27">
        <f t="shared" ref="Q85:Q116" si="22">+D$11+D$12*F85+D$13*F85^2</f>
        <v>-2.7563110031777823E-8</v>
      </c>
      <c r="R85" s="28">
        <f t="shared" ref="R85:R116" si="23">+C85-15018.5</f>
        <v>38080.950700000001</v>
      </c>
      <c r="S85" s="96"/>
      <c r="T85" s="24">
        <f t="shared" si="17"/>
        <v>1.151851331972856E-9</v>
      </c>
    </row>
    <row r="86" spans="1:22" s="24" customFormat="1" x14ac:dyDescent="0.2">
      <c r="A86" s="33" t="s">
        <v>87</v>
      </c>
      <c r="B86" s="34" t="s">
        <v>53</v>
      </c>
      <c r="C86" s="35">
        <v>52717.002999999997</v>
      </c>
      <c r="D86" s="32">
        <v>1E-4</v>
      </c>
      <c r="E86" s="98">
        <f t="shared" si="20"/>
        <v>-1091.9957641478729</v>
      </c>
      <c r="F86" s="24">
        <f t="shared" si="21"/>
        <v>-1092</v>
      </c>
      <c r="G86" s="27">
        <f t="shared" si="16"/>
        <v>1.4828359999228269E-3</v>
      </c>
      <c r="H86" s="27"/>
      <c r="I86" s="27"/>
      <c r="J86" s="27"/>
      <c r="K86" s="27">
        <f>G86</f>
        <v>1.4828359999228269E-3</v>
      </c>
      <c r="L86" s="27"/>
      <c r="M86" s="27"/>
      <c r="N86" s="27"/>
      <c r="O86" s="27"/>
      <c r="P86" s="27">
        <f t="shared" ca="1" si="19"/>
        <v>-6.2402269404263988E-4</v>
      </c>
      <c r="Q86" s="27">
        <f t="shared" si="22"/>
        <v>3.0565489106322411E-4</v>
      </c>
      <c r="R86" s="28">
        <f t="shared" si="23"/>
        <v>37698.502999999997</v>
      </c>
      <c r="S86" s="96"/>
      <c r="T86" s="24">
        <f t="shared" si="17"/>
        <v>1.385755363055924E-6</v>
      </c>
    </row>
    <row r="87" spans="1:22" s="24" customFormat="1" x14ac:dyDescent="0.2">
      <c r="A87" s="33" t="s">
        <v>87</v>
      </c>
      <c r="B87" s="34" t="s">
        <v>48</v>
      </c>
      <c r="C87" s="35">
        <v>52717.178399999997</v>
      </c>
      <c r="D87" s="32">
        <v>1E-4</v>
      </c>
      <c r="E87" s="98">
        <f t="shared" si="20"/>
        <v>-1091.4947185408189</v>
      </c>
      <c r="F87" s="24">
        <f t="shared" si="21"/>
        <v>-1091.5</v>
      </c>
      <c r="G87" s="27">
        <f t="shared" si="16"/>
        <v>1.8488694986444898E-3</v>
      </c>
      <c r="H87" s="27"/>
      <c r="I87" s="27"/>
      <c r="J87" s="27"/>
      <c r="K87" s="27">
        <f>G87</f>
        <v>1.8488694986444898E-3</v>
      </c>
      <c r="L87" s="27"/>
      <c r="M87" s="27"/>
      <c r="N87" s="27"/>
      <c r="O87" s="27"/>
      <c r="P87" s="27">
        <f t="shared" ca="1" si="19"/>
        <v>-6.2446821382898868E-4</v>
      </c>
      <c r="Q87" s="27">
        <f t="shared" si="22"/>
        <v>3.0550257506415838E-4</v>
      </c>
      <c r="R87" s="28">
        <f t="shared" si="23"/>
        <v>37698.678399999997</v>
      </c>
      <c r="S87" s="96"/>
      <c r="T87" s="24">
        <f t="shared" si="17"/>
        <v>2.3819814608018165E-6</v>
      </c>
    </row>
    <row r="88" spans="1:22" s="24" customFormat="1" x14ac:dyDescent="0.2">
      <c r="A88" s="78" t="s">
        <v>89</v>
      </c>
      <c r="B88" s="79"/>
      <c r="C88" s="32">
        <v>53634.357799999998</v>
      </c>
      <c r="D88" s="32">
        <v>1.6999999999999999E-3</v>
      </c>
      <c r="E88" s="98">
        <f t="shared" si="20"/>
        <v>1528.5093250743409</v>
      </c>
      <c r="F88" s="24">
        <f t="shared" si="21"/>
        <v>1528.5</v>
      </c>
      <c r="G88" s="27">
        <f t="shared" si="16"/>
        <v>3.2644094972056337E-3</v>
      </c>
      <c r="H88" s="27"/>
      <c r="I88" s="27"/>
      <c r="J88" s="27"/>
      <c r="K88" s="27"/>
      <c r="L88" s="27">
        <f>+G88</f>
        <v>3.2644094972056337E-3</v>
      </c>
      <c r="M88" s="27"/>
      <c r="N88" s="27"/>
      <c r="O88" s="27"/>
      <c r="P88" s="27">
        <f t="shared" ca="1" si="19"/>
        <v>-2.9589918942963152E-3</v>
      </c>
      <c r="Q88" s="27">
        <f t="shared" si="22"/>
        <v>-3.3651302058774194E-4</v>
      </c>
      <c r="R88" s="28">
        <f t="shared" si="23"/>
        <v>38615.857799999998</v>
      </c>
      <c r="S88" s="96"/>
      <c r="T88" s="24">
        <f t="shared" si="17"/>
        <v>1.2966642979151385E-5</v>
      </c>
    </row>
    <row r="89" spans="1:22" s="24" customFormat="1" x14ac:dyDescent="0.2">
      <c r="A89" s="78" t="s">
        <v>89</v>
      </c>
      <c r="B89" s="79"/>
      <c r="C89" s="32">
        <v>53634.521999999997</v>
      </c>
      <c r="D89" s="32">
        <v>2.2000000000000001E-3</v>
      </c>
      <c r="E89" s="98">
        <f t="shared" si="20"/>
        <v>1528.9783768912043</v>
      </c>
      <c r="F89" s="24">
        <f t="shared" si="21"/>
        <v>1529</v>
      </c>
      <c r="G89" s="27">
        <f t="shared" si="16"/>
        <v>-7.5695569976232946E-3</v>
      </c>
      <c r="H89" s="27"/>
      <c r="I89" s="27"/>
      <c r="J89" s="27"/>
      <c r="K89" s="27"/>
      <c r="L89" s="27">
        <f>+G89</f>
        <v>-7.5695569976232946E-3</v>
      </c>
      <c r="M89" s="27"/>
      <c r="N89" s="27"/>
      <c r="O89" s="27"/>
      <c r="P89" s="27">
        <f t="shared" ca="1" si="19"/>
        <v>-2.9594374140826636E-3</v>
      </c>
      <c r="Q89" s="27">
        <f t="shared" si="22"/>
        <v>-3.3660574870915405E-4</v>
      </c>
      <c r="R89" s="28">
        <f t="shared" si="23"/>
        <v>38616.021999999997</v>
      </c>
      <c r="S89" s="96"/>
      <c r="T89" s="24">
        <f t="shared" si="17"/>
        <v>5.2315583769168628E-5</v>
      </c>
    </row>
    <row r="90" spans="1:22" s="24" customFormat="1" x14ac:dyDescent="0.2">
      <c r="A90" s="80" t="s">
        <v>92</v>
      </c>
      <c r="B90" s="36"/>
      <c r="C90" s="32">
        <v>54220.736700000001</v>
      </c>
      <c r="D90" s="32">
        <v>2.0000000000000001E-4</v>
      </c>
      <c r="E90" s="98">
        <f t="shared" si="20"/>
        <v>3203.5524944811295</v>
      </c>
      <c r="F90" s="24">
        <f t="shared" si="21"/>
        <v>3203.5</v>
      </c>
      <c r="G90" s="27"/>
      <c r="H90" s="27"/>
      <c r="I90" s="27"/>
      <c r="J90" s="27"/>
      <c r="K90" s="27"/>
      <c r="L90" s="27"/>
      <c r="M90" s="27"/>
      <c r="O90" s="27"/>
      <c r="P90" s="27">
        <f t="shared" ca="1" si="19"/>
        <v>-4.4514831785645477E-3</v>
      </c>
      <c r="Q90" s="27">
        <f t="shared" si="22"/>
        <v>-5.833738131245862E-4</v>
      </c>
      <c r="R90" s="28">
        <f t="shared" si="23"/>
        <v>39202.236700000001</v>
      </c>
      <c r="S90" s="97">
        <v>1.8376634499873035E-2</v>
      </c>
    </row>
    <row r="91" spans="1:22" s="24" customFormat="1" x14ac:dyDescent="0.2">
      <c r="A91" s="32" t="s">
        <v>94</v>
      </c>
      <c r="B91" s="77" t="s">
        <v>53</v>
      </c>
      <c r="C91" s="32">
        <v>54597.3891</v>
      </c>
      <c r="D91" s="32">
        <v>1.1000000000000001E-3</v>
      </c>
      <c r="E91" s="98">
        <f t="shared" si="20"/>
        <v>4279.4933747902069</v>
      </c>
      <c r="F91" s="24">
        <f t="shared" si="21"/>
        <v>4279.5</v>
      </c>
      <c r="G91" s="27">
        <f t="shared" ref="G91:G111" si="24">+C91-(C$7+F91*C$8)</f>
        <v>-2.3192734952317551E-3</v>
      </c>
      <c r="H91" s="27"/>
      <c r="I91" s="27"/>
      <c r="J91" s="27">
        <f>+G91</f>
        <v>-2.3192734952317551E-3</v>
      </c>
      <c r="K91" s="27"/>
      <c r="L91" s="27"/>
      <c r="M91" s="27"/>
      <c r="N91" s="12"/>
      <c r="O91" s="12"/>
      <c r="P91" s="27">
        <f t="shared" ca="1" si="19"/>
        <v>-5.4102417587870068E-3</v>
      </c>
      <c r="Q91" s="27">
        <f t="shared" si="22"/>
        <v>-6.7464469981745362E-4</v>
      </c>
      <c r="R91" s="28">
        <f t="shared" si="23"/>
        <v>39578.8891</v>
      </c>
      <c r="S91" s="96"/>
      <c r="T91" s="24">
        <f t="shared" ref="T91:T111" si="25">+(Q91-G91)^2</f>
        <v>2.7048038747058963E-6</v>
      </c>
      <c r="U91"/>
      <c r="V91"/>
    </row>
    <row r="92" spans="1:22" s="24" customFormat="1" x14ac:dyDescent="0.2">
      <c r="A92" s="32" t="s">
        <v>94</v>
      </c>
      <c r="B92" s="77" t="s">
        <v>53</v>
      </c>
      <c r="C92" s="32">
        <v>54597.566299999999</v>
      </c>
      <c r="D92" s="32">
        <v>8.0000000000000004E-4</v>
      </c>
      <c r="E92" s="98">
        <f t="shared" si="20"/>
        <v>4279.9995622563929</v>
      </c>
      <c r="F92" s="24">
        <f t="shared" si="21"/>
        <v>4280</v>
      </c>
      <c r="G92" s="27">
        <f t="shared" si="24"/>
        <v>-1.5323999832617119E-4</v>
      </c>
      <c r="H92" s="27"/>
      <c r="I92" s="27"/>
      <c r="J92" s="27">
        <f>+G92</f>
        <v>-1.5323999832617119E-4</v>
      </c>
      <c r="K92" s="27"/>
      <c r="L92" s="27"/>
      <c r="M92" s="27"/>
      <c r="N92" s="12"/>
      <c r="O92" s="12"/>
      <c r="P92" s="27">
        <f t="shared" ca="1" si="19"/>
        <v>-5.4106872785733562E-3</v>
      </c>
      <c r="Q92" s="27">
        <f t="shared" si="22"/>
        <v>-6.7467487260537012E-4</v>
      </c>
      <c r="R92" s="28">
        <f t="shared" si="23"/>
        <v>39579.066299999999</v>
      </c>
      <c r="S92" s="96"/>
      <c r="T92" s="24">
        <f t="shared" si="25"/>
        <v>2.7189432811456397E-7</v>
      </c>
      <c r="U92"/>
      <c r="V92"/>
    </row>
    <row r="93" spans="1:22" s="24" customFormat="1" x14ac:dyDescent="0.2">
      <c r="A93" s="80" t="s">
        <v>91</v>
      </c>
      <c r="B93" s="36"/>
      <c r="C93" s="32">
        <v>54545.928800000002</v>
      </c>
      <c r="D93" s="32">
        <v>1E-4</v>
      </c>
      <c r="E93" s="98">
        <f t="shared" si="20"/>
        <v>4132.4924782527942</v>
      </c>
      <c r="F93" s="24">
        <f t="shared" si="21"/>
        <v>4132.5</v>
      </c>
      <c r="G93" s="27">
        <f t="shared" si="24"/>
        <v>-2.6331224944442511E-3</v>
      </c>
      <c r="H93" s="27"/>
      <c r="I93" s="27"/>
      <c r="J93" s="27"/>
      <c r="K93" s="27"/>
      <c r="L93" s="27"/>
      <c r="M93" s="27"/>
      <c r="N93" s="27">
        <f>+G93</f>
        <v>-2.6331224944442511E-3</v>
      </c>
      <c r="O93" s="27"/>
      <c r="P93" s="27">
        <f t="shared" ca="1" si="19"/>
        <v>-5.2792589416004818E-3</v>
      </c>
      <c r="Q93" s="27">
        <f t="shared" si="22"/>
        <v>-6.6528085908729737E-4</v>
      </c>
      <c r="R93" s="28">
        <f t="shared" si="23"/>
        <v>39527.428800000002</v>
      </c>
      <c r="S93" s="96"/>
      <c r="T93" s="24">
        <f t="shared" si="25"/>
        <v>3.8724007018443304E-6</v>
      </c>
    </row>
    <row r="94" spans="1:22" s="24" customFormat="1" x14ac:dyDescent="0.2">
      <c r="A94" s="80" t="s">
        <v>175</v>
      </c>
      <c r="B94" s="36"/>
      <c r="C94" s="32">
        <v>54943.779300000002</v>
      </c>
      <c r="D94" s="32">
        <v>1E-4</v>
      </c>
      <c r="E94" s="98">
        <f t="shared" si="20"/>
        <v>5268.9876053286025</v>
      </c>
      <c r="F94" s="24">
        <f t="shared" si="21"/>
        <v>5269</v>
      </c>
      <c r="G94" s="27">
        <f t="shared" si="24"/>
        <v>-4.3389769998611882E-3</v>
      </c>
      <c r="H94" s="27"/>
      <c r="I94" s="27"/>
      <c r="J94" s="27"/>
      <c r="K94" s="27"/>
      <c r="L94" s="27"/>
      <c r="M94" s="27"/>
      <c r="O94" s="27">
        <f>+G94</f>
        <v>-4.3389769998611882E-3</v>
      </c>
      <c r="P94" s="27">
        <f t="shared" ca="1" si="19"/>
        <v>-6.2919254159711372E-3</v>
      </c>
      <c r="Q94" s="27">
        <f t="shared" si="22"/>
        <v>-7.121037867020187E-4</v>
      </c>
      <c r="R94" s="28">
        <f t="shared" si="23"/>
        <v>39925.279300000002</v>
      </c>
      <c r="S94" s="96"/>
      <c r="T94" s="24">
        <f t="shared" si="25"/>
        <v>1.3154209304331519E-5</v>
      </c>
    </row>
    <row r="95" spans="1:22" s="24" customFormat="1" x14ac:dyDescent="0.2">
      <c r="A95" s="37" t="s">
        <v>174</v>
      </c>
      <c r="B95" s="86" t="s">
        <v>48</v>
      </c>
      <c r="C95" s="37">
        <v>54898.797100000003</v>
      </c>
      <c r="D95" s="37">
        <v>1E-4</v>
      </c>
      <c r="E95" s="98">
        <f t="shared" si="20"/>
        <v>5140.4919741677832</v>
      </c>
      <c r="F95" s="24">
        <f t="shared" si="21"/>
        <v>5140.5</v>
      </c>
      <c r="G95" s="27">
        <f t="shared" si="24"/>
        <v>-2.8095864981878549E-3</v>
      </c>
      <c r="H95" s="27"/>
      <c r="I95" s="27"/>
      <c r="J95" s="27">
        <f>+G95</f>
        <v>-2.8095864981878549E-3</v>
      </c>
      <c r="K95" s="27"/>
      <c r="L95" s="27"/>
      <c r="M95" s="27"/>
      <c r="N95" s="12"/>
      <c r="O95" s="12"/>
      <c r="P95" s="27">
        <f t="shared" ca="1" si="19"/>
        <v>-6.1774268308795142E-3</v>
      </c>
      <c r="Q95" s="27">
        <f t="shared" si="22"/>
        <v>-7.09755038751729E-4</v>
      </c>
      <c r="R95" s="28">
        <f t="shared" si="23"/>
        <v>39880.297100000003</v>
      </c>
      <c r="S95" s="96"/>
      <c r="T95" s="24">
        <f t="shared" si="25"/>
        <v>4.4092921580376498E-6</v>
      </c>
      <c r="U95"/>
      <c r="V95"/>
    </row>
    <row r="96" spans="1:22" s="24" customFormat="1" x14ac:dyDescent="0.2">
      <c r="A96" s="79" t="s">
        <v>185</v>
      </c>
      <c r="B96" s="34" t="s">
        <v>53</v>
      </c>
      <c r="C96" s="35">
        <v>55238.885600000001</v>
      </c>
      <c r="D96" s="35">
        <v>1E-4</v>
      </c>
      <c r="E96" s="98">
        <f t="shared" si="20"/>
        <v>6111.9848415250399</v>
      </c>
      <c r="F96" s="24">
        <f t="shared" si="21"/>
        <v>6112</v>
      </c>
      <c r="G96" s="27">
        <f t="shared" si="24"/>
        <v>-5.3064959938637912E-3</v>
      </c>
      <c r="H96" s="27"/>
      <c r="I96" s="27"/>
      <c r="J96" s="27"/>
      <c r="K96" s="27"/>
      <c r="L96" s="27"/>
      <c r="M96" s="27"/>
      <c r="N96" s="12"/>
      <c r="O96" s="27">
        <f>+G96</f>
        <v>-5.3064959938637912E-3</v>
      </c>
      <c r="P96" s="27">
        <f t="shared" ca="1" si="19"/>
        <v>-7.0430717757550892E-3</v>
      </c>
      <c r="Q96" s="27">
        <f t="shared" si="22"/>
        <v>-7.0888954067162442E-4</v>
      </c>
      <c r="R96" s="28">
        <f t="shared" si="23"/>
        <v>40220.385600000001</v>
      </c>
      <c r="S96" s="96"/>
      <c r="T96" s="24">
        <f t="shared" si="25"/>
        <v>2.1137985098434253E-5</v>
      </c>
      <c r="U96"/>
      <c r="V96"/>
    </row>
    <row r="97" spans="1:22" s="24" customFormat="1" x14ac:dyDescent="0.2">
      <c r="A97" s="37" t="s">
        <v>187</v>
      </c>
      <c r="B97" s="86" t="s">
        <v>48</v>
      </c>
      <c r="C97" s="37">
        <v>55323.430979999997</v>
      </c>
      <c r="D97" s="37">
        <v>4.0999999999999999E-4</v>
      </c>
      <c r="E97" s="98">
        <f t="shared" si="20"/>
        <v>6353.4961941229822</v>
      </c>
      <c r="F97" s="24">
        <f t="shared" si="21"/>
        <v>6353.5</v>
      </c>
      <c r="G97" s="27">
        <f t="shared" si="24"/>
        <v>-1.332315499894321E-3</v>
      </c>
      <c r="H97" s="27"/>
      <c r="I97" s="27"/>
      <c r="J97" s="27">
        <f t="shared" ref="J97:J105" si="26">+G97</f>
        <v>-1.332315499894321E-3</v>
      </c>
      <c r="K97" s="27"/>
      <c r="L97" s="27"/>
      <c r="M97" s="27"/>
      <c r="N97" s="12"/>
      <c r="O97" s="12"/>
      <c r="P97" s="27">
        <f t="shared" ca="1" si="19"/>
        <v>-7.2582578325615247E-3</v>
      </c>
      <c r="Q97" s="27">
        <f t="shared" si="22"/>
        <v>-7.0201320314912732E-4</v>
      </c>
      <c r="R97" s="28">
        <f t="shared" si="23"/>
        <v>40304.930979999997</v>
      </c>
      <c r="S97" s="96"/>
      <c r="T97" s="24">
        <f t="shared" si="25"/>
        <v>3.9728098528226615E-7</v>
      </c>
      <c r="U97"/>
      <c r="V97"/>
    </row>
    <row r="98" spans="1:22" s="24" customFormat="1" x14ac:dyDescent="0.2">
      <c r="A98" s="37" t="s">
        <v>187</v>
      </c>
      <c r="B98" s="86" t="s">
        <v>53</v>
      </c>
      <c r="C98" s="37">
        <v>55329.55416</v>
      </c>
      <c r="D98" s="37">
        <v>1.7000000000000001E-4</v>
      </c>
      <c r="E98" s="98">
        <f t="shared" si="20"/>
        <v>6370.9875991412255</v>
      </c>
      <c r="F98" s="24">
        <f t="shared" si="21"/>
        <v>6371</v>
      </c>
      <c r="G98" s="27">
        <f t="shared" si="24"/>
        <v>-4.3411430015112273E-3</v>
      </c>
      <c r="H98" s="27"/>
      <c r="I98" s="27"/>
      <c r="J98" s="27">
        <f t="shared" si="26"/>
        <v>-4.3411430015112273E-3</v>
      </c>
      <c r="K98" s="27"/>
      <c r="L98" s="27"/>
      <c r="M98" s="27"/>
      <c r="N98" s="12"/>
      <c r="O98" s="12"/>
      <c r="P98" s="27">
        <f t="shared" ca="1" si="19"/>
        <v>-7.2738510250837298E-3</v>
      </c>
      <c r="Q98" s="27">
        <f t="shared" si="22"/>
        <v>-7.0141185273632511E-4</v>
      </c>
      <c r="R98" s="28">
        <f t="shared" si="23"/>
        <v>40311.05416</v>
      </c>
      <c r="S98" s="96"/>
      <c r="T98" s="24">
        <f t="shared" si="25"/>
        <v>1.324764283536227E-5</v>
      </c>
      <c r="U98"/>
      <c r="V98"/>
    </row>
    <row r="99" spans="1:22" s="24" customFormat="1" x14ac:dyDescent="0.2">
      <c r="A99" s="37" t="s">
        <v>187</v>
      </c>
      <c r="B99" s="86" t="s">
        <v>48</v>
      </c>
      <c r="C99" s="37">
        <v>55664.397369999999</v>
      </c>
      <c r="D99" s="37">
        <v>1.1199999999999999E-3</v>
      </c>
      <c r="E99" s="98">
        <f t="shared" si="20"/>
        <v>7327.4968318792016</v>
      </c>
      <c r="F99" s="24">
        <f t="shared" si="21"/>
        <v>7327.5</v>
      </c>
      <c r="G99" s="27">
        <f t="shared" si="24"/>
        <v>-1.1090574989793822E-3</v>
      </c>
      <c r="H99" s="27"/>
      <c r="I99" s="27"/>
      <c r="J99" s="27">
        <f t="shared" si="26"/>
        <v>-1.1090574989793822E-3</v>
      </c>
      <c r="K99" s="27"/>
      <c r="L99" s="27"/>
      <c r="M99" s="27"/>
      <c r="N99" s="12"/>
      <c r="O99" s="12"/>
      <c r="P99" s="27">
        <f t="shared" ca="1" si="19"/>
        <v>-8.1261303763688446E-3</v>
      </c>
      <c r="Q99" s="27">
        <f t="shared" si="22"/>
        <v>-6.4735928334355925E-4</v>
      </c>
      <c r="R99" s="28">
        <f t="shared" si="23"/>
        <v>40645.897369999999</v>
      </c>
      <c r="S99" s="96"/>
      <c r="T99" s="24">
        <f t="shared" si="25"/>
        <v>2.1316524232130288E-7</v>
      </c>
      <c r="U99"/>
      <c r="V99"/>
    </row>
    <row r="100" spans="1:22" s="24" customFormat="1" x14ac:dyDescent="0.2">
      <c r="A100" s="90" t="s">
        <v>202</v>
      </c>
      <c r="B100" s="91" t="s">
        <v>53</v>
      </c>
      <c r="C100" s="92">
        <v>56001.331200000001</v>
      </c>
      <c r="D100" s="92">
        <v>1.6999999999999999E-3</v>
      </c>
      <c r="E100" s="98">
        <f t="shared" si="20"/>
        <v>8289.9781054781797</v>
      </c>
      <c r="F100" s="24">
        <f t="shared" si="21"/>
        <v>8290</v>
      </c>
      <c r="G100" s="27">
        <f t="shared" si="24"/>
        <v>-7.6645699955406599E-3</v>
      </c>
      <c r="H100" s="27"/>
      <c r="I100" s="27"/>
      <c r="J100" s="27">
        <f t="shared" si="26"/>
        <v>-7.6645699955406599E-3</v>
      </c>
      <c r="K100" s="27"/>
      <c r="L100" s="27"/>
      <c r="M100" s="27"/>
      <c r="N100" s="12"/>
      <c r="O100" s="12"/>
      <c r="P100" s="27">
        <f t="shared" ca="1" si="19"/>
        <v>-8.9837559650901427E-3</v>
      </c>
      <c r="Q100" s="27">
        <f t="shared" si="22"/>
        <v>-5.509676322097343E-4</v>
      </c>
      <c r="R100" s="28">
        <f t="shared" si="23"/>
        <v>40982.831200000001</v>
      </c>
      <c r="S100" s="96"/>
      <c r="T100" s="24">
        <f t="shared" si="25"/>
        <v>5.0603338583587325E-5</v>
      </c>
      <c r="U100"/>
      <c r="V100"/>
    </row>
    <row r="101" spans="1:22" s="24" customFormat="1" x14ac:dyDescent="0.2">
      <c r="A101" s="90" t="s">
        <v>202</v>
      </c>
      <c r="B101" s="91" t="s">
        <v>48</v>
      </c>
      <c r="C101" s="92">
        <v>56001.510799999996</v>
      </c>
      <c r="D101" s="92">
        <v>1.2999999999999999E-3</v>
      </c>
      <c r="E101" s="98">
        <f t="shared" si="20"/>
        <v>8290.4911487565423</v>
      </c>
      <c r="F101" s="24">
        <f t="shared" si="21"/>
        <v>8290.5</v>
      </c>
      <c r="G101" s="27">
        <f t="shared" si="24"/>
        <v>-3.0985365010565147E-3</v>
      </c>
      <c r="H101" s="27"/>
      <c r="I101" s="27"/>
      <c r="J101" s="27">
        <f t="shared" si="26"/>
        <v>-3.0985365010565147E-3</v>
      </c>
      <c r="K101" s="27"/>
      <c r="L101" s="27"/>
      <c r="M101" s="27"/>
      <c r="N101" s="12"/>
      <c r="O101" s="12"/>
      <c r="P101" s="27">
        <f t="shared" ca="1" si="19"/>
        <v>-8.9842014848764903E-3</v>
      </c>
      <c r="Q101" s="27">
        <f t="shared" si="22"/>
        <v>-5.5090660973593371E-4</v>
      </c>
      <c r="R101" s="28">
        <f t="shared" si="23"/>
        <v>40983.010799999996</v>
      </c>
      <c r="S101" s="96"/>
      <c r="T101" s="24">
        <f t="shared" si="25"/>
        <v>6.4904180631501143E-6</v>
      </c>
      <c r="U101"/>
      <c r="V101"/>
    </row>
    <row r="102" spans="1:22" s="24" customFormat="1" x14ac:dyDescent="0.2">
      <c r="A102" s="90" t="s">
        <v>202</v>
      </c>
      <c r="B102" s="91" t="s">
        <v>48</v>
      </c>
      <c r="C102" s="92">
        <v>56007.462</v>
      </c>
      <c r="D102" s="92">
        <v>1.2999999999999999E-3</v>
      </c>
      <c r="E102" s="98">
        <f t="shared" si="20"/>
        <v>8307.4912777000955</v>
      </c>
      <c r="F102" s="24">
        <f t="shared" si="21"/>
        <v>8307.5</v>
      </c>
      <c r="G102" s="27">
        <f t="shared" si="24"/>
        <v>-3.0533975004800595E-3</v>
      </c>
      <c r="H102" s="27"/>
      <c r="I102" s="27"/>
      <c r="J102" s="27">
        <f t="shared" si="26"/>
        <v>-3.0533975004800595E-3</v>
      </c>
      <c r="K102" s="27"/>
      <c r="L102" s="27"/>
      <c r="M102" s="27"/>
      <c r="N102" s="12"/>
      <c r="O102" s="12"/>
      <c r="P102" s="27">
        <f t="shared" ca="1" si="19"/>
        <v>-8.999349157612347E-3</v>
      </c>
      <c r="Q102" s="27">
        <f t="shared" si="22"/>
        <v>-5.4882508073695485E-4</v>
      </c>
      <c r="R102" s="28">
        <f t="shared" si="23"/>
        <v>40988.962</v>
      </c>
      <c r="S102" s="96"/>
      <c r="T102" s="24">
        <f t="shared" si="25"/>
        <v>6.2728830057378315E-6</v>
      </c>
      <c r="U102"/>
      <c r="V102"/>
    </row>
    <row r="103" spans="1:22" s="24" customFormat="1" x14ac:dyDescent="0.2">
      <c r="A103" s="90" t="s">
        <v>202</v>
      </c>
      <c r="B103" s="91" t="s">
        <v>53</v>
      </c>
      <c r="C103" s="92">
        <v>56007.636299999998</v>
      </c>
      <c r="D103" s="92">
        <v>2.9999999999999997E-4</v>
      </c>
      <c r="E103" s="98">
        <f t="shared" si="20"/>
        <v>8307.9891810598947</v>
      </c>
      <c r="F103" s="24">
        <f t="shared" si="21"/>
        <v>8308</v>
      </c>
      <c r="G103" s="27">
        <f t="shared" si="24"/>
        <v>-3.7873640030738898E-3</v>
      </c>
      <c r="H103" s="27"/>
      <c r="I103" s="27"/>
      <c r="J103" s="27">
        <f t="shared" si="26"/>
        <v>-3.7873640030738898E-3</v>
      </c>
      <c r="K103" s="27"/>
      <c r="L103" s="27"/>
      <c r="M103" s="27"/>
      <c r="N103" s="12"/>
      <c r="O103" s="12"/>
      <c r="P103" s="27">
        <f t="shared" ca="1" si="19"/>
        <v>-8.9997946773986946E-3</v>
      </c>
      <c r="Q103" s="27">
        <f t="shared" si="22"/>
        <v>-5.4876366032846277E-4</v>
      </c>
      <c r="R103" s="28">
        <f t="shared" si="23"/>
        <v>40989.136299999998</v>
      </c>
      <c r="S103" s="96"/>
      <c r="T103" s="24">
        <f t="shared" si="25"/>
        <v>1.0488532180030797E-5</v>
      </c>
      <c r="U103"/>
      <c r="V103"/>
    </row>
    <row r="104" spans="1:22" s="24" customFormat="1" x14ac:dyDescent="0.2">
      <c r="A104" s="90" t="s">
        <v>203</v>
      </c>
      <c r="B104" s="91" t="s">
        <v>48</v>
      </c>
      <c r="C104" s="92">
        <v>56187.404900000001</v>
      </c>
      <c r="D104" s="92">
        <v>1.6999999999999999E-3</v>
      </c>
      <c r="E104" s="98">
        <f t="shared" si="20"/>
        <v>8821.514080239971</v>
      </c>
      <c r="F104" s="24">
        <f t="shared" si="21"/>
        <v>8821.5</v>
      </c>
      <c r="G104" s="27">
        <f t="shared" si="24"/>
        <v>4.9290405004285276E-3</v>
      </c>
      <c r="H104" s="27"/>
      <c r="I104" s="27"/>
      <c r="J104" s="27">
        <f t="shared" si="26"/>
        <v>4.9290405004285276E-3</v>
      </c>
      <c r="K104" s="27"/>
      <c r="L104" s="27"/>
      <c r="M104" s="27"/>
      <c r="N104" s="12"/>
      <c r="O104" s="12"/>
      <c r="P104" s="27">
        <f t="shared" ca="1" si="19"/>
        <v>-9.457343497978837E-3</v>
      </c>
      <c r="Q104" s="27">
        <f t="shared" si="22"/>
        <v>-4.796831588341076E-4</v>
      </c>
      <c r="R104" s="28">
        <f t="shared" si="23"/>
        <v>41168.904900000001</v>
      </c>
      <c r="S104" s="96"/>
      <c r="T104" s="24">
        <f t="shared" si="25"/>
        <v>2.9254291622267385E-5</v>
      </c>
      <c r="U104"/>
      <c r="V104"/>
    </row>
    <row r="105" spans="1:22" s="24" customFormat="1" x14ac:dyDescent="0.2">
      <c r="A105" s="92" t="s">
        <v>204</v>
      </c>
      <c r="B105" s="91" t="s">
        <v>53</v>
      </c>
      <c r="C105" s="92">
        <v>56408.4591</v>
      </c>
      <c r="D105" s="92">
        <v>1.4E-3</v>
      </c>
      <c r="E105" s="98">
        <f t="shared" si="20"/>
        <v>9452.9749458657261</v>
      </c>
      <c r="F105" s="24">
        <f t="shared" si="21"/>
        <v>9453</v>
      </c>
      <c r="G105" s="27">
        <f t="shared" si="24"/>
        <v>-8.7706490012351424E-3</v>
      </c>
      <c r="H105" s="27"/>
      <c r="I105" s="27"/>
      <c r="J105" s="27">
        <f t="shared" si="26"/>
        <v>-8.7706490012351424E-3</v>
      </c>
      <c r="K105" s="27"/>
      <c r="L105" s="27"/>
      <c r="M105" s="27"/>
      <c r="N105" s="12"/>
      <c r="O105" s="12"/>
      <c r="P105" s="27">
        <f t="shared" ca="1" si="19"/>
        <v>-1.0020034988137279E-2</v>
      </c>
      <c r="Q105" s="27">
        <f t="shared" si="22"/>
        <v>-3.7828634508337185E-4</v>
      </c>
      <c r="R105" s="28">
        <f t="shared" si="23"/>
        <v>41389.9591</v>
      </c>
      <c r="S105" s="96"/>
      <c r="T105" s="24">
        <f t="shared" si="25"/>
        <v>7.0431750952370807E-5</v>
      </c>
      <c r="U105"/>
      <c r="V105"/>
    </row>
    <row r="106" spans="1:22" s="24" customFormat="1" x14ac:dyDescent="0.2">
      <c r="A106" s="24" t="s">
        <v>68</v>
      </c>
      <c r="B106" s="29"/>
      <c r="C106" s="25">
        <v>43657.444000000003</v>
      </c>
      <c r="D106" s="25"/>
      <c r="E106" s="26">
        <f t="shared" si="20"/>
        <v>-26971.427000141699</v>
      </c>
      <c r="F106" s="24">
        <f t="shared" si="21"/>
        <v>-26971.5</v>
      </c>
      <c r="G106" s="27">
        <f t="shared" si="24"/>
        <v>2.5554909501806833E-2</v>
      </c>
      <c r="H106" s="27"/>
      <c r="I106" s="27"/>
      <c r="J106" s="27"/>
      <c r="K106" s="27"/>
      <c r="L106" s="27"/>
      <c r="M106" s="27"/>
      <c r="N106" s="27"/>
      <c r="O106" s="27">
        <f>G106</f>
        <v>2.5554909501806833E-2</v>
      </c>
      <c r="P106" s="27"/>
      <c r="Q106" s="27">
        <f t="shared" si="22"/>
        <v>2.3419168396917257E-2</v>
      </c>
      <c r="R106" s="28">
        <f t="shared" si="23"/>
        <v>28638.944000000003</v>
      </c>
      <c r="S106" s="96"/>
      <c r="T106" s="24">
        <f t="shared" si="25"/>
        <v>4.561390067114948E-6</v>
      </c>
    </row>
    <row r="107" spans="1:22" x14ac:dyDescent="0.2">
      <c r="A107" s="78" t="s">
        <v>199</v>
      </c>
      <c r="B107" s="77" t="s">
        <v>53</v>
      </c>
      <c r="C107" s="32">
        <v>50590.684999999998</v>
      </c>
      <c r="D107" s="36"/>
      <c r="E107" s="98">
        <f t="shared" si="20"/>
        <v>-7166.0111181905959</v>
      </c>
      <c r="F107" s="24">
        <f t="shared" si="21"/>
        <v>-7166</v>
      </c>
      <c r="G107" s="27">
        <f t="shared" si="24"/>
        <v>-3.8921220038901083E-3</v>
      </c>
      <c r="H107" s="27"/>
      <c r="I107" s="27"/>
      <c r="J107" s="27">
        <f>+G107</f>
        <v>-3.8921220038901083E-3</v>
      </c>
      <c r="K107" s="27"/>
      <c r="L107" s="27"/>
      <c r="M107" s="27"/>
      <c r="P107" s="27">
        <f ca="1">+C$11+C$12*$F107</f>
        <v>4.7881516705216877E-3</v>
      </c>
      <c r="Q107" s="27">
        <f t="shared" si="22"/>
        <v>2.994984077208199E-3</v>
      </c>
      <c r="R107" s="28">
        <f t="shared" si="23"/>
        <v>35572.184999999998</v>
      </c>
      <c r="S107" s="96"/>
      <c r="T107" s="24">
        <f t="shared" si="25"/>
        <v>4.7432230172301286E-5</v>
      </c>
    </row>
    <row r="108" spans="1:22" x14ac:dyDescent="0.2">
      <c r="A108" s="78" t="s">
        <v>199</v>
      </c>
      <c r="B108" s="77" t="s">
        <v>53</v>
      </c>
      <c r="C108" s="32">
        <v>51056.629000000001</v>
      </c>
      <c r="D108" s="36"/>
      <c r="E108" s="98">
        <f t="shared" si="20"/>
        <v>-5835.0008882418761</v>
      </c>
      <c r="F108" s="24">
        <f t="shared" si="21"/>
        <v>-5835</v>
      </c>
      <c r="G108" s="27">
        <f t="shared" si="24"/>
        <v>-3.1094499718165025E-4</v>
      </c>
      <c r="H108" s="27"/>
      <c r="I108" s="27"/>
      <c r="J108" s="27">
        <f>+G108</f>
        <v>-3.1094499718165025E-4</v>
      </c>
      <c r="K108" s="27"/>
      <c r="L108" s="27"/>
      <c r="M108" s="27"/>
      <c r="P108" s="27">
        <f ca="1">+C$11+C$12*$F108</f>
        <v>3.6021779992613783E-3</v>
      </c>
      <c r="Q108" s="27">
        <f t="shared" si="22"/>
        <v>2.262118859328156E-3</v>
      </c>
      <c r="R108" s="28">
        <f t="shared" si="23"/>
        <v>36038.129000000001</v>
      </c>
      <c r="S108" s="96"/>
      <c r="T108" s="24">
        <f t="shared" si="25"/>
        <v>6.6206576096771163E-6</v>
      </c>
    </row>
    <row r="109" spans="1:22" x14ac:dyDescent="0.2">
      <c r="A109" s="24" t="s">
        <v>70</v>
      </c>
      <c r="B109" s="29"/>
      <c r="C109" s="25">
        <v>44707.453000000001</v>
      </c>
      <c r="D109" s="25"/>
      <c r="E109" s="26">
        <f t="shared" si="20"/>
        <v>-23971.983460707317</v>
      </c>
      <c r="F109" s="24">
        <f t="shared" si="21"/>
        <v>-23972</v>
      </c>
      <c r="G109" s="27">
        <f t="shared" si="24"/>
        <v>5.7898760060197674E-3</v>
      </c>
      <c r="H109" s="27"/>
      <c r="I109" s="27"/>
      <c r="J109" s="27"/>
      <c r="K109" s="27">
        <f>G109</f>
        <v>5.7898760060197674E-3</v>
      </c>
      <c r="L109" s="27"/>
      <c r="M109" s="27"/>
      <c r="N109" s="27"/>
      <c r="O109" s="27"/>
      <c r="P109" s="27"/>
      <c r="Q109" s="27">
        <f t="shared" si="22"/>
        <v>1.9179699860396335E-2</v>
      </c>
      <c r="R109" s="28">
        <f t="shared" si="23"/>
        <v>29688.953000000001</v>
      </c>
      <c r="S109" s="96"/>
      <c r="T109" s="24">
        <f t="shared" si="25"/>
        <v>1.7928738285123176E-4</v>
      </c>
      <c r="U109" s="24"/>
      <c r="V109" s="24"/>
    </row>
    <row r="110" spans="1:22" x14ac:dyDescent="0.2">
      <c r="A110" s="24" t="s">
        <v>74</v>
      </c>
      <c r="B110" s="29"/>
      <c r="C110" s="25">
        <v>46649.445</v>
      </c>
      <c r="D110" s="25"/>
      <c r="E110" s="26">
        <f t="shared" si="20"/>
        <v>-18424.511621862832</v>
      </c>
      <c r="F110" s="24">
        <f t="shared" si="21"/>
        <v>-18424.5</v>
      </c>
      <c r="G110" s="27">
        <f t="shared" si="24"/>
        <v>-4.0684414998395368E-3</v>
      </c>
      <c r="H110" s="27"/>
      <c r="I110" s="27"/>
      <c r="J110" s="27"/>
      <c r="K110" s="27">
        <f>G110</f>
        <v>-4.0684414998395368E-3</v>
      </c>
      <c r="L110" s="27"/>
      <c r="M110" s="27"/>
      <c r="N110" s="27"/>
      <c r="O110" s="27"/>
      <c r="P110" s="27"/>
      <c r="Q110" s="27">
        <f t="shared" si="22"/>
        <v>1.2417073014903445E-2</v>
      </c>
      <c r="R110" s="28">
        <f t="shared" si="23"/>
        <v>31630.945</v>
      </c>
      <c r="S110" s="96"/>
      <c r="T110" s="24">
        <f t="shared" si="25"/>
        <v>2.7177218881580163E-4</v>
      </c>
      <c r="U110" s="24"/>
      <c r="V110" s="24"/>
    </row>
    <row r="111" spans="1:22" x14ac:dyDescent="0.2">
      <c r="A111" s="24" t="s">
        <v>74</v>
      </c>
      <c r="B111" s="29"/>
      <c r="C111" s="25">
        <v>46650.502999999997</v>
      </c>
      <c r="D111" s="25"/>
      <c r="E111" s="26">
        <f t="shared" si="20"/>
        <v>-18421.489351325421</v>
      </c>
      <c r="F111" s="24">
        <f t="shared" si="21"/>
        <v>-18421.5</v>
      </c>
      <c r="G111" s="27">
        <f t="shared" si="24"/>
        <v>3.7277594965416938E-3</v>
      </c>
      <c r="H111" s="27"/>
      <c r="I111" s="27"/>
      <c r="J111" s="27"/>
      <c r="K111" s="27">
        <f>G111</f>
        <v>3.7277594965416938E-3</v>
      </c>
      <c r="L111" s="27"/>
      <c r="M111" s="27"/>
      <c r="N111" s="27"/>
      <c r="O111" s="27"/>
      <c r="P111" s="27"/>
      <c r="Q111" s="27">
        <f t="shared" si="22"/>
        <v>1.2413794534124657E-2</v>
      </c>
      <c r="R111" s="28">
        <f t="shared" si="23"/>
        <v>31632.002999999997</v>
      </c>
      <c r="S111" s="96"/>
      <c r="T111" s="24">
        <f t="shared" si="25"/>
        <v>7.5447204674118865E-5</v>
      </c>
      <c r="U111" s="24"/>
      <c r="V111" s="24"/>
    </row>
    <row r="112" spans="1:22" s="24" customFormat="1" x14ac:dyDescent="0.2">
      <c r="A112" s="36" t="s">
        <v>83</v>
      </c>
      <c r="B112" s="77"/>
      <c r="C112" s="32">
        <v>51600.644800000002</v>
      </c>
      <c r="D112" s="32"/>
      <c r="E112" s="26">
        <f t="shared" si="20"/>
        <v>-4280.9716592921877</v>
      </c>
      <c r="F112" s="24">
        <f t="shared" si="21"/>
        <v>-4281</v>
      </c>
      <c r="G112" s="27"/>
      <c r="H112" s="27"/>
      <c r="I112" s="27"/>
      <c r="J112" s="27"/>
      <c r="L112" s="27"/>
      <c r="M112" s="27"/>
      <c r="N112" s="27"/>
      <c r="O112" s="27"/>
      <c r="P112" s="27">
        <f ca="1">+C$11+C$12*$F112</f>
        <v>2.2175025032895369E-3</v>
      </c>
      <c r="Q112" s="27">
        <f t="shared" si="22"/>
        <v>1.5084131499679162E-3</v>
      </c>
      <c r="R112" s="28">
        <f t="shared" si="23"/>
        <v>36582.144800000002</v>
      </c>
      <c r="S112" s="31">
        <v>9.9211730048409663E-3</v>
      </c>
    </row>
    <row r="113" spans="1:27" x14ac:dyDescent="0.2">
      <c r="A113" s="24" t="s">
        <v>72</v>
      </c>
      <c r="B113" s="29"/>
      <c r="C113" s="25">
        <v>45857.262199999997</v>
      </c>
      <c r="D113" s="25"/>
      <c r="E113" s="26">
        <f t="shared" si="20"/>
        <v>-20687.4518266716</v>
      </c>
      <c r="F113" s="24">
        <f t="shared" si="21"/>
        <v>-20687.5</v>
      </c>
      <c r="G113" s="27">
        <f>+C113-(C$7+F113*C$8)</f>
        <v>1.6863937496964354E-2</v>
      </c>
      <c r="H113" s="27"/>
      <c r="I113" s="27"/>
      <c r="J113" s="27">
        <f>G113</f>
        <v>1.6863937496964354E-2</v>
      </c>
      <c r="K113" s="27"/>
      <c r="L113" s="27"/>
      <c r="M113" s="27"/>
      <c r="N113" s="27"/>
      <c r="O113" s="27"/>
      <c r="P113" s="27"/>
      <c r="Q113" s="27">
        <f t="shared" si="22"/>
        <v>1.500674562815086E-2</v>
      </c>
      <c r="R113" s="28">
        <f t="shared" si="23"/>
        <v>30838.762199999997</v>
      </c>
      <c r="S113" s="96"/>
      <c r="T113" s="24">
        <f>+(Q113-G113)^2</f>
        <v>3.44916163758696E-6</v>
      </c>
      <c r="U113" s="24"/>
      <c r="V113" s="24"/>
    </row>
    <row r="114" spans="1:27" s="24" customFormat="1" x14ac:dyDescent="0.2">
      <c r="A114" s="24" t="s">
        <v>72</v>
      </c>
      <c r="B114" s="29"/>
      <c r="C114" s="25">
        <v>45860.239200000004</v>
      </c>
      <c r="D114" s="25"/>
      <c r="E114" s="26">
        <f t="shared" si="20"/>
        <v>-20678.947762976037</v>
      </c>
      <c r="F114" s="24">
        <f t="shared" si="21"/>
        <v>-20679</v>
      </c>
      <c r="G114" s="27">
        <f>+C114-(C$7+F114*C$8)</f>
        <v>1.8286507001903374E-2</v>
      </c>
      <c r="H114" s="27"/>
      <c r="I114" s="27"/>
      <c r="J114" s="27">
        <f>G114</f>
        <v>1.8286507001903374E-2</v>
      </c>
      <c r="K114" s="27"/>
      <c r="L114" s="27"/>
      <c r="M114" s="27"/>
      <c r="N114" s="27"/>
      <c r="O114" s="27"/>
      <c r="P114" s="27"/>
      <c r="Q114" s="27">
        <f t="shared" si="22"/>
        <v>1.4996582865445172E-2</v>
      </c>
      <c r="R114" s="28">
        <f t="shared" si="23"/>
        <v>30841.739200000004</v>
      </c>
      <c r="S114" s="96"/>
      <c r="T114" s="24">
        <f>+(Q114-G114)^2</f>
        <v>1.0823600823650246E-5</v>
      </c>
    </row>
    <row r="115" spans="1:27" x14ac:dyDescent="0.2">
      <c r="A115" s="24" t="s">
        <v>66</v>
      </c>
      <c r="B115" s="29"/>
      <c r="C115" s="25">
        <v>43014.36</v>
      </c>
      <c r="D115" s="25"/>
      <c r="E115" s="26">
        <f t="shared" si="20"/>
        <v>-28808.453300976864</v>
      </c>
      <c r="F115" s="24">
        <f t="shared" si="21"/>
        <v>-28808.5</v>
      </c>
      <c r="G115" s="27">
        <f>+C115-(C$7+F115*C$8)</f>
        <v>1.634783050394617E-2</v>
      </c>
      <c r="H115" s="27"/>
      <c r="I115" s="27"/>
      <c r="J115" s="27"/>
      <c r="K115" s="27"/>
      <c r="L115" s="27"/>
      <c r="M115" s="27"/>
      <c r="N115" s="27"/>
      <c r="O115" s="27">
        <f>G115</f>
        <v>1.634783050394617E-2</v>
      </c>
      <c r="P115" s="27"/>
      <c r="Q115" s="27">
        <f t="shared" si="22"/>
        <v>2.6217598211190952E-2</v>
      </c>
      <c r="R115" s="28">
        <f t="shared" si="23"/>
        <v>27995.86</v>
      </c>
      <c r="S115" s="96"/>
      <c r="T115" s="24">
        <f>+(Q115-G115)^2</f>
        <v>9.7412314594971908E-5</v>
      </c>
      <c r="U115" s="24"/>
      <c r="V115" s="24"/>
    </row>
    <row r="116" spans="1:27" s="24" customFormat="1" x14ac:dyDescent="0.2">
      <c r="A116" s="32" t="s">
        <v>95</v>
      </c>
      <c r="B116" s="77" t="s">
        <v>48</v>
      </c>
      <c r="C116" s="32">
        <v>49995.375999999997</v>
      </c>
      <c r="D116" s="32" t="s">
        <v>96</v>
      </c>
      <c r="E116" s="26">
        <f t="shared" si="20"/>
        <v>-8866.5639077544474</v>
      </c>
      <c r="F116" s="24">
        <f t="shared" si="21"/>
        <v>-8866.5</v>
      </c>
      <c r="G116" s="27"/>
      <c r="H116" s="27"/>
      <c r="I116" s="27"/>
      <c r="J116" s="27"/>
      <c r="K116" s="27"/>
      <c r="L116" s="27"/>
      <c r="M116" s="27"/>
      <c r="N116" s="12"/>
      <c r="O116" s="12"/>
      <c r="P116" s="27"/>
      <c r="Q116" s="27">
        <f t="shared" si="22"/>
        <v>4.0485222940269041E-3</v>
      </c>
      <c r="R116" s="28">
        <f t="shared" si="23"/>
        <v>34976.875999999997</v>
      </c>
      <c r="S116" s="97">
        <v>-2.2372055500454735E-2</v>
      </c>
      <c r="U116"/>
      <c r="V116"/>
    </row>
    <row r="117" spans="1:27" s="24" customFormat="1" x14ac:dyDescent="0.2">
      <c r="A117" s="32" t="s">
        <v>95</v>
      </c>
      <c r="B117" s="77"/>
      <c r="C117" s="32">
        <v>49999.404999999999</v>
      </c>
      <c r="D117" s="32" t="s">
        <v>96</v>
      </c>
      <c r="E117" s="26">
        <f t="shared" ref="E117:E148" si="27">+(C117-C$7)/C$8</f>
        <v>-8855.0547130519371</v>
      </c>
      <c r="F117" s="24">
        <f t="shared" ref="F117:F148" si="28">ROUND(2*E117,0)/2</f>
        <v>-8855</v>
      </c>
      <c r="G117" s="27"/>
      <c r="H117" s="27"/>
      <c r="I117" s="27"/>
      <c r="J117" s="27"/>
      <c r="K117" s="27"/>
      <c r="L117" s="27"/>
      <c r="M117" s="27"/>
      <c r="N117" s="12"/>
      <c r="O117" s="12"/>
      <c r="P117" s="27"/>
      <c r="Q117" s="27">
        <f t="shared" ref="Q117:Q148" si="29">+D$11+D$12*F117+D$13*F117^2</f>
        <v>4.0409558399792083E-3</v>
      </c>
      <c r="R117" s="28">
        <f t="shared" ref="R117:R148" si="30">+C117-15018.5</f>
        <v>34980.904999999999</v>
      </c>
      <c r="S117" s="97">
        <v>-1.9153285000356846E-2</v>
      </c>
      <c r="U117"/>
      <c r="V117"/>
    </row>
    <row r="118" spans="1:27" x14ac:dyDescent="0.2">
      <c r="A118" s="32" t="s">
        <v>95</v>
      </c>
      <c r="B118" s="77"/>
      <c r="C118" s="32">
        <v>50180.457000000002</v>
      </c>
      <c r="D118" s="32" t="s">
        <v>96</v>
      </c>
      <c r="E118" s="26">
        <f t="shared" si="27"/>
        <v>-8337.8636683069053</v>
      </c>
      <c r="F118" s="24">
        <f t="shared" si="28"/>
        <v>-8338</v>
      </c>
      <c r="G118" s="27"/>
      <c r="H118" s="27"/>
      <c r="I118" s="27"/>
      <c r="J118" s="27"/>
      <c r="K118" s="27"/>
      <c r="L118" s="27"/>
      <c r="M118" s="27"/>
      <c r="P118" s="27"/>
      <c r="Q118" s="27">
        <f t="shared" si="29"/>
        <v>3.7070074976072809E-3</v>
      </c>
      <c r="R118" s="28">
        <f t="shared" si="30"/>
        <v>35161.957000000002</v>
      </c>
      <c r="S118" s="97">
        <v>4.7725354001158848E-2</v>
      </c>
      <c r="T118" s="24"/>
    </row>
    <row r="119" spans="1:27" s="24" customFormat="1" x14ac:dyDescent="0.2">
      <c r="A119" s="32" t="s">
        <v>95</v>
      </c>
      <c r="B119" s="77" t="s">
        <v>48</v>
      </c>
      <c r="C119" s="103">
        <v>50189.572999999997</v>
      </c>
      <c r="D119" s="32" t="s">
        <v>96</v>
      </c>
      <c r="E119" s="26">
        <f t="shared" si="27"/>
        <v>-8311.8230083644976</v>
      </c>
      <c r="F119" s="24">
        <f t="shared" si="28"/>
        <v>-8312</v>
      </c>
      <c r="G119" s="27"/>
      <c r="H119" s="27"/>
      <c r="I119" s="27"/>
      <c r="J119" s="27"/>
      <c r="K119" s="27"/>
      <c r="L119" s="27"/>
      <c r="M119" s="27"/>
      <c r="N119" s="12"/>
      <c r="O119" s="12"/>
      <c r="P119" s="27"/>
      <c r="Q119" s="27">
        <f t="shared" si="29"/>
        <v>3.6905342212238887E-3</v>
      </c>
      <c r="R119" s="28">
        <f t="shared" si="30"/>
        <v>35171.072999999997</v>
      </c>
      <c r="S119" s="97">
        <v>6.1959095997735858E-2</v>
      </c>
      <c r="U119"/>
      <c r="V119"/>
    </row>
    <row r="120" spans="1:27" s="24" customFormat="1" x14ac:dyDescent="0.2">
      <c r="A120" s="32" t="s">
        <v>95</v>
      </c>
      <c r="B120" s="77" t="s">
        <v>48</v>
      </c>
      <c r="C120" s="32">
        <v>50195.504999999997</v>
      </c>
      <c r="D120" s="32" t="s">
        <v>96</v>
      </c>
      <c r="E120" s="26">
        <f t="shared" si="27"/>
        <v>-8294.8777259184171</v>
      </c>
      <c r="F120" s="24">
        <f t="shared" si="28"/>
        <v>-8295</v>
      </c>
      <c r="G120" s="27"/>
      <c r="H120" s="27"/>
      <c r="I120" s="27"/>
      <c r="J120" s="27"/>
      <c r="K120" s="27"/>
      <c r="L120" s="27"/>
      <c r="M120" s="27"/>
      <c r="N120" s="12"/>
      <c r="O120" s="12"/>
      <c r="P120" s="27"/>
      <c r="Q120" s="27">
        <f t="shared" si="29"/>
        <v>3.679779855119903E-3</v>
      </c>
      <c r="R120" s="28">
        <f t="shared" si="30"/>
        <v>35177.004999999997</v>
      </c>
      <c r="S120" s="97">
        <v>4.280423499585595E-2</v>
      </c>
      <c r="U120"/>
      <c r="V120"/>
    </row>
    <row r="121" spans="1:27" s="24" customFormat="1" x14ac:dyDescent="0.2">
      <c r="A121" s="32" t="s">
        <v>97</v>
      </c>
      <c r="B121" s="77" t="s">
        <v>53</v>
      </c>
      <c r="C121" s="32">
        <v>52119.441200000001</v>
      </c>
      <c r="D121" s="32" t="s">
        <v>96</v>
      </c>
      <c r="E121" s="98">
        <f t="shared" si="27"/>
        <v>-2798.9838760809812</v>
      </c>
      <c r="F121" s="24">
        <f t="shared" si="28"/>
        <v>-2799</v>
      </c>
      <c r="G121" s="27">
        <f>+C121-(C$7+F121*C$8)</f>
        <v>5.64446700445842E-3</v>
      </c>
      <c r="H121" s="27"/>
      <c r="I121" s="27"/>
      <c r="J121" s="27"/>
      <c r="K121" s="27"/>
      <c r="L121" s="27"/>
      <c r="M121" s="27"/>
      <c r="N121" s="12"/>
      <c r="O121" s="27">
        <f>+G121</f>
        <v>5.64446700445842E-3</v>
      </c>
      <c r="P121" s="27">
        <f t="shared" ref="P121:P142" ca="1" si="31">+C$11+C$12*$F121</f>
        <v>8.9698185655191212E-4</v>
      </c>
      <c r="Q121" s="27">
        <f t="shared" si="29"/>
        <v>8.9193949701646933E-4</v>
      </c>
      <c r="R121" s="28">
        <f t="shared" si="30"/>
        <v>37100.941200000001</v>
      </c>
      <c r="S121" s="96"/>
      <c r="T121" s="24">
        <f>+(Q121-G121)^2</f>
        <v>2.2586517708992402E-5</v>
      </c>
      <c r="U121"/>
      <c r="V121"/>
    </row>
    <row r="122" spans="1:27" s="24" customFormat="1" x14ac:dyDescent="0.2">
      <c r="A122" s="32" t="s">
        <v>97</v>
      </c>
      <c r="B122" s="77" t="s">
        <v>53</v>
      </c>
      <c r="C122" s="32">
        <v>53228.442990000003</v>
      </c>
      <c r="D122" s="32" t="s">
        <v>96</v>
      </c>
      <c r="E122" s="98">
        <f t="shared" si="27"/>
        <v>368.97778352067701</v>
      </c>
      <c r="F122" s="24">
        <f t="shared" si="28"/>
        <v>369</v>
      </c>
      <c r="G122" s="27">
        <f>+C122-(C$7+F122*C$8)</f>
        <v>-7.7772769946022891E-3</v>
      </c>
      <c r="H122" s="27"/>
      <c r="I122" s="27"/>
      <c r="J122" s="27"/>
      <c r="K122" s="27"/>
      <c r="L122" s="27"/>
      <c r="M122" s="27"/>
      <c r="N122" s="12"/>
      <c r="O122" s="27">
        <f>+G122</f>
        <v>-7.7772769946022891E-3</v>
      </c>
      <c r="P122" s="27">
        <f t="shared" ca="1" si="31"/>
        <v>-1.9258315097536185E-3</v>
      </c>
      <c r="Q122" s="27">
        <f t="shared" si="29"/>
        <v>-9.0891928822190026E-5</v>
      </c>
      <c r="R122" s="28">
        <f t="shared" si="30"/>
        <v>38209.942990000003</v>
      </c>
      <c r="S122" s="96"/>
      <c r="T122" s="24">
        <f>+(Q122-G122)^2</f>
        <v>5.9080515379447334E-5</v>
      </c>
      <c r="U122"/>
      <c r="V122"/>
    </row>
    <row r="123" spans="1:27" s="24" customFormat="1" x14ac:dyDescent="0.2">
      <c r="A123" s="32" t="s">
        <v>97</v>
      </c>
      <c r="B123" s="77" t="s">
        <v>53</v>
      </c>
      <c r="C123" s="32">
        <v>53228.453410000002</v>
      </c>
      <c r="D123" s="32" t="s">
        <v>96</v>
      </c>
      <c r="E123" s="98">
        <f t="shared" si="27"/>
        <v>369.00754917190193</v>
      </c>
      <c r="F123" s="24">
        <f t="shared" si="28"/>
        <v>369</v>
      </c>
      <c r="G123" s="27">
        <f>+C123-(C$7+F123*C$8)</f>
        <v>2.6427230041008443E-3</v>
      </c>
      <c r="H123" s="27"/>
      <c r="I123" s="27"/>
      <c r="J123" s="27"/>
      <c r="K123" s="27"/>
      <c r="L123" s="27"/>
      <c r="M123" s="27"/>
      <c r="N123" s="12"/>
      <c r="O123" s="27">
        <f>+G123</f>
        <v>2.6427230041008443E-3</v>
      </c>
      <c r="P123" s="27">
        <f t="shared" ca="1" si="31"/>
        <v>-1.9258315097536185E-3</v>
      </c>
      <c r="Q123" s="27">
        <f t="shared" si="29"/>
        <v>-9.0891928822190026E-5</v>
      </c>
      <c r="R123" s="28">
        <f t="shared" si="30"/>
        <v>38209.953410000002</v>
      </c>
      <c r="S123" s="96"/>
      <c r="T123" s="24">
        <f>+(Q123-G123)^2</f>
        <v>7.4726506014998065E-6</v>
      </c>
      <c r="U123"/>
      <c r="V123"/>
    </row>
    <row r="124" spans="1:27" s="24" customFormat="1" x14ac:dyDescent="0.2">
      <c r="A124" s="32" t="s">
        <v>97</v>
      </c>
      <c r="B124" s="77" t="s">
        <v>53</v>
      </c>
      <c r="C124" s="32">
        <v>53619.451359999999</v>
      </c>
      <c r="D124" s="32" t="s">
        <v>98</v>
      </c>
      <c r="E124" s="98">
        <f t="shared" si="27"/>
        <v>1485.9277613411132</v>
      </c>
      <c r="F124" s="24">
        <f t="shared" si="28"/>
        <v>1486</v>
      </c>
      <c r="G124" s="27">
        <f>+C124-(C$7+F124*C$8)</f>
        <v>-2.5288438002462499E-2</v>
      </c>
      <c r="H124" s="27"/>
      <c r="I124" s="27"/>
      <c r="J124" s="27"/>
      <c r="K124" s="27"/>
      <c r="L124" s="27"/>
      <c r="M124" s="27"/>
      <c r="N124" s="12"/>
      <c r="O124" s="27">
        <f>+G124</f>
        <v>-2.5288438002462499E-2</v>
      </c>
      <c r="P124" s="27">
        <f t="shared" ca="1" si="31"/>
        <v>-2.921122712456673E-3</v>
      </c>
      <c r="Q124" s="27">
        <f t="shared" si="29"/>
        <v>-3.2858957451636461E-4</v>
      </c>
      <c r="R124" s="28">
        <f t="shared" si="30"/>
        <v>38600.951359999999</v>
      </c>
      <c r="S124" s="96"/>
      <c r="T124" s="24">
        <f>+(Q124-G124)^2</f>
        <v>6.2299403354604504E-4</v>
      </c>
      <c r="U124"/>
      <c r="V124"/>
      <c r="AA124" s="24" t="s">
        <v>193</v>
      </c>
    </row>
    <row r="125" spans="1:27" x14ac:dyDescent="0.2">
      <c r="A125" s="32" t="s">
        <v>97</v>
      </c>
      <c r="B125" s="77" t="s">
        <v>53</v>
      </c>
      <c r="C125" s="32">
        <v>53621.491000000002</v>
      </c>
      <c r="D125" s="32" t="s">
        <v>98</v>
      </c>
      <c r="E125" s="98">
        <f t="shared" si="27"/>
        <v>1491.7541733249914</v>
      </c>
      <c r="F125" s="24">
        <f t="shared" si="28"/>
        <v>1492</v>
      </c>
      <c r="G125" s="27"/>
      <c r="H125" s="27"/>
      <c r="I125" s="27"/>
      <c r="J125" s="27"/>
      <c r="K125" s="27"/>
      <c r="L125" s="27"/>
      <c r="M125" s="27"/>
      <c r="P125" s="27">
        <f t="shared" ca="1" si="31"/>
        <v>-2.9264689498928577E-3</v>
      </c>
      <c r="Q125" s="27">
        <f t="shared" si="29"/>
        <v>-3.2971315853604229E-4</v>
      </c>
      <c r="R125" s="28">
        <f t="shared" si="30"/>
        <v>38602.991000000002</v>
      </c>
      <c r="S125" s="97">
        <v>-8.6056035994261038E-2</v>
      </c>
      <c r="T125" s="24"/>
    </row>
    <row r="126" spans="1:27" x14ac:dyDescent="0.2">
      <c r="A126" s="32" t="s">
        <v>97</v>
      </c>
      <c r="B126" s="77" t="s">
        <v>53</v>
      </c>
      <c r="C126" s="32">
        <v>53632.508629999997</v>
      </c>
      <c r="D126" s="32" t="s">
        <v>99</v>
      </c>
      <c r="E126" s="98">
        <f t="shared" si="27"/>
        <v>1523.2270074848539</v>
      </c>
      <c r="F126" s="24">
        <f t="shared" si="28"/>
        <v>1523</v>
      </c>
      <c r="G126" s="27"/>
      <c r="H126" s="27"/>
      <c r="I126" s="27"/>
      <c r="J126" s="27"/>
      <c r="K126" s="27"/>
      <c r="L126" s="27"/>
      <c r="M126" s="27"/>
      <c r="P126" s="27">
        <f t="shared" ca="1" si="31"/>
        <v>-2.954091176646479E-3</v>
      </c>
      <c r="Q126" s="27">
        <f t="shared" si="29"/>
        <v>-3.3549226086107656E-4</v>
      </c>
      <c r="R126" s="28">
        <f t="shared" si="30"/>
        <v>38614.008629999997</v>
      </c>
      <c r="S126" s="97">
        <v>7.9468040996289346E-2</v>
      </c>
      <c r="T126" s="24"/>
    </row>
    <row r="127" spans="1:27" s="24" customFormat="1" x14ac:dyDescent="0.2">
      <c r="A127" s="32" t="s">
        <v>97</v>
      </c>
      <c r="B127" s="77" t="s">
        <v>53</v>
      </c>
      <c r="C127" s="32">
        <v>53654.52405</v>
      </c>
      <c r="D127" s="32" t="s">
        <v>99</v>
      </c>
      <c r="E127" s="98">
        <f t="shared" si="27"/>
        <v>1586.1160010905703</v>
      </c>
      <c r="F127" s="24">
        <f t="shared" si="28"/>
        <v>1586</v>
      </c>
      <c r="G127" s="27"/>
      <c r="H127" s="27"/>
      <c r="I127" s="27"/>
      <c r="J127" s="27"/>
      <c r="K127" s="27"/>
      <c r="L127" s="27"/>
      <c r="M127" s="27"/>
      <c r="N127" s="12"/>
      <c r="O127" s="12"/>
      <c r="P127" s="27">
        <f t="shared" ca="1" si="31"/>
        <v>-3.0102266697264184E-3</v>
      </c>
      <c r="Q127" s="27">
        <f t="shared" si="29"/>
        <v>-3.4710222706720544E-4</v>
      </c>
      <c r="R127" s="28">
        <f t="shared" si="30"/>
        <v>38636.02405</v>
      </c>
      <c r="S127" s="97">
        <v>4.060826200293377E-2</v>
      </c>
      <c r="U127"/>
      <c r="V127"/>
      <c r="AA127" s="24" t="s">
        <v>193</v>
      </c>
    </row>
    <row r="128" spans="1:27" x14ac:dyDescent="0.2">
      <c r="A128" s="32" t="s">
        <v>97</v>
      </c>
      <c r="B128" s="77" t="s">
        <v>53</v>
      </c>
      <c r="C128" s="32">
        <v>53655.339330000003</v>
      </c>
      <c r="D128" s="32" t="s">
        <v>98</v>
      </c>
      <c r="E128" s="98">
        <f t="shared" si="27"/>
        <v>1588.4449204892016</v>
      </c>
      <c r="F128" s="24">
        <f t="shared" si="28"/>
        <v>1588.5</v>
      </c>
      <c r="G128" s="27">
        <f t="shared" ref="G128:G159" si="32">+C128-(C$7+F128*C$8)</f>
        <v>-1.9281570494058542E-2</v>
      </c>
      <c r="H128" s="27"/>
      <c r="I128" s="27"/>
      <c r="J128" s="27"/>
      <c r="K128" s="27"/>
      <c r="L128" s="27"/>
      <c r="M128" s="27"/>
      <c r="O128" s="27">
        <f t="shared" ref="O128:O136" si="33">+G128</f>
        <v>-1.9281570494058542E-2</v>
      </c>
      <c r="P128" s="27">
        <f t="shared" ca="1" si="31"/>
        <v>-3.012454268658162E-3</v>
      </c>
      <c r="Q128" s="27">
        <f t="shared" si="29"/>
        <v>-3.4755921648013742E-4</v>
      </c>
      <c r="R128" s="28">
        <f t="shared" si="30"/>
        <v>38636.839330000003</v>
      </c>
      <c r="S128" s="96"/>
      <c r="T128" s="24">
        <f t="shared" ref="T128:T159" si="34">+(Q128-G128)^2</f>
        <v>3.5849678305946626E-4</v>
      </c>
    </row>
    <row r="129" spans="1:22" x14ac:dyDescent="0.2">
      <c r="A129" s="32" t="s">
        <v>97</v>
      </c>
      <c r="B129" s="77" t="s">
        <v>53</v>
      </c>
      <c r="C129" s="32">
        <v>53750.400199999996</v>
      </c>
      <c r="D129" s="32">
        <v>2.0000000000000001E-4</v>
      </c>
      <c r="E129" s="98">
        <f t="shared" si="27"/>
        <v>1859.994699942991</v>
      </c>
      <c r="F129" s="24">
        <f t="shared" si="28"/>
        <v>1860</v>
      </c>
      <c r="G129" s="27">
        <f t="shared" si="32"/>
        <v>-1.8553800036897883E-3</v>
      </c>
      <c r="H129" s="27"/>
      <c r="I129" s="27"/>
      <c r="J129" s="27"/>
      <c r="K129" s="27"/>
      <c r="L129" s="27"/>
      <c r="M129" s="27"/>
      <c r="O129" s="27">
        <f t="shared" si="33"/>
        <v>-1.8553800036897883E-3</v>
      </c>
      <c r="P129" s="27">
        <f t="shared" ca="1" si="31"/>
        <v>-3.2543715126455205E-3</v>
      </c>
      <c r="Q129" s="27">
        <f t="shared" si="29"/>
        <v>-3.9549668045989216E-4</v>
      </c>
      <c r="R129" s="28">
        <f t="shared" si="30"/>
        <v>38731.900199999996</v>
      </c>
      <c r="S129" s="96"/>
      <c r="T129" s="24">
        <f t="shared" si="34"/>
        <v>2.1312593174447655E-6</v>
      </c>
    </row>
    <row r="130" spans="1:22" x14ac:dyDescent="0.2">
      <c r="A130" s="32" t="s">
        <v>100</v>
      </c>
      <c r="B130" s="77" t="s">
        <v>53</v>
      </c>
      <c r="C130" s="32">
        <v>54558.356119999997</v>
      </c>
      <c r="D130" s="32">
        <v>1E-4</v>
      </c>
      <c r="E130" s="98">
        <f t="shared" si="27"/>
        <v>4167.9922165278658</v>
      </c>
      <c r="F130" s="24">
        <f t="shared" si="28"/>
        <v>4168</v>
      </c>
      <c r="G130" s="27">
        <f t="shared" si="32"/>
        <v>-2.7247440011706203E-3</v>
      </c>
      <c r="H130" s="27"/>
      <c r="I130" s="27"/>
      <c r="J130" s="27"/>
      <c r="K130" s="27"/>
      <c r="L130" s="27"/>
      <c r="M130" s="27"/>
      <c r="O130" s="27">
        <f t="shared" si="33"/>
        <v>-2.7247440011706203E-3</v>
      </c>
      <c r="P130" s="27">
        <f t="shared" ca="1" si="31"/>
        <v>-5.3108908464312415E-3</v>
      </c>
      <c r="Q130" s="27">
        <f t="shared" si="29"/>
        <v>-6.6763220191625589E-4</v>
      </c>
      <c r="R130" s="28">
        <f t="shared" si="30"/>
        <v>39539.856119999997</v>
      </c>
      <c r="S130" s="96"/>
      <c r="T130" s="24">
        <f t="shared" si="34"/>
        <v>4.2317089546315289E-6</v>
      </c>
    </row>
    <row r="131" spans="1:22" s="24" customFormat="1" x14ac:dyDescent="0.2">
      <c r="A131" s="78" t="s">
        <v>101</v>
      </c>
      <c r="B131" s="77" t="s">
        <v>48</v>
      </c>
      <c r="C131" s="32">
        <v>54925.401339999997</v>
      </c>
      <c r="D131" s="32">
        <v>2.0000000000000001E-4</v>
      </c>
      <c r="E131" s="98">
        <f t="shared" si="27"/>
        <v>5216.4893377994676</v>
      </c>
      <c r="F131" s="24">
        <f t="shared" si="28"/>
        <v>5216.5</v>
      </c>
      <c r="G131" s="27">
        <f t="shared" si="32"/>
        <v>-3.7324945005821064E-3</v>
      </c>
      <c r="H131" s="27"/>
      <c r="I131" s="27"/>
      <c r="J131" s="27"/>
      <c r="K131" s="27"/>
      <c r="L131" s="27"/>
      <c r="M131" s="27"/>
      <c r="N131" s="12"/>
      <c r="O131" s="27">
        <f t="shared" si="33"/>
        <v>-3.7324945005821064E-3</v>
      </c>
      <c r="P131" s="27">
        <f t="shared" ca="1" si="31"/>
        <v>-6.2451458384045208E-3</v>
      </c>
      <c r="Q131" s="27">
        <f t="shared" si="29"/>
        <v>-7.1123491061797072E-4</v>
      </c>
      <c r="R131" s="28">
        <f t="shared" si="30"/>
        <v>39906.901339999997</v>
      </c>
      <c r="S131" s="96"/>
      <c r="T131" s="24">
        <f t="shared" si="34"/>
        <v>9.1280095099502577E-6</v>
      </c>
      <c r="U131"/>
      <c r="V131"/>
    </row>
    <row r="132" spans="1:22" s="24" customFormat="1" x14ac:dyDescent="0.2">
      <c r="A132" s="78" t="s">
        <v>101</v>
      </c>
      <c r="B132" s="77" t="s">
        <v>48</v>
      </c>
      <c r="C132" s="32">
        <v>54925.401639999996</v>
      </c>
      <c r="D132" s="32">
        <v>1E-4</v>
      </c>
      <c r="E132" s="98">
        <f t="shared" si="27"/>
        <v>5216.4901947759899</v>
      </c>
      <c r="F132" s="24">
        <f t="shared" si="28"/>
        <v>5216.5</v>
      </c>
      <c r="G132" s="27">
        <f t="shared" si="32"/>
        <v>-3.4324945008847862E-3</v>
      </c>
      <c r="H132" s="27"/>
      <c r="I132" s="27"/>
      <c r="J132" s="27"/>
      <c r="K132" s="27"/>
      <c r="L132" s="27"/>
      <c r="M132" s="27"/>
      <c r="N132" s="12"/>
      <c r="O132" s="27">
        <f t="shared" si="33"/>
        <v>-3.4324945008847862E-3</v>
      </c>
      <c r="P132" s="27">
        <f t="shared" ca="1" si="31"/>
        <v>-6.2451458384045208E-3</v>
      </c>
      <c r="Q132" s="27">
        <f t="shared" si="29"/>
        <v>-7.1123491061797072E-4</v>
      </c>
      <c r="R132" s="28">
        <f t="shared" si="30"/>
        <v>39906.901639999996</v>
      </c>
      <c r="S132" s="96"/>
      <c r="T132" s="24">
        <f t="shared" si="34"/>
        <v>7.4052537576191175E-6</v>
      </c>
      <c r="U132"/>
      <c r="V132"/>
    </row>
    <row r="133" spans="1:22" x14ac:dyDescent="0.2">
      <c r="A133" s="78" t="s">
        <v>101</v>
      </c>
      <c r="B133" s="77" t="s">
        <v>48</v>
      </c>
      <c r="C133" s="32">
        <v>54925.401639999996</v>
      </c>
      <c r="D133" s="32">
        <v>2.0000000000000001E-4</v>
      </c>
      <c r="E133" s="98">
        <f t="shared" si="27"/>
        <v>5216.4901947759899</v>
      </c>
      <c r="F133" s="24">
        <f t="shared" si="28"/>
        <v>5216.5</v>
      </c>
      <c r="G133" s="27">
        <f t="shared" si="32"/>
        <v>-3.4324945008847862E-3</v>
      </c>
      <c r="H133" s="27"/>
      <c r="I133" s="27"/>
      <c r="J133" s="27"/>
      <c r="K133" s="27"/>
      <c r="L133" s="27"/>
      <c r="M133" s="27"/>
      <c r="O133" s="27">
        <f t="shared" si="33"/>
        <v>-3.4324945008847862E-3</v>
      </c>
      <c r="P133" s="27">
        <f t="shared" ca="1" si="31"/>
        <v>-6.2451458384045208E-3</v>
      </c>
      <c r="Q133" s="27">
        <f t="shared" si="29"/>
        <v>-7.1123491061797072E-4</v>
      </c>
      <c r="R133" s="28">
        <f t="shared" si="30"/>
        <v>39906.901639999996</v>
      </c>
      <c r="S133" s="96"/>
      <c r="T133" s="24">
        <f t="shared" si="34"/>
        <v>7.4052537576191175E-6</v>
      </c>
    </row>
    <row r="134" spans="1:22" x14ac:dyDescent="0.2">
      <c r="A134" s="37" t="s">
        <v>188</v>
      </c>
      <c r="B134" s="86" t="s">
        <v>53</v>
      </c>
      <c r="C134" s="37">
        <v>54390.317000000003</v>
      </c>
      <c r="D134" s="37" t="s">
        <v>96</v>
      </c>
      <c r="E134" s="98">
        <f t="shared" si="27"/>
        <v>3687.9736139671049</v>
      </c>
      <c r="F134" s="24">
        <f t="shared" si="28"/>
        <v>3688</v>
      </c>
      <c r="G134" s="27">
        <f t="shared" si="32"/>
        <v>-9.2369039921322837E-3</v>
      </c>
      <c r="H134" s="27"/>
      <c r="I134" s="27"/>
      <c r="K134" s="27"/>
      <c r="L134" s="27"/>
      <c r="M134" s="27"/>
      <c r="O134" s="27">
        <f t="shared" si="33"/>
        <v>-9.2369039921322837E-3</v>
      </c>
      <c r="P134" s="27">
        <f t="shared" ca="1" si="31"/>
        <v>-4.883191851536464E-3</v>
      </c>
      <c r="Q134" s="27">
        <f t="shared" si="29"/>
        <v>-6.3098777771023536E-4</v>
      </c>
      <c r="R134" s="28">
        <f t="shared" si="30"/>
        <v>39371.817000000003</v>
      </c>
      <c r="S134" s="96"/>
      <c r="T134" s="24">
        <f t="shared" si="34"/>
        <v>7.4061793889652308E-5</v>
      </c>
    </row>
    <row r="135" spans="1:22" x14ac:dyDescent="0.2">
      <c r="A135" s="78" t="s">
        <v>186</v>
      </c>
      <c r="B135" s="77" t="s">
        <v>48</v>
      </c>
      <c r="C135" s="32">
        <v>55304.523930000003</v>
      </c>
      <c r="D135" s="32">
        <v>1E-4</v>
      </c>
      <c r="E135" s="98">
        <f t="shared" si="27"/>
        <v>6299.4865342322137</v>
      </c>
      <c r="F135" s="24">
        <f t="shared" si="28"/>
        <v>6299.5</v>
      </c>
      <c r="G135" s="27">
        <f t="shared" si="32"/>
        <v>-4.7139334928942844E-3</v>
      </c>
      <c r="H135" s="27"/>
      <c r="I135" s="27"/>
      <c r="J135" s="27"/>
      <c r="K135" s="27"/>
      <c r="L135" s="27"/>
      <c r="M135" s="27"/>
      <c r="O135" s="27">
        <f t="shared" si="33"/>
        <v>-4.7139334928942844E-3</v>
      </c>
      <c r="P135" s="27">
        <f t="shared" ca="1" si="31"/>
        <v>-7.2101416956358621E-3</v>
      </c>
      <c r="Q135" s="27">
        <f t="shared" si="29"/>
        <v>-7.0378100294613498E-4</v>
      </c>
      <c r="R135" s="28">
        <f t="shared" si="30"/>
        <v>40286.023930000003</v>
      </c>
      <c r="S135" s="96"/>
      <c r="T135" s="24">
        <f t="shared" si="34"/>
        <v>1.608132299263734E-5</v>
      </c>
    </row>
    <row r="136" spans="1:22" s="24" customFormat="1" x14ac:dyDescent="0.2">
      <c r="A136" s="78" t="s">
        <v>186</v>
      </c>
      <c r="B136" s="77" t="s">
        <v>53</v>
      </c>
      <c r="C136" s="32">
        <v>55619.409650000001</v>
      </c>
      <c r="D136" s="32">
        <v>1E-4</v>
      </c>
      <c r="E136" s="98">
        <f t="shared" si="27"/>
        <v>7198.9854323503632</v>
      </c>
      <c r="F136" s="24">
        <f t="shared" si="28"/>
        <v>7199</v>
      </c>
      <c r="G136" s="27">
        <f t="shared" si="32"/>
        <v>-5.0996669961023144E-3</v>
      </c>
      <c r="H136" s="27"/>
      <c r="I136" s="27"/>
      <c r="J136" s="27"/>
      <c r="K136" s="27"/>
      <c r="L136" s="27"/>
      <c r="M136" s="27"/>
      <c r="N136" s="12"/>
      <c r="O136" s="27">
        <f t="shared" si="33"/>
        <v>-5.0996669961023144E-3</v>
      </c>
      <c r="P136" s="27">
        <f t="shared" ca="1" si="31"/>
        <v>-8.0116317912772208E-3</v>
      </c>
      <c r="Q136" s="27">
        <f t="shared" si="29"/>
        <v>-6.5704031713742441E-4</v>
      </c>
      <c r="R136" s="28">
        <f t="shared" si="30"/>
        <v>40600.909650000001</v>
      </c>
      <c r="S136" s="96"/>
      <c r="T136" s="24">
        <f t="shared" si="34"/>
        <v>1.973693180865061E-5</v>
      </c>
      <c r="U136"/>
      <c r="V136"/>
    </row>
    <row r="137" spans="1:22" x14ac:dyDescent="0.2">
      <c r="A137" s="90" t="s">
        <v>201</v>
      </c>
      <c r="B137" s="91" t="s">
        <v>48</v>
      </c>
      <c r="C137" s="92">
        <v>55960.552069999998</v>
      </c>
      <c r="D137" s="92">
        <v>2.0000000000000001E-4</v>
      </c>
      <c r="E137" s="98">
        <f t="shared" si="27"/>
        <v>8173.4889153643207</v>
      </c>
      <c r="F137" s="24">
        <f t="shared" si="28"/>
        <v>8173.5</v>
      </c>
      <c r="G137" s="27">
        <f t="shared" si="32"/>
        <v>-3.880375501466915E-3</v>
      </c>
      <c r="H137" s="27"/>
      <c r="I137" s="27"/>
      <c r="K137" s="27"/>
      <c r="L137" s="27"/>
      <c r="M137" s="27">
        <f t="shared" ref="M137:M142" si="35">+G137</f>
        <v>-3.880375501466915E-3</v>
      </c>
      <c r="P137" s="27">
        <f t="shared" ca="1" si="31"/>
        <v>-8.8799498548708874E-3</v>
      </c>
      <c r="Q137" s="27">
        <f t="shared" si="29"/>
        <v>-5.6487592295891074E-4</v>
      </c>
      <c r="R137" s="28">
        <f t="shared" si="30"/>
        <v>40942.052069999998</v>
      </c>
      <c r="S137" s="96"/>
      <c r="T137" s="24">
        <f t="shared" si="34"/>
        <v>1.0992537455086753E-5</v>
      </c>
    </row>
    <row r="138" spans="1:22" s="24" customFormat="1" x14ac:dyDescent="0.2">
      <c r="A138" s="90" t="s">
        <v>201</v>
      </c>
      <c r="B138" s="91" t="s">
        <v>48</v>
      </c>
      <c r="C138" s="92">
        <v>55960.552170000003</v>
      </c>
      <c r="D138" s="92">
        <v>2.0000000000000001E-4</v>
      </c>
      <c r="E138" s="98">
        <f t="shared" si="27"/>
        <v>8173.4892010231752</v>
      </c>
      <c r="F138" s="24">
        <f t="shared" si="28"/>
        <v>8173.5</v>
      </c>
      <c r="G138" s="27">
        <f t="shared" si="32"/>
        <v>-3.7803754967171699E-3</v>
      </c>
      <c r="H138" s="27"/>
      <c r="I138" s="27"/>
      <c r="J138" s="12"/>
      <c r="K138" s="27"/>
      <c r="L138" s="27"/>
      <c r="M138" s="27">
        <f t="shared" si="35"/>
        <v>-3.7803754967171699E-3</v>
      </c>
      <c r="N138" s="12"/>
      <c r="O138" s="12"/>
      <c r="P138" s="27">
        <f t="shared" ca="1" si="31"/>
        <v>-8.8799498548708874E-3</v>
      </c>
      <c r="Q138" s="27">
        <f t="shared" si="29"/>
        <v>-5.6487592295891074E-4</v>
      </c>
      <c r="R138" s="28">
        <f t="shared" si="30"/>
        <v>40942.052170000003</v>
      </c>
      <c r="S138" s="96"/>
      <c r="T138" s="24">
        <f t="shared" si="34"/>
        <v>1.0339437508839545E-5</v>
      </c>
      <c r="U138"/>
      <c r="V138"/>
    </row>
    <row r="139" spans="1:22" x14ac:dyDescent="0.2">
      <c r="A139" s="90" t="s">
        <v>201</v>
      </c>
      <c r="B139" s="91" t="s">
        <v>48</v>
      </c>
      <c r="C139" s="92">
        <v>55960.55227</v>
      </c>
      <c r="D139" s="92">
        <v>1E-4</v>
      </c>
      <c r="E139" s="98">
        <f t="shared" si="27"/>
        <v>8173.4894866820086</v>
      </c>
      <c r="F139" s="24">
        <f t="shared" si="28"/>
        <v>8173.5</v>
      </c>
      <c r="G139" s="27">
        <f t="shared" si="32"/>
        <v>-3.6803754992433824E-3</v>
      </c>
      <c r="H139" s="27"/>
      <c r="I139" s="27"/>
      <c r="K139" s="27"/>
      <c r="L139" s="27"/>
      <c r="M139" s="27">
        <f t="shared" si="35"/>
        <v>-3.6803754992433824E-3</v>
      </c>
      <c r="P139" s="27">
        <f t="shared" ca="1" si="31"/>
        <v>-8.8799498548708874E-3</v>
      </c>
      <c r="Q139" s="27">
        <f t="shared" si="29"/>
        <v>-5.6487592295891074E-4</v>
      </c>
      <c r="R139" s="28">
        <f t="shared" si="30"/>
        <v>40942.05227</v>
      </c>
      <c r="S139" s="96"/>
      <c r="T139" s="24">
        <f t="shared" si="34"/>
        <v>9.706337609828721E-6</v>
      </c>
    </row>
    <row r="140" spans="1:22" x14ac:dyDescent="0.2">
      <c r="A140" s="90" t="s">
        <v>201</v>
      </c>
      <c r="B140" s="91" t="s">
        <v>48</v>
      </c>
      <c r="C140" s="92">
        <v>55960.552470000002</v>
      </c>
      <c r="D140" s="92">
        <v>1E-4</v>
      </c>
      <c r="E140" s="98">
        <f t="shared" si="27"/>
        <v>8173.4900579996975</v>
      </c>
      <c r="F140" s="24">
        <f t="shared" si="28"/>
        <v>8173.5</v>
      </c>
      <c r="G140" s="27">
        <f t="shared" si="32"/>
        <v>-3.4803754970198497E-3</v>
      </c>
      <c r="H140" s="27"/>
      <c r="I140" s="27"/>
      <c r="K140" s="27"/>
      <c r="L140" s="27"/>
      <c r="M140" s="27">
        <f t="shared" si="35"/>
        <v>-3.4803754970198497E-3</v>
      </c>
      <c r="P140" s="27">
        <f t="shared" ca="1" si="31"/>
        <v>-8.8799498548708874E-3</v>
      </c>
      <c r="Q140" s="27">
        <f t="shared" si="29"/>
        <v>-5.6487592295891074E-4</v>
      </c>
      <c r="R140" s="28">
        <f t="shared" si="30"/>
        <v>40942.052470000002</v>
      </c>
      <c r="S140" s="96"/>
      <c r="T140" s="24">
        <f t="shared" si="34"/>
        <v>8.5001377663495147E-6</v>
      </c>
    </row>
    <row r="141" spans="1:22" x14ac:dyDescent="0.2">
      <c r="A141" s="90" t="s">
        <v>201</v>
      </c>
      <c r="B141" s="91" t="s">
        <v>53</v>
      </c>
      <c r="C141" s="92">
        <v>55960.726170000002</v>
      </c>
      <c r="D141" s="92">
        <v>2.9999999999999997E-4</v>
      </c>
      <c r="E141" s="98">
        <f t="shared" si="27"/>
        <v>8173.9862474064521</v>
      </c>
      <c r="F141" s="24">
        <f t="shared" si="28"/>
        <v>8174</v>
      </c>
      <c r="G141" s="27">
        <f t="shared" si="32"/>
        <v>-4.8143419990083203E-3</v>
      </c>
      <c r="H141" s="27"/>
      <c r="I141" s="27"/>
      <c r="K141" s="27"/>
      <c r="L141" s="27"/>
      <c r="M141" s="27">
        <f t="shared" si="35"/>
        <v>-4.8143419990083203E-3</v>
      </c>
      <c r="P141" s="27">
        <f t="shared" ca="1" si="31"/>
        <v>-8.8803953746572368E-3</v>
      </c>
      <c r="Q141" s="27">
        <f t="shared" si="29"/>
        <v>-5.6481754959319865E-4</v>
      </c>
      <c r="R141" s="28">
        <f t="shared" si="30"/>
        <v>40942.226170000002</v>
      </c>
      <c r="S141" s="96"/>
      <c r="T141" s="24">
        <f t="shared" si="34"/>
        <v>1.8058458046176894E-5</v>
      </c>
    </row>
    <row r="142" spans="1:22" x14ac:dyDescent="0.2">
      <c r="A142" s="90" t="s">
        <v>201</v>
      </c>
      <c r="B142" s="91" t="s">
        <v>53</v>
      </c>
      <c r="C142" s="92">
        <v>55960.726770000001</v>
      </c>
      <c r="D142" s="92">
        <v>2.0000000000000001E-4</v>
      </c>
      <c r="E142" s="98">
        <f t="shared" si="27"/>
        <v>8173.9879613594967</v>
      </c>
      <c r="F142" s="24">
        <f t="shared" si="28"/>
        <v>8174</v>
      </c>
      <c r="G142" s="27">
        <f t="shared" si="32"/>
        <v>-4.2143419996136799E-3</v>
      </c>
      <c r="H142" s="27"/>
      <c r="I142" s="27"/>
      <c r="K142" s="27"/>
      <c r="L142" s="27"/>
      <c r="M142" s="27">
        <f t="shared" si="35"/>
        <v>-4.2143419996136799E-3</v>
      </c>
      <c r="P142" s="27">
        <f t="shared" ca="1" si="31"/>
        <v>-8.8803953746572368E-3</v>
      </c>
      <c r="Q142" s="27">
        <f t="shared" si="29"/>
        <v>-5.6481754959319865E-4</v>
      </c>
      <c r="R142" s="28">
        <f t="shared" si="30"/>
        <v>40942.226770000001</v>
      </c>
      <c r="S142" s="96"/>
      <c r="T142" s="24">
        <f t="shared" si="34"/>
        <v>1.3319028711297297E-5</v>
      </c>
    </row>
    <row r="143" spans="1:22" x14ac:dyDescent="0.2">
      <c r="A143" s="24" t="s">
        <v>76</v>
      </c>
      <c r="B143" s="29"/>
      <c r="C143" s="25">
        <v>46649.451000000001</v>
      </c>
      <c r="D143" s="25"/>
      <c r="E143" s="26">
        <f t="shared" si="27"/>
        <v>-18424.494482332368</v>
      </c>
      <c r="F143" s="24">
        <f t="shared" si="28"/>
        <v>-18424.5</v>
      </c>
      <c r="G143" s="27">
        <f t="shared" si="32"/>
        <v>1.931558501382824E-3</v>
      </c>
      <c r="H143" s="27"/>
      <c r="I143" s="27"/>
      <c r="J143" s="27"/>
      <c r="K143" s="27">
        <f>G143</f>
        <v>1.931558501382824E-3</v>
      </c>
      <c r="L143" s="27"/>
      <c r="M143" s="27"/>
      <c r="N143" s="27"/>
      <c r="O143" s="27"/>
      <c r="P143" s="27"/>
      <c r="Q143" s="27">
        <f t="shared" si="29"/>
        <v>1.2417073014903445E-2</v>
      </c>
      <c r="R143" s="28">
        <f t="shared" si="30"/>
        <v>31630.951000000001</v>
      </c>
      <c r="S143" s="96"/>
      <c r="T143" s="24">
        <f t="shared" si="34"/>
        <v>1.0994601461325159E-4</v>
      </c>
      <c r="U143" s="24"/>
      <c r="V143" s="24"/>
    </row>
    <row r="144" spans="1:22" x14ac:dyDescent="0.2">
      <c r="A144" s="24" t="s">
        <v>76</v>
      </c>
      <c r="B144" s="29"/>
      <c r="C144" s="25">
        <v>46650.502</v>
      </c>
      <c r="D144" s="25"/>
      <c r="E144" s="26">
        <f t="shared" si="27"/>
        <v>-18421.492207913823</v>
      </c>
      <c r="F144" s="24">
        <f t="shared" si="28"/>
        <v>-18421.5</v>
      </c>
      <c r="G144" s="27">
        <f t="shared" si="32"/>
        <v>2.7277594999759458E-3</v>
      </c>
      <c r="H144" s="27"/>
      <c r="I144" s="27"/>
      <c r="J144" s="27"/>
      <c r="K144" s="27">
        <f>G144</f>
        <v>2.7277594999759458E-3</v>
      </c>
      <c r="L144" s="27"/>
      <c r="M144" s="27"/>
      <c r="N144" s="27"/>
      <c r="O144" s="27"/>
      <c r="P144" s="27"/>
      <c r="Q144" s="27">
        <f t="shared" si="29"/>
        <v>1.2413794534124657E-2</v>
      </c>
      <c r="R144" s="28">
        <f t="shared" si="30"/>
        <v>31632.002</v>
      </c>
      <c r="S144" s="96"/>
      <c r="T144" s="24">
        <f t="shared" si="34"/>
        <v>9.3819274682756213E-5</v>
      </c>
      <c r="U144" s="24"/>
      <c r="V144" s="24"/>
    </row>
    <row r="145" spans="1:22" x14ac:dyDescent="0.2">
      <c r="A145" s="24" t="s">
        <v>77</v>
      </c>
      <c r="B145" s="29"/>
      <c r="C145" s="25">
        <v>46649.453999999998</v>
      </c>
      <c r="D145" s="25"/>
      <c r="E145" s="26">
        <f t="shared" si="27"/>
        <v>-18424.48591256715</v>
      </c>
      <c r="F145" s="24">
        <f t="shared" si="28"/>
        <v>-18424.5</v>
      </c>
      <c r="G145" s="27">
        <f t="shared" si="32"/>
        <v>4.9315584983560257E-3</v>
      </c>
      <c r="H145" s="27"/>
      <c r="I145" s="27"/>
      <c r="J145" s="27"/>
      <c r="K145" s="27">
        <f>G145</f>
        <v>4.9315584983560257E-3</v>
      </c>
      <c r="L145" s="27"/>
      <c r="M145" s="27"/>
      <c r="N145" s="27"/>
      <c r="O145" s="27"/>
      <c r="P145" s="27"/>
      <c r="Q145" s="27">
        <f t="shared" si="29"/>
        <v>1.2417073014903445E-2</v>
      </c>
      <c r="R145" s="28">
        <f t="shared" si="30"/>
        <v>31630.953999999998</v>
      </c>
      <c r="S145" s="96"/>
      <c r="T145" s="24">
        <f t="shared" si="34"/>
        <v>5.6032927577442151E-5</v>
      </c>
      <c r="U145" s="24"/>
      <c r="V145" s="24"/>
    </row>
    <row r="146" spans="1:22" s="24" customFormat="1" x14ac:dyDescent="0.2">
      <c r="A146" s="24" t="s">
        <v>77</v>
      </c>
      <c r="B146" s="29"/>
      <c r="C146" s="25">
        <v>46650.500999999997</v>
      </c>
      <c r="D146" s="25"/>
      <c r="E146" s="26">
        <f t="shared" si="27"/>
        <v>-18421.495064502244</v>
      </c>
      <c r="F146" s="24">
        <f t="shared" si="28"/>
        <v>-18421.5</v>
      </c>
      <c r="G146" s="27">
        <f t="shared" si="32"/>
        <v>1.7277594961342402E-3</v>
      </c>
      <c r="H146" s="27"/>
      <c r="I146" s="27"/>
      <c r="J146" s="27"/>
      <c r="K146" s="27">
        <f>G146</f>
        <v>1.7277594961342402E-3</v>
      </c>
      <c r="L146" s="27"/>
      <c r="M146" s="27"/>
      <c r="N146" s="27"/>
      <c r="O146" s="27"/>
      <c r="P146" s="27"/>
      <c r="Q146" s="27">
        <f t="shared" si="29"/>
        <v>1.2413794534124657E-2</v>
      </c>
      <c r="R146" s="28">
        <f t="shared" si="30"/>
        <v>31632.000999999997</v>
      </c>
      <c r="S146" s="96"/>
      <c r="T146" s="24">
        <f t="shared" si="34"/>
        <v>1.1419134483315884E-4</v>
      </c>
    </row>
    <row r="147" spans="1:22" x14ac:dyDescent="0.2">
      <c r="A147" s="24" t="s">
        <v>65</v>
      </c>
      <c r="B147" s="29"/>
      <c r="C147" s="25">
        <v>42912.510999999999</v>
      </c>
      <c r="D147" s="25"/>
      <c r="E147" s="26">
        <f t="shared" si="27"/>
        <v>-29099.393973911916</v>
      </c>
      <c r="F147" s="24">
        <f t="shared" si="28"/>
        <v>-29099.5</v>
      </c>
      <c r="G147" s="27">
        <f t="shared" si="32"/>
        <v>3.7116333500307519E-2</v>
      </c>
      <c r="H147" s="27"/>
      <c r="I147" s="27"/>
      <c r="J147" s="27"/>
      <c r="K147" s="27"/>
      <c r="L147" s="27"/>
      <c r="M147" s="27"/>
      <c r="N147" s="27"/>
      <c r="O147" s="27">
        <f>G147</f>
        <v>3.7116333500307519E-2</v>
      </c>
      <c r="P147" s="27"/>
      <c r="Q147" s="27">
        <f t="shared" si="29"/>
        <v>2.6674979900284446E-2</v>
      </c>
      <c r="R147" s="28">
        <f t="shared" si="30"/>
        <v>27894.010999999999</v>
      </c>
      <c r="S147" s="96"/>
      <c r="T147" s="24">
        <f t="shared" si="34"/>
        <v>1.090218650007148E-4</v>
      </c>
      <c r="U147" s="24"/>
      <c r="V147" s="24"/>
    </row>
    <row r="148" spans="1:22" x14ac:dyDescent="0.2">
      <c r="A148" s="24" t="s">
        <v>65</v>
      </c>
      <c r="B148" s="29"/>
      <c r="C148" s="25">
        <v>42921.417999999998</v>
      </c>
      <c r="D148" s="25"/>
      <c r="E148" s="26">
        <f t="shared" si="27"/>
        <v>-29073.950340947111</v>
      </c>
      <c r="F148" s="24">
        <f t="shared" si="28"/>
        <v>-29074</v>
      </c>
      <c r="G148" s="27">
        <f t="shared" si="32"/>
        <v>1.7384041995683219E-2</v>
      </c>
      <c r="H148" s="27"/>
      <c r="I148" s="27"/>
      <c r="J148" s="27"/>
      <c r="K148" s="27"/>
      <c r="L148" s="27"/>
      <c r="M148" s="27"/>
      <c r="N148" s="27"/>
      <c r="O148" s="27">
        <f>G148</f>
        <v>1.7384041995683219E-2</v>
      </c>
      <c r="P148" s="27"/>
      <c r="Q148" s="27">
        <f t="shared" si="29"/>
        <v>2.6634746111986893E-2</v>
      </c>
      <c r="R148" s="28">
        <f t="shared" si="30"/>
        <v>27902.917999999998</v>
      </c>
      <c r="S148" s="96"/>
      <c r="T148" s="24">
        <f t="shared" si="34"/>
        <v>8.5575526647397722E-5</v>
      </c>
      <c r="U148" s="24"/>
      <c r="V148" s="24"/>
    </row>
    <row r="149" spans="1:22" x14ac:dyDescent="0.2">
      <c r="A149" s="24" t="s">
        <v>81</v>
      </c>
      <c r="B149" s="29"/>
      <c r="C149" s="25">
        <v>47349.436000000002</v>
      </c>
      <c r="D149" s="25"/>
      <c r="E149" s="26">
        <f t="shared" ref="E149:E177" si="36">+(C149-C$7)/C$8</f>
        <v>-16424.925444399378</v>
      </c>
      <c r="F149" s="24">
        <f t="shared" ref="F149:F177" si="37">ROUND(2*E149,0)/2</f>
        <v>-16425</v>
      </c>
      <c r="G149" s="27">
        <f t="shared" si="32"/>
        <v>2.60995249991538E-2</v>
      </c>
      <c r="H149" s="27"/>
      <c r="I149" s="27"/>
      <c r="J149" s="27"/>
      <c r="K149" s="27">
        <f>G149</f>
        <v>2.60995249991538E-2</v>
      </c>
      <c r="L149" s="27"/>
      <c r="M149" s="27"/>
      <c r="N149" s="27"/>
      <c r="O149" s="27"/>
      <c r="P149" s="27"/>
      <c r="Q149" s="27">
        <f t="shared" ref="Q149:Q177" si="38">+D$11+D$12*F149+D$13*F149^2</f>
        <v>1.0322740203533961E-2</v>
      </c>
      <c r="R149" s="28">
        <f t="shared" ref="R149:R177" si="39">+C149-15018.5</f>
        <v>32330.936000000002</v>
      </c>
      <c r="S149" s="96"/>
      <c r="T149" s="24">
        <f t="shared" si="34"/>
        <v>2.4890693848730135E-4</v>
      </c>
      <c r="U149" s="24"/>
      <c r="V149" s="24"/>
    </row>
    <row r="150" spans="1:22" x14ac:dyDescent="0.2">
      <c r="A150" s="24" t="s">
        <v>69</v>
      </c>
      <c r="B150" s="29"/>
      <c r="C150" s="25">
        <v>44473.451200000003</v>
      </c>
      <c r="D150" s="25"/>
      <c r="E150" s="26">
        <f t="shared" si="36"/>
        <v>-24640.430290425931</v>
      </c>
      <c r="F150" s="24">
        <f t="shared" si="37"/>
        <v>-24640.5</v>
      </c>
      <c r="G150" s="27">
        <f t="shared" si="32"/>
        <v>2.4403086506936233E-2</v>
      </c>
      <c r="H150" s="27"/>
      <c r="I150" s="27"/>
      <c r="J150" s="27">
        <f t="shared" ref="J150:J159" si="40">G150</f>
        <v>2.4403086506936233E-2</v>
      </c>
      <c r="K150" s="27"/>
      <c r="L150" s="27"/>
      <c r="M150" s="27"/>
      <c r="N150" s="27"/>
      <c r="O150" s="27"/>
      <c r="P150" s="27"/>
      <c r="Q150" s="27">
        <f t="shared" si="38"/>
        <v>2.0089118465095694E-2</v>
      </c>
      <c r="R150" s="28">
        <f t="shared" si="39"/>
        <v>29454.951200000003</v>
      </c>
      <c r="S150" s="96"/>
      <c r="T150" s="24">
        <f t="shared" si="34"/>
        <v>1.8610320266021497E-5</v>
      </c>
      <c r="U150" s="24"/>
      <c r="V150" s="24"/>
    </row>
    <row r="151" spans="1:22" x14ac:dyDescent="0.2">
      <c r="A151" s="24" t="s">
        <v>69</v>
      </c>
      <c r="B151" s="29"/>
      <c r="C151" s="25">
        <v>44474.326699999998</v>
      </c>
      <c r="D151" s="25"/>
      <c r="E151" s="26">
        <f t="shared" si="36"/>
        <v>-24637.929347273293</v>
      </c>
      <c r="F151" s="24">
        <f t="shared" si="37"/>
        <v>-24638</v>
      </c>
      <c r="G151" s="27">
        <f t="shared" si="32"/>
        <v>2.4733254002057947E-2</v>
      </c>
      <c r="H151" s="27"/>
      <c r="I151" s="27"/>
      <c r="J151" s="27">
        <f t="shared" si="40"/>
        <v>2.4733254002057947E-2</v>
      </c>
      <c r="K151" s="27"/>
      <c r="L151" s="27"/>
      <c r="M151" s="27"/>
      <c r="N151" s="27"/>
      <c r="O151" s="27"/>
      <c r="P151" s="27"/>
      <c r="Q151" s="27">
        <f t="shared" si="38"/>
        <v>2.0085679637344121E-2</v>
      </c>
      <c r="R151" s="28">
        <f t="shared" si="39"/>
        <v>29455.826699999998</v>
      </c>
      <c r="S151" s="96"/>
      <c r="T151" s="24">
        <f t="shared" si="34"/>
        <v>2.1599947475545128E-5</v>
      </c>
      <c r="U151" s="24"/>
      <c r="V151" s="24"/>
    </row>
    <row r="152" spans="1:22" x14ac:dyDescent="0.2">
      <c r="A152" s="24" t="s">
        <v>69</v>
      </c>
      <c r="B152" s="29"/>
      <c r="C152" s="25">
        <v>44475.378100000002</v>
      </c>
      <c r="D152" s="25"/>
      <c r="E152" s="26">
        <f t="shared" si="36"/>
        <v>-24634.925930219368</v>
      </c>
      <c r="F152" s="24">
        <f t="shared" si="37"/>
        <v>-24635</v>
      </c>
      <c r="G152" s="27">
        <f t="shared" si="32"/>
        <v>2.5929455005098134E-2</v>
      </c>
      <c r="H152" s="27"/>
      <c r="I152" s="27"/>
      <c r="J152" s="27">
        <f t="shared" si="40"/>
        <v>2.5929455005098134E-2</v>
      </c>
      <c r="K152" s="27"/>
      <c r="L152" s="27"/>
      <c r="M152" s="27"/>
      <c r="N152" s="27"/>
      <c r="O152" s="27"/>
      <c r="P152" s="27"/>
      <c r="Q152" s="27">
        <f t="shared" si="38"/>
        <v>2.0081553419237792E-2</v>
      </c>
      <c r="R152" s="28">
        <f t="shared" si="39"/>
        <v>29456.878100000002</v>
      </c>
      <c r="S152" s="96"/>
      <c r="T152" s="24">
        <f t="shared" si="34"/>
        <v>3.4197952957907902E-5</v>
      </c>
      <c r="U152" s="24"/>
      <c r="V152" s="24"/>
    </row>
    <row r="153" spans="1:22" x14ac:dyDescent="0.2">
      <c r="A153" s="24" t="s">
        <v>69</v>
      </c>
      <c r="B153" s="29"/>
      <c r="C153" s="25">
        <v>44476.4283</v>
      </c>
      <c r="D153" s="25"/>
      <c r="E153" s="26">
        <f t="shared" si="36"/>
        <v>-24631.925941071553</v>
      </c>
      <c r="F153" s="24">
        <f t="shared" si="37"/>
        <v>-24632</v>
      </c>
      <c r="G153" s="27">
        <f t="shared" si="32"/>
        <v>2.5925656002073083E-2</v>
      </c>
      <c r="H153" s="27"/>
      <c r="I153" s="27"/>
      <c r="J153" s="27">
        <f t="shared" si="40"/>
        <v>2.5925656002073083E-2</v>
      </c>
      <c r="K153" s="27"/>
      <c r="L153" s="27"/>
      <c r="M153" s="27"/>
      <c r="N153" s="27"/>
      <c r="O153" s="27"/>
      <c r="P153" s="27"/>
      <c r="Q153" s="27">
        <f t="shared" si="38"/>
        <v>2.0077427610435725E-2</v>
      </c>
      <c r="R153" s="28">
        <f t="shared" si="39"/>
        <v>29457.9283</v>
      </c>
      <c r="S153" s="96"/>
      <c r="T153" s="24">
        <f t="shared" si="34"/>
        <v>3.4201775320753285E-5</v>
      </c>
      <c r="U153" s="24"/>
      <c r="V153" s="24"/>
    </row>
    <row r="154" spans="1:22" x14ac:dyDescent="0.2">
      <c r="A154" s="24" t="s">
        <v>69</v>
      </c>
      <c r="B154" s="29"/>
      <c r="C154" s="25">
        <v>44478.352899999998</v>
      </c>
      <c r="D154" s="25"/>
      <c r="E154" s="26">
        <f t="shared" si="36"/>
        <v>-24626.428151018335</v>
      </c>
      <c r="F154" s="24">
        <f t="shared" si="37"/>
        <v>-24626.5</v>
      </c>
      <c r="G154" s="27">
        <f t="shared" si="32"/>
        <v>2.515202450013021E-2</v>
      </c>
      <c r="H154" s="27"/>
      <c r="I154" s="27"/>
      <c r="J154" s="27">
        <f t="shared" si="40"/>
        <v>2.515202450013021E-2</v>
      </c>
      <c r="K154" s="27"/>
      <c r="L154" s="27"/>
      <c r="M154" s="27"/>
      <c r="N154" s="27"/>
      <c r="O154" s="27"/>
      <c r="P154" s="27"/>
      <c r="Q154" s="27">
        <f t="shared" si="38"/>
        <v>2.0069864690686029E-2</v>
      </c>
      <c r="R154" s="28">
        <f t="shared" si="39"/>
        <v>29459.852899999998</v>
      </c>
      <c r="S154" s="96"/>
      <c r="T154" s="24">
        <f t="shared" si="34"/>
        <v>2.5828348328729715E-5</v>
      </c>
      <c r="U154" s="24"/>
      <c r="V154" s="24"/>
    </row>
    <row r="155" spans="1:22" x14ac:dyDescent="0.2">
      <c r="A155" s="24" t="s">
        <v>69</v>
      </c>
      <c r="B155" s="29"/>
      <c r="C155" s="25">
        <v>44480.277199999997</v>
      </c>
      <c r="D155" s="25"/>
      <c r="E155" s="26">
        <f t="shared" si="36"/>
        <v>-24620.931217941637</v>
      </c>
      <c r="F155" s="24">
        <f t="shared" si="37"/>
        <v>-24621</v>
      </c>
      <c r="G155" s="27">
        <f t="shared" si="32"/>
        <v>2.4078392998490017E-2</v>
      </c>
      <c r="H155" s="27"/>
      <c r="I155" s="27"/>
      <c r="J155" s="27">
        <f t="shared" si="40"/>
        <v>2.4078392998490017E-2</v>
      </c>
      <c r="K155" s="27"/>
      <c r="L155" s="27"/>
      <c r="M155" s="27"/>
      <c r="N155" s="27"/>
      <c r="O155" s="27"/>
      <c r="P155" s="27"/>
      <c r="Q155" s="27">
        <f t="shared" si="38"/>
        <v>2.0062303146653415E-2</v>
      </c>
      <c r="R155" s="28">
        <f t="shared" si="39"/>
        <v>29461.777199999997</v>
      </c>
      <c r="S155" s="96"/>
      <c r="T155" s="24">
        <f t="shared" si="34"/>
        <v>1.6128977698024939E-5</v>
      </c>
      <c r="U155" s="24"/>
      <c r="V155" s="24"/>
    </row>
    <row r="156" spans="1:22" x14ac:dyDescent="0.2">
      <c r="A156" s="24" t="s">
        <v>69</v>
      </c>
      <c r="B156" s="29"/>
      <c r="C156" s="25">
        <v>44480.453099999999</v>
      </c>
      <c r="D156" s="25"/>
      <c r="E156" s="26">
        <f t="shared" si="36"/>
        <v>-24620.428744040375</v>
      </c>
      <c r="F156" s="24">
        <f t="shared" si="37"/>
        <v>-24620.5</v>
      </c>
      <c r="G156" s="27">
        <f t="shared" si="32"/>
        <v>2.4944426499132533E-2</v>
      </c>
      <c r="H156" s="27"/>
      <c r="I156" s="27"/>
      <c r="J156" s="27">
        <f t="shared" si="40"/>
        <v>2.4944426499132533E-2</v>
      </c>
      <c r="K156" s="27"/>
      <c r="L156" s="27"/>
      <c r="M156" s="27"/>
      <c r="N156" s="27"/>
      <c r="O156" s="27"/>
      <c r="P156" s="27"/>
      <c r="Q156" s="27">
        <f t="shared" si="38"/>
        <v>2.0061615801776914E-2</v>
      </c>
      <c r="R156" s="28">
        <f t="shared" si="39"/>
        <v>29461.953099999999</v>
      </c>
      <c r="S156" s="96"/>
      <c r="T156" s="24">
        <f t="shared" si="34"/>
        <v>2.3841840306210466E-5</v>
      </c>
      <c r="U156" s="24"/>
      <c r="V156" s="24"/>
    </row>
    <row r="157" spans="1:22" x14ac:dyDescent="0.2">
      <c r="A157" s="24" t="s">
        <v>69</v>
      </c>
      <c r="B157" s="29"/>
      <c r="C157" s="25">
        <v>44500.405100000004</v>
      </c>
      <c r="D157" s="25"/>
      <c r="E157" s="26">
        <f t="shared" si="36"/>
        <v>-24563.434092090905</v>
      </c>
      <c r="F157" s="24">
        <f t="shared" si="37"/>
        <v>-24563.5</v>
      </c>
      <c r="G157" s="27">
        <f t="shared" si="32"/>
        <v>2.30722455016803E-2</v>
      </c>
      <c r="H157" s="27"/>
      <c r="I157" s="27"/>
      <c r="J157" s="27">
        <f t="shared" si="40"/>
        <v>2.30722455016803E-2</v>
      </c>
      <c r="K157" s="27"/>
      <c r="L157" s="27"/>
      <c r="M157" s="27"/>
      <c r="N157" s="27"/>
      <c r="O157" s="27"/>
      <c r="P157" s="27"/>
      <c r="Q157" s="27">
        <f t="shared" si="38"/>
        <v>1.9983333013339009E-2</v>
      </c>
      <c r="R157" s="28">
        <f t="shared" si="39"/>
        <v>29481.905100000004</v>
      </c>
      <c r="S157" s="96"/>
      <c r="T157" s="24">
        <f t="shared" si="34"/>
        <v>9.5413803606307809E-6</v>
      </c>
      <c r="U157" s="24"/>
      <c r="V157" s="24"/>
    </row>
    <row r="158" spans="1:22" x14ac:dyDescent="0.2">
      <c r="A158" s="24" t="s">
        <v>69</v>
      </c>
      <c r="B158" s="29"/>
      <c r="C158" s="25">
        <v>44506.357799999998</v>
      </c>
      <c r="D158" s="25"/>
      <c r="E158" s="26">
        <f t="shared" si="36"/>
        <v>-24546.429678264762</v>
      </c>
      <c r="F158" s="24">
        <f t="shared" si="37"/>
        <v>-24546.5</v>
      </c>
      <c r="G158" s="27">
        <f t="shared" si="32"/>
        <v>2.4617384500743356E-2</v>
      </c>
      <c r="H158" s="27"/>
      <c r="I158" s="27"/>
      <c r="J158" s="27">
        <f t="shared" si="40"/>
        <v>2.4617384500743356E-2</v>
      </c>
      <c r="K158" s="27"/>
      <c r="L158" s="27"/>
      <c r="M158" s="27"/>
      <c r="N158" s="27"/>
      <c r="O158" s="27"/>
      <c r="P158" s="27"/>
      <c r="Q158" s="27">
        <f t="shared" si="38"/>
        <v>1.9960014120852503E-2</v>
      </c>
      <c r="R158" s="28">
        <f t="shared" si="39"/>
        <v>29487.857799999998</v>
      </c>
      <c r="S158" s="96"/>
      <c r="T158" s="24">
        <f t="shared" si="34"/>
        <v>2.1691098855484663E-5</v>
      </c>
      <c r="U158" s="24"/>
      <c r="V158" s="24"/>
    </row>
    <row r="159" spans="1:22" x14ac:dyDescent="0.2">
      <c r="A159" s="24" t="s">
        <v>69</v>
      </c>
      <c r="B159" s="29"/>
      <c r="C159" s="25">
        <v>44752.457900000001</v>
      </c>
      <c r="D159" s="25"/>
      <c r="E159" s="26">
        <f t="shared" si="36"/>
        <v>-23843.422984989593</v>
      </c>
      <c r="F159" s="24">
        <f t="shared" si="37"/>
        <v>-23843.5</v>
      </c>
      <c r="G159" s="27">
        <f t="shared" si="32"/>
        <v>2.6960485505696852E-2</v>
      </c>
      <c r="H159" s="27"/>
      <c r="I159" s="27"/>
      <c r="J159" s="27">
        <f t="shared" si="40"/>
        <v>2.6960485505696852E-2</v>
      </c>
      <c r="K159" s="27"/>
      <c r="L159" s="27"/>
      <c r="M159" s="27"/>
      <c r="N159" s="27"/>
      <c r="O159" s="27"/>
      <c r="P159" s="27"/>
      <c r="Q159" s="27">
        <f t="shared" si="38"/>
        <v>1.9007218967181674E-2</v>
      </c>
      <c r="R159" s="28">
        <f t="shared" si="39"/>
        <v>29733.957900000001</v>
      </c>
      <c r="S159" s="96"/>
      <c r="T159" s="24">
        <f t="shared" si="34"/>
        <v>6.3254448632665198E-5</v>
      </c>
      <c r="U159" s="24"/>
      <c r="V159" s="24"/>
    </row>
    <row r="160" spans="1:22" x14ac:dyDescent="0.2">
      <c r="A160" s="24" t="s">
        <v>62</v>
      </c>
      <c r="B160" s="29"/>
      <c r="C160" s="25">
        <v>42470.893100000001</v>
      </c>
      <c r="D160" s="25"/>
      <c r="E160" s="26">
        <f t="shared" si="36"/>
        <v>-30360.914548548488</v>
      </c>
      <c r="F160" s="24">
        <f t="shared" si="37"/>
        <v>-30361</v>
      </c>
      <c r="G160" s="27">
        <f t="shared" ref="G160:G177" si="41">+C160-(C$7+F160*C$8)</f>
        <v>2.9913813006714918E-2</v>
      </c>
      <c r="H160" s="27"/>
      <c r="I160" s="27"/>
      <c r="J160" s="27"/>
      <c r="K160" s="27"/>
      <c r="L160" s="27"/>
      <c r="M160" s="27"/>
      <c r="N160" s="27"/>
      <c r="O160" s="27">
        <f>G160</f>
        <v>2.9913813006714918E-2</v>
      </c>
      <c r="P160" s="27"/>
      <c r="Q160" s="27">
        <f t="shared" si="38"/>
        <v>2.8702287192428361E-2</v>
      </c>
      <c r="R160" s="28">
        <f t="shared" si="39"/>
        <v>27452.393100000001</v>
      </c>
      <c r="S160" s="96"/>
      <c r="T160" s="24">
        <f t="shared" ref="T160:T177" si="42">+(Q160-G160)^2</f>
        <v>1.4677947986827034E-6</v>
      </c>
      <c r="U160" s="24"/>
      <c r="V160" s="24"/>
    </row>
    <row r="161" spans="1:22" x14ac:dyDescent="0.2">
      <c r="A161" s="24" t="s">
        <v>62</v>
      </c>
      <c r="B161" s="29"/>
      <c r="C161" s="25">
        <v>42471.943200000002</v>
      </c>
      <c r="D161" s="25"/>
      <c r="E161" s="26">
        <f t="shared" si="36"/>
        <v>-30357.914845059506</v>
      </c>
      <c r="F161" s="24">
        <f t="shared" si="37"/>
        <v>-30358</v>
      </c>
      <c r="G161" s="27">
        <f t="shared" si="41"/>
        <v>2.9810013998940121E-2</v>
      </c>
      <c r="H161" s="27"/>
      <c r="I161" s="27"/>
      <c r="J161" s="27"/>
      <c r="K161" s="27"/>
      <c r="L161" s="27"/>
      <c r="M161" s="27"/>
      <c r="N161" s="27"/>
      <c r="O161" s="27">
        <f>G161</f>
        <v>2.9810013998940121E-2</v>
      </c>
      <c r="P161" s="27"/>
      <c r="Q161" s="27">
        <f t="shared" si="38"/>
        <v>2.8697380158240044E-2</v>
      </c>
      <c r="R161" s="28">
        <f t="shared" si="39"/>
        <v>27453.443200000002</v>
      </c>
      <c r="S161" s="96"/>
      <c r="T161" s="24">
        <f t="shared" si="42"/>
        <v>1.2379540634710049E-6</v>
      </c>
      <c r="U161" s="24"/>
      <c r="V161" s="24"/>
    </row>
    <row r="162" spans="1:22" x14ac:dyDescent="0.2">
      <c r="A162" s="24" t="s">
        <v>62</v>
      </c>
      <c r="B162" s="29"/>
      <c r="C162" s="25">
        <v>42472.992299999998</v>
      </c>
      <c r="D162" s="25"/>
      <c r="E162" s="26">
        <f t="shared" si="36"/>
        <v>-30354.917998158948</v>
      </c>
      <c r="F162" s="24">
        <f t="shared" si="37"/>
        <v>-30355</v>
      </c>
      <c r="G162" s="27">
        <f t="shared" si="41"/>
        <v>2.8706215001875535E-2</v>
      </c>
      <c r="H162" s="27"/>
      <c r="I162" s="27"/>
      <c r="J162" s="27"/>
      <c r="K162" s="27"/>
      <c r="L162" s="27"/>
      <c r="M162" s="27"/>
      <c r="N162" s="27"/>
      <c r="O162" s="27">
        <f>G162</f>
        <v>2.8706215001875535E-2</v>
      </c>
      <c r="P162" s="27"/>
      <c r="Q162" s="27">
        <f t="shared" si="38"/>
        <v>2.8692473533355974E-2</v>
      </c>
      <c r="R162" s="28">
        <f t="shared" si="39"/>
        <v>27454.492299999998</v>
      </c>
      <c r="S162" s="96"/>
      <c r="T162" s="24">
        <f t="shared" si="42"/>
        <v>1.8882795707408859E-10</v>
      </c>
      <c r="U162" s="24"/>
      <c r="V162" s="24"/>
    </row>
    <row r="163" spans="1:22" x14ac:dyDescent="0.2">
      <c r="A163" s="24" t="s">
        <v>71</v>
      </c>
      <c r="B163" s="29"/>
      <c r="C163" s="25">
        <v>45739.289700000001</v>
      </c>
      <c r="D163" s="25"/>
      <c r="E163" s="26">
        <f t="shared" si="36"/>
        <v>-21024.450702829719</v>
      </c>
      <c r="F163" s="24">
        <f t="shared" si="37"/>
        <v>-21024.5</v>
      </c>
      <c r="G163" s="27">
        <f t="shared" si="41"/>
        <v>1.7257358500501141E-2</v>
      </c>
      <c r="H163" s="27"/>
      <c r="I163" s="27"/>
      <c r="J163" s="27">
        <f t="shared" ref="J163:J173" si="43">G163</f>
        <v>1.7257358500501141E-2</v>
      </c>
      <c r="K163" s="27"/>
      <c r="L163" s="27"/>
      <c r="M163" s="27"/>
      <c r="N163" s="27"/>
      <c r="O163" s="27"/>
      <c r="P163" s="27"/>
      <c r="Q163" s="27">
        <f t="shared" si="38"/>
        <v>1.5412316874889767E-2</v>
      </c>
      <c r="R163" s="28">
        <f t="shared" si="39"/>
        <v>30720.789700000001</v>
      </c>
      <c r="S163" s="96"/>
      <c r="T163" s="24">
        <f t="shared" si="42"/>
        <v>3.4041786002386611E-6</v>
      </c>
      <c r="U163" s="24"/>
      <c r="V163" s="24"/>
    </row>
    <row r="164" spans="1:22" x14ac:dyDescent="0.2">
      <c r="A164" s="24" t="s">
        <v>71</v>
      </c>
      <c r="B164" s="29"/>
      <c r="C164" s="25">
        <v>45740.339399999997</v>
      </c>
      <c r="D164" s="25"/>
      <c r="E164" s="26">
        <f t="shared" si="36"/>
        <v>-21021.452141976115</v>
      </c>
      <c r="F164" s="24">
        <f t="shared" si="37"/>
        <v>-21021.5</v>
      </c>
      <c r="G164" s="27">
        <f t="shared" si="41"/>
        <v>1.6753559495555237E-2</v>
      </c>
      <c r="H164" s="27"/>
      <c r="I164" s="27"/>
      <c r="J164" s="27">
        <f t="shared" si="43"/>
        <v>1.6753559495555237E-2</v>
      </c>
      <c r="K164" s="27"/>
      <c r="L164" s="27"/>
      <c r="M164" s="27"/>
      <c r="N164" s="27"/>
      <c r="O164" s="27"/>
      <c r="P164" s="27"/>
      <c r="Q164" s="27">
        <f t="shared" si="38"/>
        <v>1.540868366375746E-2</v>
      </c>
      <c r="R164" s="28">
        <f t="shared" si="39"/>
        <v>30721.839399999997</v>
      </c>
      <c r="S164" s="96"/>
      <c r="T164" s="24">
        <f t="shared" si="42"/>
        <v>1.8086910029537628E-6</v>
      </c>
      <c r="U164" s="24"/>
      <c r="V164" s="24"/>
    </row>
    <row r="165" spans="1:22" x14ac:dyDescent="0.2">
      <c r="A165" s="24" t="s">
        <v>71</v>
      </c>
      <c r="B165" s="29"/>
      <c r="C165" s="25">
        <v>45740.513099999996</v>
      </c>
      <c r="D165" s="25"/>
      <c r="E165" s="26">
        <f t="shared" si="36"/>
        <v>-21020.955952569358</v>
      </c>
      <c r="F165" s="24">
        <f t="shared" si="37"/>
        <v>-21021</v>
      </c>
      <c r="G165" s="27">
        <f t="shared" si="41"/>
        <v>1.5419593000842724E-2</v>
      </c>
      <c r="H165" s="27"/>
      <c r="I165" s="27"/>
      <c r="J165" s="27">
        <f t="shared" si="43"/>
        <v>1.5419593000842724E-2</v>
      </c>
      <c r="K165" s="27"/>
      <c r="L165" s="27"/>
      <c r="M165" s="27"/>
      <c r="N165" s="27"/>
      <c r="O165" s="27"/>
      <c r="P165" s="27"/>
      <c r="Q165" s="27">
        <f t="shared" si="38"/>
        <v>1.5408078168362212E-2</v>
      </c>
      <c r="R165" s="28">
        <f t="shared" si="39"/>
        <v>30722.013099999996</v>
      </c>
      <c r="S165" s="96"/>
      <c r="T165" s="24">
        <f t="shared" si="42"/>
        <v>1.3259136705426038E-10</v>
      </c>
      <c r="U165" s="24"/>
      <c r="V165" s="24"/>
    </row>
    <row r="166" spans="1:22" x14ac:dyDescent="0.2">
      <c r="A166" s="24" t="s">
        <v>71</v>
      </c>
      <c r="B166" s="29"/>
      <c r="C166" s="25">
        <v>45753.292000000001</v>
      </c>
      <c r="D166" s="25"/>
      <c r="E166" s="26">
        <f t="shared" si="36"/>
        <v>-20984.451894941194</v>
      </c>
      <c r="F166" s="24">
        <f t="shared" si="37"/>
        <v>-20984.5</v>
      </c>
      <c r="G166" s="27">
        <f t="shared" si="41"/>
        <v>1.6840038500959054E-2</v>
      </c>
      <c r="H166" s="27"/>
      <c r="I166" s="27"/>
      <c r="J166" s="27">
        <f t="shared" si="43"/>
        <v>1.6840038500959054E-2</v>
      </c>
      <c r="K166" s="27"/>
      <c r="L166" s="27"/>
      <c r="M166" s="27"/>
      <c r="N166" s="27"/>
      <c r="O166" s="27"/>
      <c r="P166" s="27"/>
      <c r="Q166" s="27">
        <f t="shared" si="38"/>
        <v>1.5363907713697649E-2</v>
      </c>
      <c r="R166" s="28">
        <f t="shared" si="39"/>
        <v>30734.792000000001</v>
      </c>
      <c r="S166" s="96"/>
      <c r="T166" s="24">
        <f t="shared" si="42"/>
        <v>2.1789621011009738E-6</v>
      </c>
      <c r="U166" s="24"/>
      <c r="V166" s="24"/>
    </row>
    <row r="167" spans="1:22" x14ac:dyDescent="0.2">
      <c r="A167" s="24" t="s">
        <v>71</v>
      </c>
      <c r="B167" s="29"/>
      <c r="C167" s="25">
        <v>45761.519099999998</v>
      </c>
      <c r="D167" s="25"/>
      <c r="E167" s="26">
        <f t="shared" si="36"/>
        <v>-20960.950456436123</v>
      </c>
      <c r="F167" s="24">
        <f t="shared" si="37"/>
        <v>-20961</v>
      </c>
      <c r="G167" s="27">
        <f t="shared" si="41"/>
        <v>1.7343612998956814E-2</v>
      </c>
      <c r="H167" s="27"/>
      <c r="I167" s="27"/>
      <c r="J167" s="27">
        <f t="shared" si="43"/>
        <v>1.7343612998956814E-2</v>
      </c>
      <c r="K167" s="27"/>
      <c r="L167" s="27"/>
      <c r="M167" s="27"/>
      <c r="N167" s="27"/>
      <c r="O167" s="27"/>
      <c r="P167" s="27"/>
      <c r="Q167" s="27">
        <f t="shared" si="38"/>
        <v>1.5335501263956896E-2</v>
      </c>
      <c r="R167" s="28">
        <f t="shared" si="39"/>
        <v>30743.019099999998</v>
      </c>
      <c r="S167" s="96"/>
      <c r="T167" s="24">
        <f t="shared" si="42"/>
        <v>4.0325127402443825E-6</v>
      </c>
      <c r="U167" s="24"/>
      <c r="V167" s="24"/>
    </row>
    <row r="168" spans="1:22" x14ac:dyDescent="0.2">
      <c r="A168" s="24" t="s">
        <v>71</v>
      </c>
      <c r="B168" s="29"/>
      <c r="C168" s="25">
        <v>45762.2192</v>
      </c>
      <c r="D168" s="25"/>
      <c r="E168" s="26">
        <f t="shared" si="36"/>
        <v>-20958.950558890519</v>
      </c>
      <c r="F168" s="24">
        <f t="shared" si="37"/>
        <v>-20959</v>
      </c>
      <c r="G168" s="27">
        <f t="shared" si="41"/>
        <v>1.7307747002632823E-2</v>
      </c>
      <c r="H168" s="27"/>
      <c r="I168" s="27"/>
      <c r="J168" s="27">
        <f t="shared" si="43"/>
        <v>1.7307747002632823E-2</v>
      </c>
      <c r="K168" s="27"/>
      <c r="L168" s="27"/>
      <c r="M168" s="27"/>
      <c r="N168" s="27"/>
      <c r="O168" s="27"/>
      <c r="P168" s="27"/>
      <c r="Q168" s="27">
        <f t="shared" si="38"/>
        <v>1.5333084853461579E-2</v>
      </c>
      <c r="R168" s="28">
        <f t="shared" si="39"/>
        <v>30743.7192</v>
      </c>
      <c r="S168" s="96"/>
      <c r="T168" s="24">
        <f t="shared" si="42"/>
        <v>3.8992906033695935E-6</v>
      </c>
      <c r="U168" s="24"/>
      <c r="V168" s="24"/>
    </row>
    <row r="169" spans="1:22" x14ac:dyDescent="0.2">
      <c r="A169" s="24" t="s">
        <v>71</v>
      </c>
      <c r="B169" s="29"/>
      <c r="C169" s="25">
        <v>45762.393700000001</v>
      </c>
      <c r="D169" s="25"/>
      <c r="E169" s="26">
        <f t="shared" si="36"/>
        <v>-20958.45208421303</v>
      </c>
      <c r="F169" s="24">
        <f t="shared" si="37"/>
        <v>-20958.5</v>
      </c>
      <c r="G169" s="27">
        <f t="shared" si="41"/>
        <v>1.6773780502262525E-2</v>
      </c>
      <c r="H169" s="27"/>
      <c r="I169" s="27"/>
      <c r="J169" s="27">
        <f t="shared" si="43"/>
        <v>1.6773780502262525E-2</v>
      </c>
      <c r="K169" s="27"/>
      <c r="L169" s="27"/>
      <c r="M169" s="27"/>
      <c r="N169" s="27"/>
      <c r="O169" s="27"/>
      <c r="P169" s="27"/>
      <c r="Q169" s="27">
        <f t="shared" si="38"/>
        <v>1.5332480779261658E-2</v>
      </c>
      <c r="R169" s="28">
        <f t="shared" si="39"/>
        <v>30743.893700000001</v>
      </c>
      <c r="S169" s="96"/>
      <c r="T169" s="24">
        <f t="shared" si="42"/>
        <v>2.0773448915223774E-6</v>
      </c>
      <c r="U169" s="24"/>
      <c r="V169" s="24"/>
    </row>
    <row r="170" spans="1:22" x14ac:dyDescent="0.2">
      <c r="A170" s="24" t="s">
        <v>71</v>
      </c>
      <c r="B170" s="29"/>
      <c r="C170" s="25">
        <v>45763.273099999999</v>
      </c>
      <c r="D170" s="25"/>
      <c r="E170" s="26">
        <f t="shared" si="36"/>
        <v>-20955.940000365586</v>
      </c>
      <c r="F170" s="24">
        <f t="shared" si="37"/>
        <v>-20956</v>
      </c>
      <c r="G170" s="27">
        <f t="shared" si="41"/>
        <v>2.1003948000725359E-2</v>
      </c>
      <c r="H170" s="27"/>
      <c r="I170" s="27"/>
      <c r="J170" s="27">
        <f t="shared" si="43"/>
        <v>2.1003948000725359E-2</v>
      </c>
      <c r="K170" s="27"/>
      <c r="L170" s="27"/>
      <c r="M170" s="27"/>
      <c r="N170" s="27"/>
      <c r="O170" s="27"/>
      <c r="P170" s="27"/>
      <c r="Q170" s="27">
        <f t="shared" si="38"/>
        <v>1.5329460578805482E-2</v>
      </c>
      <c r="R170" s="28">
        <f t="shared" si="39"/>
        <v>30744.773099999999</v>
      </c>
      <c r="S170" s="96"/>
      <c r="T170" s="24">
        <f t="shared" si="42"/>
        <v>3.2199807501526882E-5</v>
      </c>
      <c r="U170" s="24"/>
      <c r="V170" s="24"/>
    </row>
    <row r="171" spans="1:22" x14ac:dyDescent="0.2">
      <c r="A171" s="24" t="s">
        <v>71</v>
      </c>
      <c r="B171" s="29"/>
      <c r="C171" s="25">
        <v>45802.302600000003</v>
      </c>
      <c r="D171" s="25"/>
      <c r="E171" s="26">
        <f t="shared" si="36"/>
        <v>-20844.448783030908</v>
      </c>
      <c r="F171" s="24">
        <f t="shared" si="37"/>
        <v>-20844.5</v>
      </c>
      <c r="G171" s="27">
        <f t="shared" si="41"/>
        <v>1.7929418507264927E-2</v>
      </c>
      <c r="H171" s="27"/>
      <c r="I171" s="27"/>
      <c r="J171" s="27">
        <f t="shared" si="43"/>
        <v>1.7929418507264927E-2</v>
      </c>
      <c r="K171" s="27"/>
      <c r="L171" s="27"/>
      <c r="M171" s="27"/>
      <c r="N171" s="27"/>
      <c r="O171" s="27"/>
      <c r="P171" s="27"/>
      <c r="Q171" s="27">
        <f t="shared" si="38"/>
        <v>1.519504867548091E-2</v>
      </c>
      <c r="R171" s="28">
        <f t="shared" si="39"/>
        <v>30783.802600000003</v>
      </c>
      <c r="S171" s="96"/>
      <c r="T171" s="24">
        <f t="shared" si="42"/>
        <v>7.4767783769705537E-6</v>
      </c>
      <c r="U171" s="24"/>
      <c r="V171" s="24"/>
    </row>
    <row r="172" spans="1:22" x14ac:dyDescent="0.2">
      <c r="A172" s="24" t="s">
        <v>71</v>
      </c>
      <c r="B172" s="29"/>
      <c r="C172" s="25">
        <v>45813.329100000003</v>
      </c>
      <c r="D172" s="25"/>
      <c r="E172" s="26">
        <f t="shared" si="36"/>
        <v>-20812.950610931839</v>
      </c>
      <c r="F172" s="24">
        <f t="shared" si="37"/>
        <v>-20813</v>
      </c>
      <c r="G172" s="27">
        <f t="shared" si="41"/>
        <v>1.7289529001573101E-2</v>
      </c>
      <c r="H172" s="27"/>
      <c r="I172" s="27"/>
      <c r="J172" s="27">
        <f t="shared" si="43"/>
        <v>1.7289529001573101E-2</v>
      </c>
      <c r="K172" s="27"/>
      <c r="L172" s="27"/>
      <c r="M172" s="27"/>
      <c r="N172" s="27"/>
      <c r="O172" s="27"/>
      <c r="P172" s="27"/>
      <c r="Q172" s="27">
        <f t="shared" si="38"/>
        <v>1.5157178234321396E-2</v>
      </c>
      <c r="R172" s="28">
        <f t="shared" si="39"/>
        <v>30794.829100000003</v>
      </c>
      <c r="S172" s="96"/>
      <c r="T172" s="24">
        <f t="shared" si="42"/>
        <v>4.5469197945989337E-6</v>
      </c>
      <c r="U172" s="24"/>
      <c r="V172" s="24"/>
    </row>
    <row r="173" spans="1:22" x14ac:dyDescent="0.2">
      <c r="A173" s="24" t="s">
        <v>71</v>
      </c>
      <c r="B173" s="29"/>
      <c r="C173" s="25">
        <v>45814.379200000003</v>
      </c>
      <c r="D173" s="25"/>
      <c r="E173" s="26">
        <f t="shared" si="36"/>
        <v>-20809.950907442857</v>
      </c>
      <c r="F173" s="24">
        <f t="shared" si="37"/>
        <v>-20810</v>
      </c>
      <c r="G173" s="27">
        <f t="shared" si="41"/>
        <v>1.718573000835022E-2</v>
      </c>
      <c r="H173" s="27"/>
      <c r="I173" s="27"/>
      <c r="J173" s="27">
        <f t="shared" si="43"/>
        <v>1.718573000835022E-2</v>
      </c>
      <c r="K173" s="27"/>
      <c r="L173" s="27"/>
      <c r="M173" s="27"/>
      <c r="N173" s="27"/>
      <c r="O173" s="27"/>
      <c r="P173" s="27"/>
      <c r="Q173" s="27">
        <f t="shared" si="38"/>
        <v>1.5153573879138998E-2</v>
      </c>
      <c r="R173" s="28">
        <f t="shared" si="39"/>
        <v>30795.879200000003</v>
      </c>
      <c r="S173" s="96"/>
      <c r="T173" s="24">
        <f t="shared" si="42"/>
        <v>4.129658533490736E-6</v>
      </c>
      <c r="U173" s="24"/>
      <c r="V173" s="24"/>
    </row>
    <row r="174" spans="1:22" x14ac:dyDescent="0.2">
      <c r="A174" s="24" t="s">
        <v>73</v>
      </c>
      <c r="B174" s="29"/>
      <c r="C174" s="25">
        <v>46649.440000000002</v>
      </c>
      <c r="D174" s="25"/>
      <c r="E174" s="26">
        <f t="shared" si="36"/>
        <v>-18424.525904804872</v>
      </c>
      <c r="F174" s="24">
        <f t="shared" si="37"/>
        <v>-18424.5</v>
      </c>
      <c r="G174" s="27">
        <f t="shared" si="41"/>
        <v>-9.0684414972201921E-3</v>
      </c>
      <c r="H174" s="27"/>
      <c r="I174" s="27"/>
      <c r="J174" s="27"/>
      <c r="K174" s="27">
        <f>G174</f>
        <v>-9.0684414972201921E-3</v>
      </c>
      <c r="L174" s="27"/>
      <c r="M174" s="27"/>
      <c r="N174" s="27"/>
      <c r="O174" s="27"/>
      <c r="P174" s="27"/>
      <c r="Q174" s="27">
        <f t="shared" si="38"/>
        <v>1.2417073014903445E-2</v>
      </c>
      <c r="R174" s="28">
        <f t="shared" si="39"/>
        <v>31630.940000000002</v>
      </c>
      <c r="S174" s="96"/>
      <c r="T174" s="24">
        <f t="shared" si="42"/>
        <v>4.616273338506755E-4</v>
      </c>
      <c r="U174" s="24"/>
      <c r="V174" s="24"/>
    </row>
    <row r="175" spans="1:22" x14ac:dyDescent="0.2">
      <c r="A175" s="24" t="s">
        <v>78</v>
      </c>
      <c r="B175" s="29"/>
      <c r="C175" s="25">
        <v>46650.491999999998</v>
      </c>
      <c r="D175" s="25"/>
      <c r="E175" s="26">
        <f t="shared" si="36"/>
        <v>-18421.520773797925</v>
      </c>
      <c r="F175" s="24">
        <f t="shared" si="37"/>
        <v>-18421.5</v>
      </c>
      <c r="G175" s="27">
        <f t="shared" si="41"/>
        <v>-7.2722405020613223E-3</v>
      </c>
      <c r="H175" s="27"/>
      <c r="I175" s="27"/>
      <c r="J175" s="27"/>
      <c r="K175" s="27">
        <f>G175</f>
        <v>-7.2722405020613223E-3</v>
      </c>
      <c r="L175" s="27"/>
      <c r="M175" s="27"/>
      <c r="N175" s="27"/>
      <c r="O175" s="27"/>
      <c r="P175" s="27"/>
      <c r="Q175" s="27">
        <f t="shared" si="38"/>
        <v>1.2413794534124657E-2</v>
      </c>
      <c r="R175" s="28">
        <f t="shared" si="39"/>
        <v>31631.991999999998</v>
      </c>
      <c r="S175" s="96"/>
      <c r="T175" s="24">
        <f t="shared" si="42"/>
        <v>3.8753997544594191E-4</v>
      </c>
      <c r="U175" s="24"/>
      <c r="V175" s="24"/>
    </row>
    <row r="176" spans="1:22" x14ac:dyDescent="0.2">
      <c r="A176" s="37" t="s">
        <v>192</v>
      </c>
      <c r="B176" s="77"/>
      <c r="C176" s="32">
        <v>53172.089699999997</v>
      </c>
      <c r="D176" s="32"/>
      <c r="E176" s="26">
        <f t="shared" si="36"/>
        <v>207.99962846068075</v>
      </c>
      <c r="F176" s="24">
        <f t="shared" si="37"/>
        <v>208</v>
      </c>
      <c r="G176" s="27">
        <f t="shared" si="41"/>
        <v>-1.3006399967707694E-4</v>
      </c>
      <c r="H176" s="27"/>
      <c r="I176" s="27"/>
      <c r="J176" s="27"/>
      <c r="K176" s="27">
        <f>G176</f>
        <v>-1.3006399967707694E-4</v>
      </c>
      <c r="L176" s="27"/>
      <c r="M176" s="27"/>
      <c r="N176" s="27"/>
      <c r="O176" s="27"/>
      <c r="P176" s="27"/>
      <c r="Q176" s="27">
        <f t="shared" si="38"/>
        <v>-5.1952365307844955E-5</v>
      </c>
      <c r="R176" s="28">
        <f t="shared" si="39"/>
        <v>38153.589699999997</v>
      </c>
      <c r="S176" s="96"/>
      <c r="T176" s="24">
        <f t="shared" si="42"/>
        <v>6.101427423832584E-9</v>
      </c>
      <c r="U176" s="24"/>
      <c r="V176" s="24"/>
    </row>
    <row r="177" spans="1:22" x14ac:dyDescent="0.2">
      <c r="A177" s="37" t="s">
        <v>192</v>
      </c>
      <c r="B177" s="77"/>
      <c r="C177" s="32">
        <v>53425.1898</v>
      </c>
      <c r="D177" s="32"/>
      <c r="E177" s="26">
        <f t="shared" si="36"/>
        <v>931.00244060344073</v>
      </c>
      <c r="F177" s="24">
        <f t="shared" si="37"/>
        <v>931</v>
      </c>
      <c r="G177" s="27">
        <f t="shared" si="41"/>
        <v>8.5437700181500986E-4</v>
      </c>
      <c r="H177" s="27"/>
      <c r="I177" s="27"/>
      <c r="J177" s="27"/>
      <c r="K177" s="27">
        <f>G177</f>
        <v>8.5437700181500986E-4</v>
      </c>
      <c r="L177" s="27"/>
      <c r="M177" s="27"/>
      <c r="N177" s="27"/>
      <c r="O177" s="27"/>
      <c r="P177" s="27"/>
      <c r="Q177" s="27">
        <f t="shared" si="38"/>
        <v>-2.1757811236156735E-4</v>
      </c>
      <c r="R177" s="28">
        <f t="shared" si="39"/>
        <v>38406.6898</v>
      </c>
      <c r="S177" s="96"/>
      <c r="T177" s="24">
        <f t="shared" si="42"/>
        <v>1.1490877668093186E-6</v>
      </c>
      <c r="U177" s="24"/>
      <c r="V177" s="24"/>
    </row>
    <row r="178" spans="1:22" x14ac:dyDescent="0.2">
      <c r="A178" s="111"/>
      <c r="B178" s="112"/>
      <c r="C178" s="111"/>
      <c r="D178" s="23"/>
      <c r="E178" s="26"/>
      <c r="F178" s="24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8"/>
      <c r="S178" s="96"/>
      <c r="T178" s="24"/>
    </row>
    <row r="179" spans="1:22" x14ac:dyDescent="0.2">
      <c r="A179" s="111"/>
      <c r="B179" s="112"/>
      <c r="C179" s="111"/>
      <c r="D179" s="23"/>
      <c r="E179" s="26"/>
      <c r="F179" s="24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/>
      <c r="S179" s="96"/>
      <c r="T179" s="24"/>
    </row>
    <row r="180" spans="1:22" x14ac:dyDescent="0.2">
      <c r="A180" s="111"/>
      <c r="B180" s="112"/>
      <c r="C180" s="111"/>
      <c r="D180" s="23"/>
      <c r="E180" s="26"/>
      <c r="F180" s="24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8"/>
      <c r="S180" s="96"/>
      <c r="T180" s="24"/>
    </row>
    <row r="181" spans="1:22" x14ac:dyDescent="0.2">
      <c r="A181" s="111"/>
      <c r="B181" s="111"/>
      <c r="C181" s="111"/>
      <c r="D181" s="23"/>
      <c r="E181" s="26"/>
      <c r="F181" s="24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8"/>
      <c r="S181" s="96"/>
      <c r="T181" s="24"/>
    </row>
    <row r="182" spans="1:22" x14ac:dyDescent="0.2">
      <c r="S182" s="96"/>
    </row>
    <row r="183" spans="1:22" x14ac:dyDescent="0.2">
      <c r="S183" s="96"/>
    </row>
    <row r="184" spans="1:22" x14ac:dyDescent="0.2">
      <c r="S184" s="96"/>
    </row>
    <row r="185" spans="1:22" x14ac:dyDescent="0.2">
      <c r="S185" s="96"/>
    </row>
    <row r="186" spans="1:22" x14ac:dyDescent="0.2">
      <c r="S186" s="96"/>
    </row>
    <row r="187" spans="1:22" x14ac:dyDescent="0.2">
      <c r="S187" s="96"/>
    </row>
    <row r="188" spans="1:22" x14ac:dyDescent="0.2">
      <c r="S188" s="96"/>
    </row>
    <row r="189" spans="1:22" x14ac:dyDescent="0.2">
      <c r="S189" s="96"/>
    </row>
    <row r="190" spans="1:22" x14ac:dyDescent="0.2">
      <c r="S190" s="96"/>
    </row>
    <row r="191" spans="1:22" x14ac:dyDescent="0.2">
      <c r="S191" s="96"/>
    </row>
    <row r="192" spans="1:22" x14ac:dyDescent="0.2">
      <c r="S192" s="96"/>
    </row>
    <row r="193" spans="19:19" x14ac:dyDescent="0.2">
      <c r="S193" s="96"/>
    </row>
    <row r="194" spans="19:19" x14ac:dyDescent="0.2">
      <c r="S194" s="96"/>
    </row>
    <row r="195" spans="19:19" x14ac:dyDescent="0.2">
      <c r="S195" s="96"/>
    </row>
    <row r="196" spans="19:19" x14ac:dyDescent="0.2">
      <c r="S196" s="96"/>
    </row>
    <row r="197" spans="19:19" x14ac:dyDescent="0.2">
      <c r="S197" s="96"/>
    </row>
    <row r="198" spans="19:19" x14ac:dyDescent="0.2">
      <c r="S198" s="96"/>
    </row>
    <row r="199" spans="19:19" x14ac:dyDescent="0.2">
      <c r="S199" s="96"/>
    </row>
    <row r="200" spans="19:19" x14ac:dyDescent="0.2">
      <c r="S200" s="96"/>
    </row>
    <row r="201" spans="19:19" x14ac:dyDescent="0.2">
      <c r="S201" s="96"/>
    </row>
    <row r="202" spans="19:19" x14ac:dyDescent="0.2">
      <c r="S202" s="96"/>
    </row>
    <row r="203" spans="19:19" x14ac:dyDescent="0.2">
      <c r="S203" s="96"/>
    </row>
    <row r="204" spans="19:19" x14ac:dyDescent="0.2">
      <c r="S204" s="96"/>
    </row>
    <row r="205" spans="19:19" x14ac:dyDescent="0.2">
      <c r="S205" s="96"/>
    </row>
    <row r="206" spans="19:19" x14ac:dyDescent="0.2">
      <c r="S206" s="96"/>
    </row>
    <row r="207" spans="19:19" x14ac:dyDescent="0.2">
      <c r="S207" s="96"/>
    </row>
    <row r="208" spans="19:19" x14ac:dyDescent="0.2">
      <c r="S208" s="96"/>
    </row>
    <row r="209" spans="19:19" x14ac:dyDescent="0.2">
      <c r="S209" s="96"/>
    </row>
    <row r="210" spans="19:19" x14ac:dyDescent="0.2">
      <c r="S210" s="96"/>
    </row>
    <row r="211" spans="19:19" x14ac:dyDescent="0.2">
      <c r="S211" s="96"/>
    </row>
    <row r="212" spans="19:19" x14ac:dyDescent="0.2">
      <c r="S212" s="96"/>
    </row>
    <row r="213" spans="19:19" x14ac:dyDescent="0.2">
      <c r="S213" s="96"/>
    </row>
    <row r="214" spans="19:19" x14ac:dyDescent="0.2">
      <c r="S214" s="96"/>
    </row>
    <row r="215" spans="19:19" x14ac:dyDescent="0.2">
      <c r="S215" s="96"/>
    </row>
    <row r="216" spans="19:19" x14ac:dyDescent="0.2">
      <c r="S216" s="96"/>
    </row>
    <row r="217" spans="19:19" x14ac:dyDescent="0.2">
      <c r="S217" s="96"/>
    </row>
    <row r="218" spans="19:19" x14ac:dyDescent="0.2">
      <c r="S218" s="96"/>
    </row>
    <row r="219" spans="19:19" x14ac:dyDescent="0.2">
      <c r="S219" s="96"/>
    </row>
    <row r="220" spans="19:19" x14ac:dyDescent="0.2">
      <c r="S220" s="96"/>
    </row>
    <row r="221" spans="19:19" x14ac:dyDescent="0.2">
      <c r="S221" s="96"/>
    </row>
    <row r="222" spans="19:19" x14ac:dyDescent="0.2">
      <c r="S222" s="96"/>
    </row>
    <row r="223" spans="19:19" x14ac:dyDescent="0.2">
      <c r="S223" s="96"/>
    </row>
    <row r="224" spans="19:19" x14ac:dyDescent="0.2">
      <c r="S224" s="96"/>
    </row>
    <row r="225" spans="19:19" x14ac:dyDescent="0.2">
      <c r="S225" s="96"/>
    </row>
    <row r="226" spans="19:19" x14ac:dyDescent="0.2">
      <c r="S226" s="96"/>
    </row>
    <row r="227" spans="19:19" x14ac:dyDescent="0.2">
      <c r="S227" s="96"/>
    </row>
    <row r="228" spans="19:19" x14ac:dyDescent="0.2">
      <c r="S228" s="96"/>
    </row>
    <row r="229" spans="19:19" x14ac:dyDescent="0.2">
      <c r="S229" s="96"/>
    </row>
    <row r="230" spans="19:19" x14ac:dyDescent="0.2">
      <c r="S230" s="96"/>
    </row>
    <row r="231" spans="19:19" x14ac:dyDescent="0.2">
      <c r="S231" s="96"/>
    </row>
    <row r="232" spans="19:19" x14ac:dyDescent="0.2">
      <c r="S232" s="96"/>
    </row>
    <row r="233" spans="19:19" x14ac:dyDescent="0.2">
      <c r="S233" s="96"/>
    </row>
    <row r="234" spans="19:19" x14ac:dyDescent="0.2">
      <c r="S234" s="96"/>
    </row>
    <row r="235" spans="19:19" x14ac:dyDescent="0.2">
      <c r="S235" s="96"/>
    </row>
    <row r="236" spans="19:19" x14ac:dyDescent="0.2">
      <c r="S236" s="96"/>
    </row>
    <row r="237" spans="19:19" x14ac:dyDescent="0.2">
      <c r="S237" s="96"/>
    </row>
    <row r="238" spans="19:19" x14ac:dyDescent="0.2">
      <c r="S238" s="96"/>
    </row>
    <row r="239" spans="19:19" x14ac:dyDescent="0.2">
      <c r="S239" s="96"/>
    </row>
    <row r="240" spans="19:19" x14ac:dyDescent="0.2">
      <c r="S240" s="96"/>
    </row>
    <row r="241" spans="19:19" x14ac:dyDescent="0.2">
      <c r="S241" s="96"/>
    </row>
    <row r="242" spans="19:19" x14ac:dyDescent="0.2">
      <c r="S242" s="96"/>
    </row>
    <row r="243" spans="19:19" x14ac:dyDescent="0.2">
      <c r="S243" s="96"/>
    </row>
    <row r="244" spans="19:19" x14ac:dyDescent="0.2">
      <c r="S244" s="96"/>
    </row>
    <row r="245" spans="19:19" x14ac:dyDescent="0.2">
      <c r="S245" s="96"/>
    </row>
    <row r="246" spans="19:19" x14ac:dyDescent="0.2">
      <c r="S246" s="96"/>
    </row>
    <row r="247" spans="19:19" x14ac:dyDescent="0.2">
      <c r="S247" s="96"/>
    </row>
    <row r="248" spans="19:19" x14ac:dyDescent="0.2">
      <c r="S248" s="96"/>
    </row>
    <row r="249" spans="19:19" x14ac:dyDescent="0.2">
      <c r="S249" s="96"/>
    </row>
    <row r="250" spans="19:19" x14ac:dyDescent="0.2">
      <c r="S250" s="96"/>
    </row>
    <row r="251" spans="19:19" x14ac:dyDescent="0.2">
      <c r="S251" s="96"/>
    </row>
    <row r="252" spans="19:19" x14ac:dyDescent="0.2">
      <c r="S252" s="96"/>
    </row>
    <row r="253" spans="19:19" x14ac:dyDescent="0.2">
      <c r="S253" s="96"/>
    </row>
    <row r="254" spans="19:19" x14ac:dyDescent="0.2">
      <c r="S254" s="96"/>
    </row>
    <row r="255" spans="19:19" x14ac:dyDescent="0.2">
      <c r="S255" s="96"/>
    </row>
    <row r="256" spans="19:19" x14ac:dyDescent="0.2">
      <c r="S256" s="96"/>
    </row>
    <row r="257" spans="19:19" x14ac:dyDescent="0.2">
      <c r="S257" s="96"/>
    </row>
    <row r="258" spans="19:19" x14ac:dyDescent="0.2">
      <c r="S258" s="96"/>
    </row>
    <row r="259" spans="19:19" x14ac:dyDescent="0.2">
      <c r="S259" s="96"/>
    </row>
    <row r="260" spans="19:19" x14ac:dyDescent="0.2">
      <c r="S260" s="96"/>
    </row>
    <row r="261" spans="19:19" x14ac:dyDescent="0.2">
      <c r="S261" s="96"/>
    </row>
    <row r="262" spans="19:19" x14ac:dyDescent="0.2">
      <c r="S262" s="96"/>
    </row>
    <row r="263" spans="19:19" x14ac:dyDescent="0.2">
      <c r="S263" s="96"/>
    </row>
    <row r="264" spans="19:19" x14ac:dyDescent="0.2">
      <c r="S264" s="96"/>
    </row>
    <row r="265" spans="19:19" x14ac:dyDescent="0.2">
      <c r="S265" s="96"/>
    </row>
    <row r="266" spans="19:19" x14ac:dyDescent="0.2">
      <c r="S266" s="96"/>
    </row>
    <row r="267" spans="19:19" x14ac:dyDescent="0.2">
      <c r="S267" s="96"/>
    </row>
    <row r="268" spans="19:19" x14ac:dyDescent="0.2">
      <c r="S268" s="96"/>
    </row>
    <row r="269" spans="19:19" x14ac:dyDescent="0.2">
      <c r="S269" s="96"/>
    </row>
    <row r="270" spans="19:19" x14ac:dyDescent="0.2">
      <c r="S270" s="96"/>
    </row>
    <row r="271" spans="19:19" x14ac:dyDescent="0.2">
      <c r="S271" s="96"/>
    </row>
    <row r="272" spans="19:19" x14ac:dyDescent="0.2">
      <c r="S272" s="96"/>
    </row>
    <row r="273" spans="19:19" x14ac:dyDescent="0.2">
      <c r="S273" s="96"/>
    </row>
    <row r="274" spans="19:19" x14ac:dyDescent="0.2">
      <c r="S274" s="96"/>
    </row>
    <row r="275" spans="19:19" x14ac:dyDescent="0.2">
      <c r="S275" s="96"/>
    </row>
    <row r="276" spans="19:19" x14ac:dyDescent="0.2">
      <c r="S276" s="96"/>
    </row>
    <row r="277" spans="19:19" x14ac:dyDescent="0.2">
      <c r="S277" s="96"/>
    </row>
    <row r="278" spans="19:19" x14ac:dyDescent="0.2">
      <c r="S278" s="96"/>
    </row>
    <row r="279" spans="19:19" x14ac:dyDescent="0.2">
      <c r="S279" s="96"/>
    </row>
    <row r="280" spans="19:19" x14ac:dyDescent="0.2">
      <c r="S280" s="96"/>
    </row>
    <row r="281" spans="19:19" x14ac:dyDescent="0.2">
      <c r="S281" s="96"/>
    </row>
    <row r="282" spans="19:19" x14ac:dyDescent="0.2">
      <c r="S282" s="96"/>
    </row>
    <row r="283" spans="19:19" x14ac:dyDescent="0.2">
      <c r="S283" s="96"/>
    </row>
    <row r="284" spans="19:19" x14ac:dyDescent="0.2">
      <c r="S284" s="96"/>
    </row>
    <row r="285" spans="19:19" x14ac:dyDescent="0.2">
      <c r="S285" s="96"/>
    </row>
    <row r="286" spans="19:19" x14ac:dyDescent="0.2">
      <c r="S286" s="96"/>
    </row>
    <row r="287" spans="19:19" x14ac:dyDescent="0.2">
      <c r="S287" s="96"/>
    </row>
    <row r="288" spans="19:19" x14ac:dyDescent="0.2">
      <c r="S288" s="96"/>
    </row>
    <row r="289" spans="19:19" x14ac:dyDescent="0.2">
      <c r="S289" s="96"/>
    </row>
    <row r="290" spans="19:19" x14ac:dyDescent="0.2">
      <c r="S290" s="96"/>
    </row>
    <row r="291" spans="19:19" x14ac:dyDescent="0.2">
      <c r="S291" s="96"/>
    </row>
    <row r="292" spans="19:19" x14ac:dyDescent="0.2">
      <c r="S292" s="96"/>
    </row>
    <row r="293" spans="19:19" x14ac:dyDescent="0.2">
      <c r="S293" s="96"/>
    </row>
    <row r="294" spans="19:19" x14ac:dyDescent="0.2">
      <c r="S294" s="96"/>
    </row>
    <row r="295" spans="19:19" x14ac:dyDescent="0.2">
      <c r="S295" s="96"/>
    </row>
    <row r="296" spans="19:19" x14ac:dyDescent="0.2">
      <c r="S296" s="96"/>
    </row>
    <row r="297" spans="19:19" x14ac:dyDescent="0.2">
      <c r="S297" s="96"/>
    </row>
    <row r="298" spans="19:19" x14ac:dyDescent="0.2">
      <c r="S298" s="96"/>
    </row>
    <row r="299" spans="19:19" x14ac:dyDescent="0.2">
      <c r="S299" s="96"/>
    </row>
    <row r="300" spans="19:19" x14ac:dyDescent="0.2">
      <c r="S300" s="96"/>
    </row>
    <row r="301" spans="19:19" x14ac:dyDescent="0.2">
      <c r="S301" s="96"/>
    </row>
    <row r="302" spans="19:19" x14ac:dyDescent="0.2">
      <c r="S302" s="96"/>
    </row>
    <row r="303" spans="19:19" x14ac:dyDescent="0.2">
      <c r="S303" s="96"/>
    </row>
    <row r="304" spans="19:19" x14ac:dyDescent="0.2">
      <c r="S304" s="96"/>
    </row>
    <row r="305" spans="19:19" x14ac:dyDescent="0.2">
      <c r="S305" s="96"/>
    </row>
    <row r="306" spans="19:19" x14ac:dyDescent="0.2">
      <c r="S306" s="96"/>
    </row>
    <row r="307" spans="19:19" x14ac:dyDescent="0.2">
      <c r="S307" s="96"/>
    </row>
    <row r="308" spans="19:19" x14ac:dyDescent="0.2">
      <c r="S308" s="96"/>
    </row>
    <row r="309" spans="19:19" x14ac:dyDescent="0.2">
      <c r="S309" s="96"/>
    </row>
    <row r="310" spans="19:19" x14ac:dyDescent="0.2">
      <c r="S310" s="96"/>
    </row>
    <row r="311" spans="19:19" x14ac:dyDescent="0.2">
      <c r="S311" s="96"/>
    </row>
    <row r="312" spans="19:19" x14ac:dyDescent="0.2">
      <c r="S312" s="96"/>
    </row>
    <row r="313" spans="19:19" x14ac:dyDescent="0.2">
      <c r="S313" s="96"/>
    </row>
    <row r="314" spans="19:19" x14ac:dyDescent="0.2">
      <c r="S314" s="96"/>
    </row>
    <row r="315" spans="19:19" x14ac:dyDescent="0.2">
      <c r="S315" s="96"/>
    </row>
    <row r="316" spans="19:19" x14ac:dyDescent="0.2">
      <c r="S316" s="96"/>
    </row>
    <row r="317" spans="19:19" x14ac:dyDescent="0.2">
      <c r="S317" s="96"/>
    </row>
    <row r="318" spans="19:19" x14ac:dyDescent="0.2">
      <c r="S318" s="96"/>
    </row>
    <row r="319" spans="19:19" x14ac:dyDescent="0.2">
      <c r="S319" s="96"/>
    </row>
    <row r="320" spans="19:19" x14ac:dyDescent="0.2">
      <c r="S320" s="96"/>
    </row>
    <row r="321" spans="19:19" x14ac:dyDescent="0.2">
      <c r="S321" s="96"/>
    </row>
    <row r="322" spans="19:19" x14ac:dyDescent="0.2">
      <c r="S322" s="96"/>
    </row>
    <row r="323" spans="19:19" x14ac:dyDescent="0.2">
      <c r="S323" s="96"/>
    </row>
    <row r="324" spans="19:19" x14ac:dyDescent="0.2">
      <c r="S324" s="96"/>
    </row>
    <row r="325" spans="19:19" x14ac:dyDescent="0.2">
      <c r="S325" s="96"/>
    </row>
    <row r="326" spans="19:19" x14ac:dyDescent="0.2">
      <c r="S326" s="96"/>
    </row>
    <row r="327" spans="19:19" x14ac:dyDescent="0.2">
      <c r="S327" s="96"/>
    </row>
    <row r="328" spans="19:19" x14ac:dyDescent="0.2">
      <c r="S328" s="96"/>
    </row>
    <row r="329" spans="19:19" x14ac:dyDescent="0.2">
      <c r="S329" s="96"/>
    </row>
    <row r="330" spans="19:19" x14ac:dyDescent="0.2">
      <c r="S330" s="96"/>
    </row>
    <row r="331" spans="19:19" x14ac:dyDescent="0.2">
      <c r="S331" s="96"/>
    </row>
    <row r="332" spans="19:19" x14ac:dyDescent="0.2">
      <c r="S332" s="96"/>
    </row>
    <row r="333" spans="19:19" x14ac:dyDescent="0.2">
      <c r="S333" s="96"/>
    </row>
    <row r="334" spans="19:19" x14ac:dyDescent="0.2">
      <c r="S334" s="96"/>
    </row>
    <row r="335" spans="19:19" x14ac:dyDescent="0.2">
      <c r="S335" s="96"/>
    </row>
    <row r="336" spans="19:19" x14ac:dyDescent="0.2">
      <c r="S336" s="96"/>
    </row>
    <row r="337" spans="19:19" x14ac:dyDescent="0.2">
      <c r="S337" s="96"/>
    </row>
    <row r="338" spans="19:19" x14ac:dyDescent="0.2">
      <c r="S338" s="96"/>
    </row>
    <row r="339" spans="19:19" x14ac:dyDescent="0.2">
      <c r="S339" s="96"/>
    </row>
    <row r="340" spans="19:19" x14ac:dyDescent="0.2">
      <c r="S340" s="96"/>
    </row>
    <row r="341" spans="19:19" x14ac:dyDescent="0.2">
      <c r="S341" s="96"/>
    </row>
    <row r="342" spans="19:19" x14ac:dyDescent="0.2">
      <c r="S342" s="96"/>
    </row>
    <row r="343" spans="19:19" x14ac:dyDescent="0.2">
      <c r="S343" s="96"/>
    </row>
    <row r="344" spans="19:19" x14ac:dyDescent="0.2">
      <c r="S344" s="96"/>
    </row>
    <row r="345" spans="19:19" x14ac:dyDescent="0.2">
      <c r="S345" s="96"/>
    </row>
    <row r="346" spans="19:19" x14ac:dyDescent="0.2">
      <c r="S346" s="96"/>
    </row>
    <row r="347" spans="19:19" x14ac:dyDescent="0.2">
      <c r="S347" s="96"/>
    </row>
    <row r="348" spans="19:19" x14ac:dyDescent="0.2">
      <c r="S348" s="96"/>
    </row>
    <row r="349" spans="19:19" x14ac:dyDescent="0.2">
      <c r="S349" s="96"/>
    </row>
    <row r="350" spans="19:19" x14ac:dyDescent="0.2">
      <c r="S350" s="96"/>
    </row>
    <row r="351" spans="19:19" x14ac:dyDescent="0.2">
      <c r="S351" s="96"/>
    </row>
    <row r="352" spans="19:19" x14ac:dyDescent="0.2">
      <c r="S352" s="96"/>
    </row>
    <row r="353" spans="19:19" x14ac:dyDescent="0.2">
      <c r="S353" s="96"/>
    </row>
    <row r="354" spans="19:19" x14ac:dyDescent="0.2">
      <c r="S354" s="96"/>
    </row>
    <row r="355" spans="19:19" x14ac:dyDescent="0.2">
      <c r="S355" s="96"/>
    </row>
    <row r="356" spans="19:19" x14ac:dyDescent="0.2">
      <c r="S356" s="96"/>
    </row>
    <row r="357" spans="19:19" x14ac:dyDescent="0.2">
      <c r="S357" s="96"/>
    </row>
    <row r="358" spans="19:19" x14ac:dyDescent="0.2">
      <c r="S358" s="96"/>
    </row>
    <row r="359" spans="19:19" x14ac:dyDescent="0.2">
      <c r="S359" s="96"/>
    </row>
    <row r="360" spans="19:19" x14ac:dyDescent="0.2">
      <c r="S360" s="96"/>
    </row>
    <row r="361" spans="19:19" x14ac:dyDescent="0.2">
      <c r="S361" s="96"/>
    </row>
    <row r="362" spans="19:19" x14ac:dyDescent="0.2">
      <c r="S362" s="96"/>
    </row>
    <row r="363" spans="19:19" x14ac:dyDescent="0.2">
      <c r="S363" s="96"/>
    </row>
    <row r="364" spans="19:19" x14ac:dyDescent="0.2">
      <c r="S364" s="96"/>
    </row>
    <row r="365" spans="19:19" x14ac:dyDescent="0.2">
      <c r="S365" s="96"/>
    </row>
    <row r="366" spans="19:19" x14ac:dyDescent="0.2">
      <c r="S366" s="96"/>
    </row>
    <row r="367" spans="19:19" x14ac:dyDescent="0.2">
      <c r="S367" s="96"/>
    </row>
    <row r="368" spans="19:19" x14ac:dyDescent="0.2">
      <c r="S368" s="96"/>
    </row>
    <row r="369" spans="19:19" x14ac:dyDescent="0.2">
      <c r="S369" s="96"/>
    </row>
    <row r="370" spans="19:19" x14ac:dyDescent="0.2">
      <c r="S370" s="96"/>
    </row>
    <row r="371" spans="19:19" x14ac:dyDescent="0.2">
      <c r="S371" s="96"/>
    </row>
    <row r="372" spans="19:19" x14ac:dyDescent="0.2">
      <c r="S372" s="96"/>
    </row>
    <row r="373" spans="19:19" x14ac:dyDescent="0.2">
      <c r="S373" s="96"/>
    </row>
    <row r="374" spans="19:19" x14ac:dyDescent="0.2">
      <c r="S374" s="96"/>
    </row>
    <row r="375" spans="19:19" x14ac:dyDescent="0.2">
      <c r="S375" s="96"/>
    </row>
    <row r="376" spans="19:19" x14ac:dyDescent="0.2">
      <c r="S376" s="96"/>
    </row>
    <row r="377" spans="19:19" x14ac:dyDescent="0.2">
      <c r="S377" s="96"/>
    </row>
    <row r="378" spans="19:19" x14ac:dyDescent="0.2">
      <c r="S378" s="96"/>
    </row>
    <row r="379" spans="19:19" x14ac:dyDescent="0.2">
      <c r="S379" s="96"/>
    </row>
    <row r="380" spans="19:19" x14ac:dyDescent="0.2">
      <c r="S380" s="96"/>
    </row>
    <row r="381" spans="19:19" x14ac:dyDescent="0.2">
      <c r="S381" s="96"/>
    </row>
    <row r="382" spans="19:19" x14ac:dyDescent="0.2">
      <c r="S382" s="96"/>
    </row>
    <row r="383" spans="19:19" x14ac:dyDescent="0.2">
      <c r="S383" s="96"/>
    </row>
    <row r="384" spans="19:19" x14ac:dyDescent="0.2">
      <c r="S384" s="96"/>
    </row>
    <row r="385" spans="19:19" x14ac:dyDescent="0.2">
      <c r="S385" s="96"/>
    </row>
    <row r="386" spans="19:19" x14ac:dyDescent="0.2">
      <c r="S386" s="96"/>
    </row>
    <row r="387" spans="19:19" x14ac:dyDescent="0.2">
      <c r="S387" s="96"/>
    </row>
    <row r="388" spans="19:19" x14ac:dyDescent="0.2">
      <c r="S388" s="96"/>
    </row>
    <row r="389" spans="19:19" x14ac:dyDescent="0.2">
      <c r="S389" s="96"/>
    </row>
    <row r="390" spans="19:19" x14ac:dyDescent="0.2">
      <c r="S390" s="96"/>
    </row>
    <row r="391" spans="19:19" x14ac:dyDescent="0.2">
      <c r="S391" s="96"/>
    </row>
    <row r="392" spans="19:19" x14ac:dyDescent="0.2">
      <c r="S392" s="96"/>
    </row>
    <row r="393" spans="19:19" x14ac:dyDescent="0.2">
      <c r="S393" s="96"/>
    </row>
    <row r="394" spans="19:19" x14ac:dyDescent="0.2">
      <c r="S394" s="96"/>
    </row>
    <row r="395" spans="19:19" x14ac:dyDescent="0.2">
      <c r="S395" s="96"/>
    </row>
    <row r="396" spans="19:19" x14ac:dyDescent="0.2">
      <c r="S396" s="96"/>
    </row>
    <row r="397" spans="19:19" x14ac:dyDescent="0.2">
      <c r="S397" s="96"/>
    </row>
    <row r="398" spans="19:19" x14ac:dyDescent="0.2">
      <c r="S398" s="96"/>
    </row>
    <row r="399" spans="19:19" x14ac:dyDescent="0.2">
      <c r="S399" s="96"/>
    </row>
    <row r="400" spans="19:19" x14ac:dyDescent="0.2">
      <c r="S400" s="96"/>
    </row>
    <row r="401" spans="19:19" x14ac:dyDescent="0.2">
      <c r="S401" s="96"/>
    </row>
    <row r="402" spans="19:19" x14ac:dyDescent="0.2">
      <c r="S402" s="96"/>
    </row>
    <row r="403" spans="19:19" x14ac:dyDescent="0.2">
      <c r="S403" s="96"/>
    </row>
    <row r="404" spans="19:19" x14ac:dyDescent="0.2">
      <c r="S404" s="96"/>
    </row>
    <row r="405" spans="19:19" x14ac:dyDescent="0.2">
      <c r="S405" s="96"/>
    </row>
    <row r="406" spans="19:19" x14ac:dyDescent="0.2">
      <c r="S406" s="96"/>
    </row>
    <row r="407" spans="19:19" x14ac:dyDescent="0.2">
      <c r="S407" s="96"/>
    </row>
    <row r="408" spans="19:19" x14ac:dyDescent="0.2">
      <c r="S408" s="96"/>
    </row>
    <row r="409" spans="19:19" x14ac:dyDescent="0.2">
      <c r="S409" s="96"/>
    </row>
    <row r="410" spans="19:19" x14ac:dyDescent="0.2">
      <c r="S410" s="96"/>
    </row>
    <row r="411" spans="19:19" x14ac:dyDescent="0.2">
      <c r="S411" s="96"/>
    </row>
    <row r="412" spans="19:19" x14ac:dyDescent="0.2">
      <c r="S412" s="96"/>
    </row>
    <row r="413" spans="19:19" x14ac:dyDescent="0.2">
      <c r="S413" s="96"/>
    </row>
    <row r="414" spans="19:19" x14ac:dyDescent="0.2">
      <c r="S414" s="96"/>
    </row>
    <row r="415" spans="19:19" x14ac:dyDescent="0.2">
      <c r="S415" s="96"/>
    </row>
    <row r="416" spans="19:19" x14ac:dyDescent="0.2">
      <c r="S416" s="96"/>
    </row>
    <row r="417" spans="19:19" x14ac:dyDescent="0.2">
      <c r="S417" s="96"/>
    </row>
    <row r="418" spans="19:19" x14ac:dyDescent="0.2">
      <c r="S418" s="96"/>
    </row>
    <row r="419" spans="19:19" x14ac:dyDescent="0.2">
      <c r="S419" s="96"/>
    </row>
    <row r="420" spans="19:19" x14ac:dyDescent="0.2">
      <c r="S420" s="96"/>
    </row>
    <row r="421" spans="19:19" x14ac:dyDescent="0.2">
      <c r="S421" s="96"/>
    </row>
    <row r="422" spans="19:19" x14ac:dyDescent="0.2">
      <c r="S422" s="96"/>
    </row>
    <row r="423" spans="19:19" x14ac:dyDescent="0.2">
      <c r="S423" s="96"/>
    </row>
    <row r="424" spans="19:19" x14ac:dyDescent="0.2">
      <c r="S424" s="96"/>
    </row>
    <row r="425" spans="19:19" x14ac:dyDescent="0.2">
      <c r="S425" s="96"/>
    </row>
    <row r="426" spans="19:19" x14ac:dyDescent="0.2">
      <c r="S426" s="96"/>
    </row>
    <row r="427" spans="19:19" x14ac:dyDescent="0.2">
      <c r="S427" s="96"/>
    </row>
    <row r="428" spans="19:19" x14ac:dyDescent="0.2">
      <c r="S428" s="96"/>
    </row>
    <row r="429" spans="19:19" x14ac:dyDescent="0.2">
      <c r="S429" s="96"/>
    </row>
    <row r="430" spans="19:19" x14ac:dyDescent="0.2">
      <c r="S430" s="96"/>
    </row>
    <row r="431" spans="19:19" x14ac:dyDescent="0.2">
      <c r="S431" s="96"/>
    </row>
    <row r="432" spans="19:19" x14ac:dyDescent="0.2">
      <c r="S432" s="96"/>
    </row>
    <row r="433" spans="19:19" x14ac:dyDescent="0.2">
      <c r="S433" s="96"/>
    </row>
    <row r="434" spans="19:19" x14ac:dyDescent="0.2">
      <c r="S434" s="96"/>
    </row>
    <row r="435" spans="19:19" x14ac:dyDescent="0.2">
      <c r="S435" s="96"/>
    </row>
    <row r="436" spans="19:19" x14ac:dyDescent="0.2">
      <c r="S436" s="96"/>
    </row>
    <row r="437" spans="19:19" x14ac:dyDescent="0.2">
      <c r="S437" s="96"/>
    </row>
    <row r="438" spans="19:19" x14ac:dyDescent="0.2">
      <c r="S438" s="96"/>
    </row>
    <row r="439" spans="19:19" x14ac:dyDescent="0.2">
      <c r="S439" s="96"/>
    </row>
    <row r="440" spans="19:19" x14ac:dyDescent="0.2">
      <c r="S440" s="96"/>
    </row>
    <row r="441" spans="19:19" x14ac:dyDescent="0.2">
      <c r="S441" s="96"/>
    </row>
    <row r="442" spans="19:19" x14ac:dyDescent="0.2">
      <c r="S442" s="96"/>
    </row>
    <row r="443" spans="19:19" x14ac:dyDescent="0.2">
      <c r="S443" s="96"/>
    </row>
    <row r="444" spans="19:19" x14ac:dyDescent="0.2">
      <c r="S444" s="96"/>
    </row>
    <row r="445" spans="19:19" x14ac:dyDescent="0.2">
      <c r="S445" s="96"/>
    </row>
    <row r="446" spans="19:19" x14ac:dyDescent="0.2">
      <c r="S446" s="96"/>
    </row>
    <row r="447" spans="19:19" x14ac:dyDescent="0.2">
      <c r="S447" s="96"/>
    </row>
    <row r="448" spans="19:19" x14ac:dyDescent="0.2">
      <c r="S448" s="96"/>
    </row>
    <row r="449" spans="19:19" x14ac:dyDescent="0.2">
      <c r="S449" s="96"/>
    </row>
    <row r="450" spans="19:19" x14ac:dyDescent="0.2">
      <c r="S450" s="96"/>
    </row>
    <row r="451" spans="19:19" x14ac:dyDescent="0.2">
      <c r="S451" s="96"/>
    </row>
    <row r="452" spans="19:19" x14ac:dyDescent="0.2">
      <c r="S452" s="96"/>
    </row>
    <row r="453" spans="19:19" x14ac:dyDescent="0.2">
      <c r="S453" s="96"/>
    </row>
    <row r="454" spans="19:19" x14ac:dyDescent="0.2">
      <c r="S454" s="96"/>
    </row>
    <row r="455" spans="19:19" x14ac:dyDescent="0.2">
      <c r="S455" s="96"/>
    </row>
    <row r="456" spans="19:19" x14ac:dyDescent="0.2">
      <c r="S456" s="96"/>
    </row>
    <row r="457" spans="19:19" x14ac:dyDescent="0.2">
      <c r="S457" s="96"/>
    </row>
    <row r="458" spans="19:19" x14ac:dyDescent="0.2">
      <c r="S458" s="96"/>
    </row>
    <row r="459" spans="19:19" x14ac:dyDescent="0.2">
      <c r="S459" s="96"/>
    </row>
    <row r="460" spans="19:19" x14ac:dyDescent="0.2">
      <c r="S460" s="96"/>
    </row>
    <row r="461" spans="19:19" x14ac:dyDescent="0.2">
      <c r="S461" s="96"/>
    </row>
    <row r="462" spans="19:19" x14ac:dyDescent="0.2">
      <c r="S462" s="96"/>
    </row>
    <row r="463" spans="19:19" x14ac:dyDescent="0.2">
      <c r="S463" s="96"/>
    </row>
    <row r="464" spans="19:19" x14ac:dyDescent="0.2">
      <c r="S464" s="96"/>
    </row>
    <row r="465" spans="19:19" x14ac:dyDescent="0.2">
      <c r="S465" s="96"/>
    </row>
    <row r="466" spans="19:19" x14ac:dyDescent="0.2">
      <c r="S466" s="96"/>
    </row>
    <row r="467" spans="19:19" x14ac:dyDescent="0.2">
      <c r="S467" s="96"/>
    </row>
    <row r="468" spans="19:19" x14ac:dyDescent="0.2">
      <c r="S468" s="96"/>
    </row>
    <row r="469" spans="19:19" x14ac:dyDescent="0.2">
      <c r="S469" s="96"/>
    </row>
    <row r="470" spans="19:19" x14ac:dyDescent="0.2">
      <c r="S470" s="96"/>
    </row>
    <row r="471" spans="19:19" x14ac:dyDescent="0.2">
      <c r="S471" s="96"/>
    </row>
    <row r="472" spans="19:19" x14ac:dyDescent="0.2">
      <c r="S472" s="96"/>
    </row>
    <row r="473" spans="19:19" x14ac:dyDescent="0.2">
      <c r="S473" s="96"/>
    </row>
    <row r="474" spans="19:19" x14ac:dyDescent="0.2">
      <c r="S474" s="96"/>
    </row>
    <row r="475" spans="19:19" x14ac:dyDescent="0.2">
      <c r="S475" s="96"/>
    </row>
    <row r="476" spans="19:19" x14ac:dyDescent="0.2">
      <c r="S476" s="96"/>
    </row>
    <row r="477" spans="19:19" x14ac:dyDescent="0.2">
      <c r="S477" s="96"/>
    </row>
    <row r="478" spans="19:19" x14ac:dyDescent="0.2">
      <c r="S478" s="96"/>
    </row>
    <row r="479" spans="19:19" x14ac:dyDescent="0.2">
      <c r="S479" s="96"/>
    </row>
    <row r="480" spans="19:19" x14ac:dyDescent="0.2">
      <c r="S480" s="96"/>
    </row>
    <row r="481" spans="19:19" x14ac:dyDescent="0.2">
      <c r="S481" s="96"/>
    </row>
    <row r="482" spans="19:19" x14ac:dyDescent="0.2">
      <c r="S482" s="96"/>
    </row>
    <row r="483" spans="19:19" x14ac:dyDescent="0.2">
      <c r="S483" s="96"/>
    </row>
    <row r="484" spans="19:19" x14ac:dyDescent="0.2">
      <c r="S484" s="96"/>
    </row>
    <row r="485" spans="19:19" x14ac:dyDescent="0.2">
      <c r="S485" s="96"/>
    </row>
    <row r="486" spans="19:19" x14ac:dyDescent="0.2">
      <c r="S486" s="96"/>
    </row>
    <row r="487" spans="19:19" x14ac:dyDescent="0.2">
      <c r="S487" s="96"/>
    </row>
    <row r="488" spans="19:19" x14ac:dyDescent="0.2">
      <c r="S488" s="96"/>
    </row>
    <row r="489" spans="19:19" x14ac:dyDescent="0.2">
      <c r="S489" s="96"/>
    </row>
    <row r="490" spans="19:19" x14ac:dyDescent="0.2">
      <c r="S490" s="96"/>
    </row>
    <row r="491" spans="19:19" x14ac:dyDescent="0.2">
      <c r="S491" s="96"/>
    </row>
    <row r="492" spans="19:19" x14ac:dyDescent="0.2">
      <c r="S492" s="96"/>
    </row>
    <row r="493" spans="19:19" x14ac:dyDescent="0.2">
      <c r="S493" s="96"/>
    </row>
    <row r="494" spans="19:19" x14ac:dyDescent="0.2">
      <c r="S494" s="96"/>
    </row>
    <row r="495" spans="19:19" x14ac:dyDescent="0.2">
      <c r="S495" s="96"/>
    </row>
    <row r="496" spans="19:19" x14ac:dyDescent="0.2">
      <c r="S496" s="96"/>
    </row>
    <row r="497" spans="19:19" x14ac:dyDescent="0.2">
      <c r="S497" s="96"/>
    </row>
    <row r="498" spans="19:19" x14ac:dyDescent="0.2">
      <c r="S498" s="96"/>
    </row>
    <row r="499" spans="19:19" x14ac:dyDescent="0.2">
      <c r="S499" s="96"/>
    </row>
    <row r="500" spans="19:19" x14ac:dyDescent="0.2">
      <c r="S500" s="96"/>
    </row>
    <row r="501" spans="19:19" x14ac:dyDescent="0.2">
      <c r="S501" s="96"/>
    </row>
    <row r="502" spans="19:19" x14ac:dyDescent="0.2">
      <c r="S502" s="96"/>
    </row>
    <row r="503" spans="19:19" x14ac:dyDescent="0.2">
      <c r="S503" s="96"/>
    </row>
    <row r="504" spans="19:19" x14ac:dyDescent="0.2">
      <c r="S504" s="96"/>
    </row>
    <row r="505" spans="19:19" x14ac:dyDescent="0.2">
      <c r="S505" s="96"/>
    </row>
    <row r="506" spans="19:19" x14ac:dyDescent="0.2">
      <c r="S506" s="96"/>
    </row>
    <row r="507" spans="19:19" x14ac:dyDescent="0.2">
      <c r="S507" s="96"/>
    </row>
    <row r="508" spans="19:19" x14ac:dyDescent="0.2">
      <c r="S508" s="96"/>
    </row>
    <row r="509" spans="19:19" x14ac:dyDescent="0.2">
      <c r="S509" s="96"/>
    </row>
    <row r="510" spans="19:19" x14ac:dyDescent="0.2">
      <c r="S510" s="96"/>
    </row>
    <row r="511" spans="19:19" x14ac:dyDescent="0.2">
      <c r="S511" s="96"/>
    </row>
    <row r="512" spans="19:19" x14ac:dyDescent="0.2">
      <c r="S512" s="96"/>
    </row>
    <row r="513" spans="19:19" x14ac:dyDescent="0.2">
      <c r="S513" s="96"/>
    </row>
    <row r="514" spans="19:19" x14ac:dyDescent="0.2">
      <c r="S514" s="96"/>
    </row>
    <row r="515" spans="19:19" x14ac:dyDescent="0.2">
      <c r="S515" s="96"/>
    </row>
    <row r="516" spans="19:19" x14ac:dyDescent="0.2">
      <c r="S516" s="96"/>
    </row>
    <row r="517" spans="19:19" x14ac:dyDescent="0.2">
      <c r="S517" s="96"/>
    </row>
    <row r="518" spans="19:19" x14ac:dyDescent="0.2">
      <c r="S518" s="96"/>
    </row>
    <row r="519" spans="19:19" x14ac:dyDescent="0.2">
      <c r="S519" s="96"/>
    </row>
    <row r="520" spans="19:19" x14ac:dyDescent="0.2">
      <c r="S520" s="96"/>
    </row>
    <row r="521" spans="19:19" x14ac:dyDescent="0.2">
      <c r="S521" s="96"/>
    </row>
    <row r="522" spans="19:19" x14ac:dyDescent="0.2">
      <c r="S522" s="96"/>
    </row>
    <row r="523" spans="19:19" x14ac:dyDescent="0.2">
      <c r="S523" s="96"/>
    </row>
    <row r="524" spans="19:19" x14ac:dyDescent="0.2">
      <c r="S524" s="96"/>
    </row>
    <row r="525" spans="19:19" x14ac:dyDescent="0.2">
      <c r="S525" s="96"/>
    </row>
    <row r="526" spans="19:19" x14ac:dyDescent="0.2">
      <c r="S526" s="96"/>
    </row>
    <row r="527" spans="19:19" x14ac:dyDescent="0.2">
      <c r="S527" s="96"/>
    </row>
    <row r="528" spans="19:19" x14ac:dyDescent="0.2">
      <c r="S528" s="96"/>
    </row>
    <row r="529" spans="19:19" x14ac:dyDescent="0.2">
      <c r="S529" s="96"/>
    </row>
    <row r="530" spans="19:19" x14ac:dyDescent="0.2">
      <c r="S530" s="96"/>
    </row>
    <row r="531" spans="19:19" x14ac:dyDescent="0.2">
      <c r="S531" s="96"/>
    </row>
    <row r="532" spans="19:19" x14ac:dyDescent="0.2">
      <c r="S532" s="96"/>
    </row>
    <row r="533" spans="19:19" x14ac:dyDescent="0.2">
      <c r="S533" s="96"/>
    </row>
    <row r="534" spans="19:19" x14ac:dyDescent="0.2">
      <c r="S534" s="96"/>
    </row>
    <row r="535" spans="19:19" x14ac:dyDescent="0.2">
      <c r="S535" s="96"/>
    </row>
    <row r="536" spans="19:19" x14ac:dyDescent="0.2">
      <c r="S536" s="96"/>
    </row>
    <row r="537" spans="19:19" x14ac:dyDescent="0.2">
      <c r="S537" s="96"/>
    </row>
    <row r="538" spans="19:19" x14ac:dyDescent="0.2">
      <c r="S538" s="96"/>
    </row>
    <row r="539" spans="19:19" x14ac:dyDescent="0.2">
      <c r="S539" s="96"/>
    </row>
    <row r="540" spans="19:19" x14ac:dyDescent="0.2">
      <c r="S540" s="96"/>
    </row>
    <row r="541" spans="19:19" x14ac:dyDescent="0.2">
      <c r="S541" s="96"/>
    </row>
    <row r="542" spans="19:19" x14ac:dyDescent="0.2">
      <c r="S542" s="96"/>
    </row>
    <row r="543" spans="19:19" x14ac:dyDescent="0.2">
      <c r="S543" s="96"/>
    </row>
    <row r="544" spans="19:19" x14ac:dyDescent="0.2">
      <c r="S544" s="96"/>
    </row>
    <row r="545" spans="19:19" x14ac:dyDescent="0.2">
      <c r="S545" s="96"/>
    </row>
    <row r="546" spans="19:19" x14ac:dyDescent="0.2">
      <c r="S546" s="96"/>
    </row>
    <row r="547" spans="19:19" x14ac:dyDescent="0.2">
      <c r="S547" s="96"/>
    </row>
    <row r="548" spans="19:19" x14ac:dyDescent="0.2">
      <c r="S548" s="96"/>
    </row>
    <row r="549" spans="19:19" x14ac:dyDescent="0.2">
      <c r="S549" s="96"/>
    </row>
    <row r="550" spans="19:19" x14ac:dyDescent="0.2">
      <c r="S550" s="96"/>
    </row>
    <row r="551" spans="19:19" x14ac:dyDescent="0.2">
      <c r="S551" s="96"/>
    </row>
    <row r="552" spans="19:19" x14ac:dyDescent="0.2">
      <c r="S552" s="96"/>
    </row>
    <row r="553" spans="19:19" x14ac:dyDescent="0.2">
      <c r="S553" s="96"/>
    </row>
    <row r="554" spans="19:19" x14ac:dyDescent="0.2">
      <c r="S554" s="96"/>
    </row>
    <row r="555" spans="19:19" x14ac:dyDescent="0.2">
      <c r="S555" s="96"/>
    </row>
    <row r="556" spans="19:19" x14ac:dyDescent="0.2">
      <c r="S556" s="96"/>
    </row>
    <row r="557" spans="19:19" x14ac:dyDescent="0.2">
      <c r="S557" s="96"/>
    </row>
    <row r="558" spans="19:19" x14ac:dyDescent="0.2">
      <c r="S558" s="96"/>
    </row>
    <row r="559" spans="19:19" x14ac:dyDescent="0.2">
      <c r="S559" s="96"/>
    </row>
    <row r="560" spans="19:19" x14ac:dyDescent="0.2">
      <c r="S560" s="96"/>
    </row>
    <row r="561" spans="19:19" x14ac:dyDescent="0.2">
      <c r="S561" s="96"/>
    </row>
    <row r="562" spans="19:19" x14ac:dyDescent="0.2">
      <c r="S562" s="96"/>
    </row>
    <row r="563" spans="19:19" x14ac:dyDescent="0.2">
      <c r="S563" s="96"/>
    </row>
    <row r="564" spans="19:19" x14ac:dyDescent="0.2">
      <c r="S564" s="96"/>
    </row>
    <row r="565" spans="19:19" x14ac:dyDescent="0.2">
      <c r="S565" s="96"/>
    </row>
    <row r="566" spans="19:19" x14ac:dyDescent="0.2">
      <c r="S566" s="96"/>
    </row>
    <row r="567" spans="19:19" x14ac:dyDescent="0.2">
      <c r="S567" s="96"/>
    </row>
    <row r="568" spans="19:19" x14ac:dyDescent="0.2">
      <c r="S568" s="96"/>
    </row>
    <row r="569" spans="19:19" x14ac:dyDescent="0.2">
      <c r="S569" s="96"/>
    </row>
    <row r="570" spans="19:19" x14ac:dyDescent="0.2">
      <c r="S570" s="96"/>
    </row>
    <row r="571" spans="19:19" x14ac:dyDescent="0.2">
      <c r="S571" s="96"/>
    </row>
    <row r="572" spans="19:19" x14ac:dyDescent="0.2">
      <c r="S572" s="96"/>
    </row>
    <row r="573" spans="19:19" x14ac:dyDescent="0.2">
      <c r="S573" s="96"/>
    </row>
    <row r="574" spans="19:19" x14ac:dyDescent="0.2">
      <c r="S574" s="96"/>
    </row>
    <row r="575" spans="19:19" x14ac:dyDescent="0.2">
      <c r="S575" s="96"/>
    </row>
    <row r="576" spans="19:19" x14ac:dyDescent="0.2">
      <c r="S576" s="96"/>
    </row>
    <row r="577" spans="19:19" x14ac:dyDescent="0.2">
      <c r="S577" s="96"/>
    </row>
    <row r="578" spans="19:19" x14ac:dyDescent="0.2">
      <c r="S578" s="96"/>
    </row>
    <row r="579" spans="19:19" x14ac:dyDescent="0.2">
      <c r="S579" s="96"/>
    </row>
    <row r="580" spans="19:19" x14ac:dyDescent="0.2">
      <c r="S580" s="96"/>
    </row>
    <row r="581" spans="19:19" x14ac:dyDescent="0.2">
      <c r="S581" s="96"/>
    </row>
    <row r="582" spans="19:19" x14ac:dyDescent="0.2">
      <c r="S582" s="96"/>
    </row>
    <row r="583" spans="19:19" x14ac:dyDescent="0.2">
      <c r="S583" s="96"/>
    </row>
    <row r="584" spans="19:19" x14ac:dyDescent="0.2">
      <c r="S584" s="96"/>
    </row>
    <row r="585" spans="19:19" x14ac:dyDescent="0.2">
      <c r="S585" s="96"/>
    </row>
    <row r="586" spans="19:19" x14ac:dyDescent="0.2">
      <c r="S586" s="96"/>
    </row>
    <row r="587" spans="19:19" x14ac:dyDescent="0.2">
      <c r="S587" s="96"/>
    </row>
    <row r="588" spans="19:19" x14ac:dyDescent="0.2">
      <c r="S588" s="96"/>
    </row>
    <row r="589" spans="19:19" x14ac:dyDescent="0.2">
      <c r="S589" s="96"/>
    </row>
    <row r="590" spans="19:19" x14ac:dyDescent="0.2">
      <c r="S590" s="96"/>
    </row>
    <row r="591" spans="19:19" x14ac:dyDescent="0.2">
      <c r="S591" s="96"/>
    </row>
    <row r="592" spans="19:19" x14ac:dyDescent="0.2">
      <c r="S592" s="96"/>
    </row>
    <row r="593" spans="19:19" x14ac:dyDescent="0.2">
      <c r="S593" s="96"/>
    </row>
    <row r="594" spans="19:19" x14ac:dyDescent="0.2">
      <c r="S594" s="96"/>
    </row>
    <row r="595" spans="19:19" x14ac:dyDescent="0.2">
      <c r="S595" s="96"/>
    </row>
    <row r="596" spans="19:19" x14ac:dyDescent="0.2">
      <c r="S596" s="96"/>
    </row>
    <row r="597" spans="19:19" x14ac:dyDescent="0.2">
      <c r="S597" s="96"/>
    </row>
    <row r="598" spans="19:19" x14ac:dyDescent="0.2">
      <c r="S598" s="96"/>
    </row>
    <row r="599" spans="19:19" x14ac:dyDescent="0.2">
      <c r="S599" s="96"/>
    </row>
    <row r="600" spans="19:19" x14ac:dyDescent="0.2">
      <c r="S600" s="96"/>
    </row>
    <row r="601" spans="19:19" x14ac:dyDescent="0.2">
      <c r="S601" s="96"/>
    </row>
    <row r="602" spans="19:19" x14ac:dyDescent="0.2">
      <c r="S602" s="96"/>
    </row>
    <row r="603" spans="19:19" x14ac:dyDescent="0.2">
      <c r="S603" s="96"/>
    </row>
    <row r="604" spans="19:19" x14ac:dyDescent="0.2">
      <c r="S604" s="96"/>
    </row>
    <row r="605" spans="19:19" x14ac:dyDescent="0.2">
      <c r="S605" s="96"/>
    </row>
    <row r="606" spans="19:19" x14ac:dyDescent="0.2">
      <c r="S606" s="96"/>
    </row>
    <row r="607" spans="19:19" x14ac:dyDescent="0.2">
      <c r="S607" s="96"/>
    </row>
    <row r="608" spans="19:19" x14ac:dyDescent="0.2">
      <c r="S608" s="96"/>
    </row>
    <row r="609" spans="19:19" x14ac:dyDescent="0.2">
      <c r="S609" s="96"/>
    </row>
    <row r="610" spans="19:19" x14ac:dyDescent="0.2">
      <c r="S610" s="96"/>
    </row>
    <row r="611" spans="19:19" x14ac:dyDescent="0.2">
      <c r="S611" s="96"/>
    </row>
    <row r="612" spans="19:19" x14ac:dyDescent="0.2">
      <c r="S612" s="96"/>
    </row>
    <row r="613" spans="19:19" x14ac:dyDescent="0.2">
      <c r="S613" s="96"/>
    </row>
    <row r="614" spans="19:19" x14ac:dyDescent="0.2">
      <c r="S614" s="96"/>
    </row>
    <row r="615" spans="19:19" x14ac:dyDescent="0.2">
      <c r="S615" s="96"/>
    </row>
    <row r="616" spans="19:19" x14ac:dyDescent="0.2">
      <c r="S616" s="96"/>
    </row>
    <row r="617" spans="19:19" x14ac:dyDescent="0.2">
      <c r="S617" s="96"/>
    </row>
    <row r="618" spans="19:19" x14ac:dyDescent="0.2">
      <c r="S618" s="96"/>
    </row>
    <row r="619" spans="19:19" x14ac:dyDescent="0.2">
      <c r="S619" s="96"/>
    </row>
    <row r="620" spans="19:19" x14ac:dyDescent="0.2">
      <c r="S620" s="96"/>
    </row>
    <row r="621" spans="19:19" x14ac:dyDescent="0.2">
      <c r="S621" s="96"/>
    </row>
    <row r="622" spans="19:19" x14ac:dyDescent="0.2">
      <c r="S622" s="96"/>
    </row>
    <row r="623" spans="19:19" x14ac:dyDescent="0.2">
      <c r="S623" s="96"/>
    </row>
    <row r="624" spans="19:19" x14ac:dyDescent="0.2">
      <c r="S624" s="96"/>
    </row>
    <row r="625" spans="19:19" x14ac:dyDescent="0.2">
      <c r="S625" s="96"/>
    </row>
    <row r="626" spans="19:19" x14ac:dyDescent="0.2">
      <c r="S626" s="96"/>
    </row>
    <row r="627" spans="19:19" x14ac:dyDescent="0.2">
      <c r="S627" s="96"/>
    </row>
    <row r="628" spans="19:19" x14ac:dyDescent="0.2">
      <c r="S628" s="96"/>
    </row>
    <row r="629" spans="19:19" x14ac:dyDescent="0.2">
      <c r="S629" s="96"/>
    </row>
    <row r="630" spans="19:19" x14ac:dyDescent="0.2">
      <c r="S630" s="96"/>
    </row>
    <row r="631" spans="19:19" x14ac:dyDescent="0.2">
      <c r="S631" s="96"/>
    </row>
    <row r="632" spans="19:19" x14ac:dyDescent="0.2">
      <c r="S632" s="96"/>
    </row>
    <row r="633" spans="19:19" x14ac:dyDescent="0.2">
      <c r="S633" s="96"/>
    </row>
    <row r="634" spans="19:19" x14ac:dyDescent="0.2">
      <c r="S634" s="96"/>
    </row>
    <row r="635" spans="19:19" x14ac:dyDescent="0.2">
      <c r="S635" s="96"/>
    </row>
    <row r="636" spans="19:19" x14ac:dyDescent="0.2">
      <c r="S636" s="96"/>
    </row>
    <row r="637" spans="19:19" x14ac:dyDescent="0.2">
      <c r="S637" s="96"/>
    </row>
    <row r="638" spans="19:19" x14ac:dyDescent="0.2">
      <c r="S638" s="96"/>
    </row>
    <row r="639" spans="19:19" x14ac:dyDescent="0.2">
      <c r="S639" s="96"/>
    </row>
    <row r="640" spans="19:19" x14ac:dyDescent="0.2">
      <c r="S640" s="96"/>
    </row>
    <row r="641" spans="19:19" x14ac:dyDescent="0.2">
      <c r="S641" s="96"/>
    </row>
    <row r="642" spans="19:19" x14ac:dyDescent="0.2">
      <c r="S642" s="96"/>
    </row>
    <row r="643" spans="19:19" x14ac:dyDescent="0.2">
      <c r="S643" s="96"/>
    </row>
    <row r="644" spans="19:19" x14ac:dyDescent="0.2">
      <c r="S644" s="96"/>
    </row>
    <row r="645" spans="19:19" x14ac:dyDescent="0.2">
      <c r="S645" s="96"/>
    </row>
    <row r="646" spans="19:19" x14ac:dyDescent="0.2">
      <c r="S646" s="96"/>
    </row>
    <row r="647" spans="19:19" x14ac:dyDescent="0.2">
      <c r="S647" s="96"/>
    </row>
    <row r="648" spans="19:19" x14ac:dyDescent="0.2">
      <c r="S648" s="96"/>
    </row>
    <row r="649" spans="19:19" x14ac:dyDescent="0.2">
      <c r="S649" s="96"/>
    </row>
    <row r="650" spans="19:19" x14ac:dyDescent="0.2">
      <c r="S650" s="96"/>
    </row>
    <row r="651" spans="19:19" x14ac:dyDescent="0.2">
      <c r="S651" s="96"/>
    </row>
    <row r="652" spans="19:19" x14ac:dyDescent="0.2">
      <c r="S652" s="96"/>
    </row>
    <row r="653" spans="19:19" x14ac:dyDescent="0.2">
      <c r="S653" s="96"/>
    </row>
    <row r="654" spans="19:19" x14ac:dyDescent="0.2">
      <c r="S654" s="96"/>
    </row>
    <row r="655" spans="19:19" x14ac:dyDescent="0.2">
      <c r="S655" s="96"/>
    </row>
    <row r="656" spans="19:19" x14ac:dyDescent="0.2">
      <c r="S656" s="96"/>
    </row>
    <row r="657" spans="19:19" x14ac:dyDescent="0.2">
      <c r="S657" s="96"/>
    </row>
    <row r="658" spans="19:19" x14ac:dyDescent="0.2">
      <c r="S658" s="96"/>
    </row>
    <row r="659" spans="19:19" x14ac:dyDescent="0.2">
      <c r="S659" s="96"/>
    </row>
    <row r="660" spans="19:19" x14ac:dyDescent="0.2">
      <c r="S660" s="96"/>
    </row>
    <row r="661" spans="19:19" x14ac:dyDescent="0.2">
      <c r="S661" s="96"/>
    </row>
    <row r="662" spans="19:19" x14ac:dyDescent="0.2">
      <c r="S662" s="96"/>
    </row>
    <row r="663" spans="19:19" x14ac:dyDescent="0.2">
      <c r="S663" s="96"/>
    </row>
    <row r="664" spans="19:19" x14ac:dyDescent="0.2">
      <c r="S664" s="96"/>
    </row>
    <row r="665" spans="19:19" x14ac:dyDescent="0.2">
      <c r="S665" s="96"/>
    </row>
    <row r="666" spans="19:19" x14ac:dyDescent="0.2">
      <c r="S666" s="96"/>
    </row>
    <row r="667" spans="19:19" x14ac:dyDescent="0.2">
      <c r="S667" s="96"/>
    </row>
    <row r="668" spans="19:19" x14ac:dyDescent="0.2">
      <c r="S668" s="96"/>
    </row>
    <row r="669" spans="19:19" x14ac:dyDescent="0.2">
      <c r="S669" s="96"/>
    </row>
    <row r="670" spans="19:19" x14ac:dyDescent="0.2">
      <c r="S670" s="96"/>
    </row>
    <row r="671" spans="19:19" x14ac:dyDescent="0.2">
      <c r="S671" s="96"/>
    </row>
    <row r="672" spans="19:19" x14ac:dyDescent="0.2">
      <c r="S672" s="96"/>
    </row>
    <row r="673" spans="19:19" x14ac:dyDescent="0.2">
      <c r="S673" s="96"/>
    </row>
    <row r="674" spans="19:19" x14ac:dyDescent="0.2">
      <c r="S674" s="96"/>
    </row>
    <row r="675" spans="19:19" x14ac:dyDescent="0.2">
      <c r="S675" s="96"/>
    </row>
    <row r="676" spans="19:19" x14ac:dyDescent="0.2">
      <c r="S676" s="96"/>
    </row>
    <row r="677" spans="19:19" x14ac:dyDescent="0.2">
      <c r="S677" s="96"/>
    </row>
    <row r="678" spans="19:19" x14ac:dyDescent="0.2">
      <c r="S678" s="96"/>
    </row>
    <row r="679" spans="19:19" x14ac:dyDescent="0.2">
      <c r="S679" s="96"/>
    </row>
    <row r="680" spans="19:19" x14ac:dyDescent="0.2">
      <c r="S680" s="96"/>
    </row>
    <row r="681" spans="19:19" x14ac:dyDescent="0.2">
      <c r="S681" s="96"/>
    </row>
    <row r="682" spans="19:19" x14ac:dyDescent="0.2">
      <c r="S682" s="96"/>
    </row>
    <row r="683" spans="19:19" x14ac:dyDescent="0.2">
      <c r="S683" s="96"/>
    </row>
    <row r="684" spans="19:19" x14ac:dyDescent="0.2">
      <c r="S684" s="96"/>
    </row>
    <row r="685" spans="19:19" x14ac:dyDescent="0.2">
      <c r="S685" s="96"/>
    </row>
    <row r="686" spans="19:19" x14ac:dyDescent="0.2">
      <c r="S686" s="96"/>
    </row>
    <row r="687" spans="19:19" x14ac:dyDescent="0.2">
      <c r="S687" s="96"/>
    </row>
    <row r="688" spans="19:19" x14ac:dyDescent="0.2">
      <c r="S688" s="96"/>
    </row>
    <row r="689" spans="19:19" x14ac:dyDescent="0.2">
      <c r="S689" s="96"/>
    </row>
    <row r="690" spans="19:19" x14ac:dyDescent="0.2">
      <c r="S690" s="96"/>
    </row>
    <row r="691" spans="19:19" x14ac:dyDescent="0.2">
      <c r="S691" s="96"/>
    </row>
    <row r="692" spans="19:19" x14ac:dyDescent="0.2">
      <c r="S692" s="96"/>
    </row>
    <row r="693" spans="19:19" x14ac:dyDescent="0.2">
      <c r="S693" s="96"/>
    </row>
    <row r="694" spans="19:19" x14ac:dyDescent="0.2">
      <c r="S694" s="96"/>
    </row>
    <row r="695" spans="19:19" x14ac:dyDescent="0.2">
      <c r="S695" s="96"/>
    </row>
    <row r="696" spans="19:19" x14ac:dyDescent="0.2">
      <c r="S696" s="96"/>
    </row>
    <row r="697" spans="19:19" x14ac:dyDescent="0.2">
      <c r="S697" s="96"/>
    </row>
    <row r="698" spans="19:19" x14ac:dyDescent="0.2">
      <c r="S698" s="96"/>
    </row>
    <row r="699" spans="19:19" x14ac:dyDescent="0.2">
      <c r="S699" s="96"/>
    </row>
    <row r="700" spans="19:19" x14ac:dyDescent="0.2">
      <c r="S700" s="96"/>
    </row>
    <row r="701" spans="19:19" x14ac:dyDescent="0.2">
      <c r="S701" s="96"/>
    </row>
    <row r="702" spans="19:19" x14ac:dyDescent="0.2">
      <c r="S702" s="96"/>
    </row>
    <row r="703" spans="19:19" x14ac:dyDescent="0.2">
      <c r="S703" s="96"/>
    </row>
    <row r="704" spans="19:19" x14ac:dyDescent="0.2">
      <c r="S704" s="96"/>
    </row>
    <row r="705" spans="19:19" x14ac:dyDescent="0.2">
      <c r="S705" s="96"/>
    </row>
    <row r="706" spans="19:19" x14ac:dyDescent="0.2">
      <c r="S706" s="96"/>
    </row>
    <row r="707" spans="19:19" x14ac:dyDescent="0.2">
      <c r="S707" s="96"/>
    </row>
    <row r="708" spans="19:19" x14ac:dyDescent="0.2">
      <c r="S708" s="96"/>
    </row>
    <row r="709" spans="19:19" x14ac:dyDescent="0.2">
      <c r="S709" s="96"/>
    </row>
    <row r="710" spans="19:19" x14ac:dyDescent="0.2">
      <c r="S710" s="96"/>
    </row>
    <row r="711" spans="19:19" x14ac:dyDescent="0.2">
      <c r="S711" s="96"/>
    </row>
    <row r="712" spans="19:19" x14ac:dyDescent="0.2">
      <c r="S712" s="96"/>
    </row>
    <row r="713" spans="19:19" x14ac:dyDescent="0.2">
      <c r="S713" s="96"/>
    </row>
    <row r="714" spans="19:19" x14ac:dyDescent="0.2">
      <c r="S714" s="96"/>
    </row>
    <row r="715" spans="19:19" x14ac:dyDescent="0.2">
      <c r="S715" s="96"/>
    </row>
    <row r="716" spans="19:19" x14ac:dyDescent="0.2">
      <c r="S716" s="96"/>
    </row>
    <row r="717" spans="19:19" x14ac:dyDescent="0.2">
      <c r="S717" s="96"/>
    </row>
    <row r="718" spans="19:19" x14ac:dyDescent="0.2">
      <c r="S718" s="96"/>
    </row>
    <row r="719" spans="19:19" x14ac:dyDescent="0.2">
      <c r="S719" s="96"/>
    </row>
    <row r="720" spans="19:19" x14ac:dyDescent="0.2">
      <c r="S720" s="96"/>
    </row>
    <row r="721" spans="19:19" x14ac:dyDescent="0.2">
      <c r="S721" s="96"/>
    </row>
    <row r="722" spans="19:19" x14ac:dyDescent="0.2">
      <c r="S722" s="96"/>
    </row>
    <row r="723" spans="19:19" x14ac:dyDescent="0.2">
      <c r="S723" s="96"/>
    </row>
    <row r="724" spans="19:19" x14ac:dyDescent="0.2">
      <c r="S724" s="96"/>
    </row>
    <row r="725" spans="19:19" x14ac:dyDescent="0.2">
      <c r="S725" s="96"/>
    </row>
    <row r="726" spans="19:19" x14ac:dyDescent="0.2">
      <c r="S726" s="96"/>
    </row>
    <row r="727" spans="19:19" x14ac:dyDescent="0.2">
      <c r="S727" s="96"/>
    </row>
    <row r="728" spans="19:19" x14ac:dyDescent="0.2">
      <c r="S728" s="96"/>
    </row>
    <row r="729" spans="19:19" x14ac:dyDescent="0.2">
      <c r="S729" s="96"/>
    </row>
    <row r="730" spans="19:19" x14ac:dyDescent="0.2">
      <c r="S730" s="96"/>
    </row>
    <row r="731" spans="19:19" x14ac:dyDescent="0.2">
      <c r="S731" s="96"/>
    </row>
    <row r="732" spans="19:19" x14ac:dyDescent="0.2">
      <c r="S732" s="96"/>
    </row>
    <row r="733" spans="19:19" x14ac:dyDescent="0.2">
      <c r="S733" s="96"/>
    </row>
    <row r="734" spans="19:19" x14ac:dyDescent="0.2">
      <c r="S734" s="96"/>
    </row>
    <row r="735" spans="19:19" x14ac:dyDescent="0.2">
      <c r="S735" s="96"/>
    </row>
    <row r="736" spans="19:19" x14ac:dyDescent="0.2">
      <c r="S736" s="96"/>
    </row>
    <row r="737" spans="19:19" x14ac:dyDescent="0.2">
      <c r="S737" s="96"/>
    </row>
    <row r="738" spans="19:19" x14ac:dyDescent="0.2">
      <c r="S738" s="96"/>
    </row>
    <row r="739" spans="19:19" x14ac:dyDescent="0.2">
      <c r="S739" s="96"/>
    </row>
    <row r="740" spans="19:19" x14ac:dyDescent="0.2">
      <c r="S740" s="96"/>
    </row>
    <row r="741" spans="19:19" x14ac:dyDescent="0.2">
      <c r="S741" s="96"/>
    </row>
    <row r="742" spans="19:19" x14ac:dyDescent="0.2">
      <c r="S742" s="96"/>
    </row>
    <row r="743" spans="19:19" x14ac:dyDescent="0.2">
      <c r="S743" s="96"/>
    </row>
    <row r="744" spans="19:19" x14ac:dyDescent="0.2">
      <c r="S744" s="96"/>
    </row>
    <row r="745" spans="19:19" x14ac:dyDescent="0.2">
      <c r="S745" s="96"/>
    </row>
    <row r="746" spans="19:19" x14ac:dyDescent="0.2">
      <c r="S746" s="96"/>
    </row>
    <row r="747" spans="19:19" x14ac:dyDescent="0.2">
      <c r="S747" s="96"/>
    </row>
    <row r="748" spans="19:19" x14ac:dyDescent="0.2">
      <c r="S748" s="96"/>
    </row>
    <row r="749" spans="19:19" x14ac:dyDescent="0.2">
      <c r="S749" s="96"/>
    </row>
    <row r="750" spans="19:19" x14ac:dyDescent="0.2">
      <c r="S750" s="96"/>
    </row>
    <row r="751" spans="19:19" x14ac:dyDescent="0.2">
      <c r="S751" s="96"/>
    </row>
    <row r="752" spans="19:19" x14ac:dyDescent="0.2">
      <c r="S752" s="96"/>
    </row>
    <row r="753" spans="19:19" x14ac:dyDescent="0.2">
      <c r="S753" s="96"/>
    </row>
    <row r="754" spans="19:19" x14ac:dyDescent="0.2">
      <c r="S754" s="96"/>
    </row>
    <row r="755" spans="19:19" x14ac:dyDescent="0.2">
      <c r="S755" s="96"/>
    </row>
    <row r="756" spans="19:19" x14ac:dyDescent="0.2">
      <c r="S756" s="96"/>
    </row>
    <row r="757" spans="19:19" x14ac:dyDescent="0.2">
      <c r="S757" s="96"/>
    </row>
    <row r="758" spans="19:19" x14ac:dyDescent="0.2">
      <c r="S758" s="96"/>
    </row>
    <row r="759" spans="19:19" x14ac:dyDescent="0.2">
      <c r="S759" s="96"/>
    </row>
    <row r="760" spans="19:19" x14ac:dyDescent="0.2">
      <c r="S760" s="96"/>
    </row>
    <row r="761" spans="19:19" x14ac:dyDescent="0.2">
      <c r="S761" s="96"/>
    </row>
    <row r="762" spans="19:19" x14ac:dyDescent="0.2">
      <c r="S762" s="96"/>
    </row>
    <row r="763" spans="19:19" x14ac:dyDescent="0.2">
      <c r="S763" s="96"/>
    </row>
    <row r="764" spans="19:19" x14ac:dyDescent="0.2">
      <c r="S764" s="96"/>
    </row>
    <row r="765" spans="19:19" x14ac:dyDescent="0.2">
      <c r="S765" s="96"/>
    </row>
    <row r="766" spans="19:19" x14ac:dyDescent="0.2">
      <c r="S766" s="96"/>
    </row>
    <row r="767" spans="19:19" x14ac:dyDescent="0.2">
      <c r="S767" s="96"/>
    </row>
    <row r="768" spans="19:19" x14ac:dyDescent="0.2">
      <c r="S768" s="96"/>
    </row>
    <row r="769" spans="19:19" x14ac:dyDescent="0.2">
      <c r="S769" s="96"/>
    </row>
    <row r="770" spans="19:19" x14ac:dyDescent="0.2">
      <c r="S770" s="96"/>
    </row>
    <row r="771" spans="19:19" x14ac:dyDescent="0.2">
      <c r="S771" s="96"/>
    </row>
    <row r="772" spans="19:19" x14ac:dyDescent="0.2">
      <c r="S772" s="96"/>
    </row>
    <row r="773" spans="19:19" x14ac:dyDescent="0.2">
      <c r="S773" s="96"/>
    </row>
    <row r="774" spans="19:19" x14ac:dyDescent="0.2">
      <c r="S774" s="96"/>
    </row>
    <row r="775" spans="19:19" x14ac:dyDescent="0.2">
      <c r="S775" s="96"/>
    </row>
    <row r="776" spans="19:19" x14ac:dyDescent="0.2">
      <c r="S776" s="96"/>
    </row>
    <row r="777" spans="19:19" x14ac:dyDescent="0.2">
      <c r="S777" s="96"/>
    </row>
    <row r="778" spans="19:19" x14ac:dyDescent="0.2">
      <c r="S778" s="96"/>
    </row>
    <row r="779" spans="19:19" x14ac:dyDescent="0.2">
      <c r="S779" s="96"/>
    </row>
    <row r="780" spans="19:19" x14ac:dyDescent="0.2">
      <c r="S780" s="96"/>
    </row>
    <row r="781" spans="19:19" x14ac:dyDescent="0.2">
      <c r="S781" s="96"/>
    </row>
    <row r="782" spans="19:19" x14ac:dyDescent="0.2">
      <c r="S782" s="96"/>
    </row>
    <row r="783" spans="19:19" x14ac:dyDescent="0.2">
      <c r="S783" s="96"/>
    </row>
    <row r="784" spans="19:19" x14ac:dyDescent="0.2">
      <c r="S784" s="96"/>
    </row>
    <row r="785" spans="19:19" x14ac:dyDescent="0.2">
      <c r="S785" s="96"/>
    </row>
    <row r="786" spans="19:19" x14ac:dyDescent="0.2">
      <c r="S786" s="96"/>
    </row>
    <row r="787" spans="19:19" x14ac:dyDescent="0.2">
      <c r="S787" s="96"/>
    </row>
    <row r="788" spans="19:19" x14ac:dyDescent="0.2">
      <c r="S788" s="96"/>
    </row>
    <row r="789" spans="19:19" x14ac:dyDescent="0.2">
      <c r="S789" s="96"/>
    </row>
    <row r="790" spans="19:19" x14ac:dyDescent="0.2">
      <c r="S790" s="96"/>
    </row>
    <row r="791" spans="19:19" x14ac:dyDescent="0.2">
      <c r="S791" s="96"/>
    </row>
    <row r="792" spans="19:19" x14ac:dyDescent="0.2">
      <c r="S792" s="96"/>
    </row>
  </sheetData>
  <sheetProtection sheet="1" objects="1" scenarios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436"/>
  <sheetViews>
    <sheetView workbookViewId="0">
      <selection activeCell="B10" sqref="B10"/>
    </sheetView>
  </sheetViews>
  <sheetFormatPr defaultRowHeight="12.75" x14ac:dyDescent="0.2"/>
  <cols>
    <col min="2" max="2" width="10.7109375" customWidth="1"/>
    <col min="5" max="5" width="10.7109375" customWidth="1"/>
    <col min="6" max="6" width="12.42578125" bestFit="1" customWidth="1"/>
  </cols>
  <sheetData>
    <row r="1" spans="1:35" ht="18.75" thickBot="1" x14ac:dyDescent="0.25">
      <c r="A1" s="44" t="s">
        <v>5</v>
      </c>
      <c r="B1" s="45"/>
      <c r="C1" s="45"/>
      <c r="D1" s="46" t="s">
        <v>103</v>
      </c>
      <c r="E1" s="45"/>
      <c r="F1" s="45"/>
      <c r="G1" s="45"/>
      <c r="H1" s="45"/>
      <c r="I1" s="45"/>
      <c r="J1" s="45"/>
      <c r="K1" s="45"/>
      <c r="L1" s="45"/>
      <c r="M1" s="47" t="s">
        <v>104</v>
      </c>
      <c r="N1" s="45" t="s">
        <v>105</v>
      </c>
      <c r="O1" s="45">
        <f ca="1">H18*J18-I18*I18</f>
        <v>263499.89052688982</v>
      </c>
      <c r="P1" s="45" t="s">
        <v>12</v>
      </c>
      <c r="Q1" s="45"/>
      <c r="R1" s="45"/>
      <c r="S1" s="45"/>
      <c r="T1" s="45"/>
      <c r="U1" s="8" t="s">
        <v>161</v>
      </c>
      <c r="V1" s="73" t="s">
        <v>163</v>
      </c>
      <c r="W1" s="45"/>
      <c r="X1" s="45"/>
      <c r="Y1" s="45"/>
      <c r="Z1" s="45"/>
      <c r="AA1" s="45">
        <v>1</v>
      </c>
      <c r="AB1" s="45" t="s">
        <v>106</v>
      </c>
      <c r="AC1" s="45"/>
      <c r="AD1" s="45"/>
      <c r="AE1" s="45"/>
      <c r="AF1" s="45"/>
      <c r="AG1" s="45"/>
      <c r="AH1" s="45"/>
      <c r="AI1" s="45"/>
    </row>
    <row r="2" spans="1:3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7" t="s">
        <v>107</v>
      </c>
      <c r="N2" s="45" t="s">
        <v>108</v>
      </c>
      <c r="O2" s="45">
        <f ca="1">+F18*J18-H18*I18</f>
        <v>6058.6907892748713</v>
      </c>
      <c r="P2" s="45" t="s">
        <v>13</v>
      </c>
      <c r="Q2" s="45"/>
      <c r="R2" s="45"/>
      <c r="S2" s="45"/>
      <c r="T2" s="45"/>
      <c r="U2" s="45">
        <v>-5</v>
      </c>
      <c r="V2" s="45">
        <f t="shared" ref="V2:V32" ca="1" si="0">+E$4+E$5*U2+E$6*U2^2</f>
        <v>7.0593954605279008E-2</v>
      </c>
      <c r="W2" s="45"/>
      <c r="X2" s="45"/>
      <c r="Y2" s="45"/>
      <c r="Z2" s="45"/>
      <c r="AA2" s="45">
        <v>2</v>
      </c>
      <c r="AB2" s="45" t="s">
        <v>46</v>
      </c>
      <c r="AC2" s="45"/>
      <c r="AD2" s="45"/>
      <c r="AE2" s="45"/>
      <c r="AF2" s="45"/>
      <c r="AG2" s="45"/>
      <c r="AH2" s="45"/>
      <c r="AI2" s="45"/>
    </row>
    <row r="3" spans="1:35" ht="13.5" thickBot="1" x14ac:dyDescent="0.25">
      <c r="A3" s="45" t="s">
        <v>109</v>
      </c>
      <c r="B3" s="45" t="s">
        <v>110</v>
      </c>
      <c r="C3" s="45"/>
      <c r="D3" s="45"/>
      <c r="E3" s="42" t="s">
        <v>111</v>
      </c>
      <c r="F3" s="42" t="s">
        <v>112</v>
      </c>
      <c r="G3" s="42" t="s">
        <v>113</v>
      </c>
      <c r="H3" s="42" t="s">
        <v>114</v>
      </c>
      <c r="I3" s="45"/>
      <c r="J3" s="45"/>
      <c r="K3" s="45"/>
      <c r="L3" s="45"/>
      <c r="M3" s="47" t="s">
        <v>115</v>
      </c>
      <c r="N3" s="45" t="s">
        <v>116</v>
      </c>
      <c r="O3" s="45">
        <f ca="1">+F18*I18-H18*H18</f>
        <v>-39169.687026381434</v>
      </c>
      <c r="P3" s="45" t="s">
        <v>14</v>
      </c>
      <c r="Q3" s="45"/>
      <c r="R3" s="45"/>
      <c r="S3" s="45"/>
      <c r="T3" s="45"/>
      <c r="U3" s="45">
        <v>-4.8</v>
      </c>
      <c r="V3" s="45">
        <f t="shared" ca="1" si="0"/>
        <v>6.5652568692210145E-2</v>
      </c>
      <c r="W3" s="45"/>
      <c r="X3" s="45"/>
      <c r="Y3" s="45"/>
      <c r="Z3" s="45"/>
      <c r="AA3" s="45">
        <v>3</v>
      </c>
      <c r="AB3" s="45" t="s">
        <v>117</v>
      </c>
      <c r="AC3" s="45"/>
      <c r="AD3" s="45"/>
      <c r="AE3" s="45"/>
      <c r="AF3" s="45"/>
      <c r="AG3" s="45"/>
      <c r="AH3" s="45"/>
      <c r="AI3" s="45"/>
    </row>
    <row r="4" spans="1:35" x14ac:dyDescent="0.2">
      <c r="A4" s="45" t="s">
        <v>118</v>
      </c>
      <c r="B4" s="45" t="s">
        <v>119</v>
      </c>
      <c r="C4" s="45"/>
      <c r="D4" s="48" t="s">
        <v>120</v>
      </c>
      <c r="E4" s="49">
        <f ca="1">(G18*O1-K18*O2+L18*O3)/O7</f>
        <v>-1.8835301514952627E-3</v>
      </c>
      <c r="F4" s="50">
        <f ca="1">+E7/O7*O18</f>
        <v>5.4930779736532098E-4</v>
      </c>
      <c r="G4" s="51">
        <f>+B18</f>
        <v>1</v>
      </c>
      <c r="H4" s="52">
        <f ca="1">ABS(F4/E4)</f>
        <v>0.29163737938001494</v>
      </c>
      <c r="I4" s="45"/>
      <c r="J4" s="45"/>
      <c r="K4" s="45"/>
      <c r="L4" s="45"/>
      <c r="M4" s="47" t="s">
        <v>121</v>
      </c>
      <c r="N4" s="45" t="s">
        <v>122</v>
      </c>
      <c r="O4" s="45">
        <f ca="1">+C18*J18-H18*H18</f>
        <v>286354.19771372195</v>
      </c>
      <c r="P4" s="45" t="s">
        <v>15</v>
      </c>
      <c r="Q4" s="45"/>
      <c r="R4" s="45"/>
      <c r="S4" s="45"/>
      <c r="T4" s="45"/>
      <c r="U4" s="45">
        <v>-4.5999999999999996</v>
      </c>
      <c r="V4" s="45">
        <f t="shared" ca="1" si="0"/>
        <v>6.0881373322707759E-2</v>
      </c>
      <c r="W4" s="45"/>
      <c r="X4" s="45"/>
      <c r="Y4" s="45"/>
      <c r="Z4" s="45"/>
      <c r="AA4" s="45">
        <v>4</v>
      </c>
      <c r="AB4" s="45" t="s">
        <v>123</v>
      </c>
      <c r="AC4" s="45"/>
      <c r="AD4" s="45"/>
      <c r="AE4" s="45"/>
      <c r="AF4" s="45"/>
      <c r="AG4" s="45"/>
      <c r="AH4" s="45"/>
      <c r="AI4" s="45"/>
    </row>
    <row r="5" spans="1:35" x14ac:dyDescent="0.2">
      <c r="A5" s="45" t="s">
        <v>124</v>
      </c>
      <c r="B5" s="53">
        <v>40323</v>
      </c>
      <c r="C5" s="45"/>
      <c r="D5" s="54" t="s">
        <v>125</v>
      </c>
      <c r="E5" s="55">
        <f ca="1">+(-G18*O2+K18*O4-L18*O5)/O7</f>
        <v>-3.8585879784491283E-3</v>
      </c>
      <c r="F5" s="56">
        <f ca="1">P18*E7/O7</f>
        <v>5.7351752057099956E-4</v>
      </c>
      <c r="G5" s="57">
        <f>+B18/A18</f>
        <v>1E-4</v>
      </c>
      <c r="H5" s="52">
        <f ca="1">ABS(F5/E5)</f>
        <v>0.14863404016551979</v>
      </c>
      <c r="I5" s="45"/>
      <c r="J5" s="45"/>
      <c r="K5" s="45"/>
      <c r="L5" s="45"/>
      <c r="M5" s="47" t="s">
        <v>126</v>
      </c>
      <c r="N5" s="45" t="s">
        <v>127</v>
      </c>
      <c r="O5" s="45">
        <f ca="1">+C18*I18-F18*H18</f>
        <v>-99085.824629858005</v>
      </c>
      <c r="P5" s="45" t="s">
        <v>16</v>
      </c>
      <c r="Q5" s="45"/>
      <c r="R5" s="45"/>
      <c r="S5" s="45"/>
      <c r="T5" s="45"/>
      <c r="U5" s="45">
        <v>-4.4000000000000004</v>
      </c>
      <c r="V5" s="45">
        <f t="shared" ca="1" si="0"/>
        <v>5.6280368496771885E-2</v>
      </c>
      <c r="W5" s="45"/>
      <c r="X5" s="45"/>
      <c r="Y5" s="45"/>
      <c r="Z5" s="45"/>
      <c r="AA5" s="45">
        <v>5</v>
      </c>
      <c r="AB5" s="45" t="s">
        <v>128</v>
      </c>
      <c r="AC5" s="45"/>
      <c r="AD5" s="45"/>
      <c r="AE5" s="45"/>
      <c r="AF5" s="45"/>
      <c r="AG5" s="45"/>
      <c r="AH5" s="45"/>
      <c r="AI5" s="45"/>
    </row>
    <row r="6" spans="1:35" ht="13.5" thickBot="1" x14ac:dyDescent="0.25">
      <c r="A6" s="45"/>
      <c r="B6" s="45"/>
      <c r="C6" s="45"/>
      <c r="D6" s="58" t="s">
        <v>129</v>
      </c>
      <c r="E6" s="59">
        <f ca="1">+(G18*O3-K18*O5+L18*O6)/O7</f>
        <v>2.1273817945811455E-3</v>
      </c>
      <c r="F6" s="60">
        <f ca="1">Q18*E7/O7</f>
        <v>2.2999662877156487E-4</v>
      </c>
      <c r="G6" s="61">
        <f>+B18/A18^2</f>
        <v>1E-8</v>
      </c>
      <c r="H6" s="52">
        <f ca="1">ABS(F6/E6)</f>
        <v>0.10811253032126671</v>
      </c>
      <c r="I6" s="45"/>
      <c r="J6" s="45"/>
      <c r="K6" s="45"/>
      <c r="L6" s="45"/>
      <c r="M6" s="62" t="s">
        <v>130</v>
      </c>
      <c r="N6" s="63" t="s">
        <v>131</v>
      </c>
      <c r="O6" s="63">
        <f ca="1">+C18*H18-F18*F18</f>
        <v>46111.359999252702</v>
      </c>
      <c r="P6" s="45" t="s">
        <v>17</v>
      </c>
      <c r="Q6" s="45"/>
      <c r="R6" s="45"/>
      <c r="S6" s="45"/>
      <c r="T6" s="45"/>
      <c r="U6" s="45">
        <v>-4.2</v>
      </c>
      <c r="V6" s="45">
        <f t="shared" ca="1" si="0"/>
        <v>5.1849554214402481E-2</v>
      </c>
      <c r="W6" s="45"/>
      <c r="X6" s="45"/>
      <c r="Y6" s="45"/>
      <c r="Z6" s="45"/>
      <c r="AA6" s="45">
        <v>6</v>
      </c>
      <c r="AB6" s="45" t="s">
        <v>132</v>
      </c>
      <c r="AC6" s="45"/>
      <c r="AD6" s="45"/>
      <c r="AE6" s="45"/>
      <c r="AF6" s="45"/>
      <c r="AG6" s="45"/>
      <c r="AH6" s="45"/>
      <c r="AI6" s="45"/>
    </row>
    <row r="7" spans="1:35" x14ac:dyDescent="0.2">
      <c r="A7" s="45"/>
      <c r="B7" s="45"/>
      <c r="C7" s="45"/>
      <c r="D7" s="46" t="s">
        <v>133</v>
      </c>
      <c r="E7" s="64">
        <f ca="1">SQRT(N18/(B15-3))</f>
        <v>5.0748585410105504E-3</v>
      </c>
      <c r="F7" s="45"/>
      <c r="G7" s="65">
        <f>+B22</f>
        <v>4.3323263998900075E-2</v>
      </c>
      <c r="H7" s="45"/>
      <c r="I7" s="45"/>
      <c r="J7" s="45"/>
      <c r="K7" s="45"/>
      <c r="L7" s="45"/>
      <c r="M7" s="47" t="s">
        <v>134</v>
      </c>
      <c r="N7" s="45" t="s">
        <v>135</v>
      </c>
      <c r="O7" s="45">
        <f ca="1">+C18*O1-F18*O2+H18*O3</f>
        <v>22321561.341434684</v>
      </c>
      <c r="P7" s="45"/>
      <c r="Q7" s="45"/>
      <c r="R7" s="45"/>
      <c r="S7" s="45"/>
      <c r="T7" s="45"/>
      <c r="U7" s="45">
        <v>-4</v>
      </c>
      <c r="V7" s="45">
        <f t="shared" ca="1" si="0"/>
        <v>4.7588930475599575E-2</v>
      </c>
      <c r="W7" s="45"/>
      <c r="X7" s="45"/>
      <c r="Y7" s="45"/>
      <c r="Z7" s="45"/>
      <c r="AA7" s="45">
        <v>7</v>
      </c>
      <c r="AB7" s="45" t="s">
        <v>136</v>
      </c>
      <c r="AC7" s="45"/>
      <c r="AD7" s="45"/>
      <c r="AE7" s="45"/>
      <c r="AF7" s="45"/>
      <c r="AG7" s="45"/>
      <c r="AH7" s="45"/>
      <c r="AI7" s="45"/>
    </row>
    <row r="8" spans="1:35" x14ac:dyDescent="0.2">
      <c r="A8" s="69">
        <v>21</v>
      </c>
      <c r="B8" s="45" t="s">
        <v>141</v>
      </c>
      <c r="C8" s="152">
        <v>21</v>
      </c>
      <c r="D8" s="46" t="s">
        <v>137</v>
      </c>
      <c r="E8" s="45"/>
      <c r="F8" s="153">
        <f ca="1">CORREL(INDIRECT(E12):INDIRECT(E13),INDIRECT(M12):INDIRECT(M13))</f>
        <v>0.90955297982494676</v>
      </c>
      <c r="G8" s="64"/>
      <c r="H8" s="45"/>
      <c r="I8" s="45"/>
      <c r="J8" s="45"/>
      <c r="K8" s="65"/>
      <c r="L8" s="45"/>
      <c r="M8" s="45"/>
      <c r="N8" s="45"/>
      <c r="O8" s="45"/>
      <c r="P8" s="45"/>
      <c r="Q8" s="45"/>
      <c r="R8" s="45"/>
      <c r="S8" s="45"/>
      <c r="T8" s="45"/>
      <c r="U8" s="45">
        <v>-3.8</v>
      </c>
      <c r="V8" s="45">
        <f t="shared" ca="1" si="0"/>
        <v>4.349849728036316E-2</v>
      </c>
      <c r="W8" s="45"/>
      <c r="X8" s="45"/>
      <c r="Y8" s="45"/>
      <c r="Z8" s="45"/>
      <c r="AA8" s="45">
        <v>8</v>
      </c>
      <c r="AB8" s="45" t="s">
        <v>138</v>
      </c>
      <c r="AC8" s="45"/>
      <c r="AD8" s="45"/>
      <c r="AE8" s="45"/>
      <c r="AF8" s="45"/>
      <c r="AG8" s="45"/>
      <c r="AH8" s="45"/>
      <c r="AI8" s="45"/>
    </row>
    <row r="9" spans="1:35" x14ac:dyDescent="0.2">
      <c r="A9" s="69">
        <f>20+COUNT(A21:A1441)</f>
        <v>187</v>
      </c>
      <c r="B9" s="45" t="s">
        <v>143</v>
      </c>
      <c r="C9" s="152">
        <f>A9</f>
        <v>187</v>
      </c>
      <c r="D9" s="45"/>
      <c r="E9" s="66">
        <f ca="1">E6*G6</f>
        <v>2.1273817945811455E-11</v>
      </c>
      <c r="F9" s="67">
        <f ca="1">H6</f>
        <v>0.10811253032126671</v>
      </c>
      <c r="G9" s="68">
        <f ca="1">F8</f>
        <v>0.90955297982494676</v>
      </c>
      <c r="H9" s="45"/>
      <c r="I9" s="45"/>
      <c r="J9" s="45"/>
      <c r="K9" s="65"/>
      <c r="L9" s="45"/>
      <c r="M9" s="45"/>
      <c r="N9" s="45"/>
      <c r="O9" s="45"/>
      <c r="P9" s="45"/>
      <c r="Q9" s="45"/>
      <c r="R9" s="45"/>
      <c r="S9" s="45"/>
      <c r="T9" s="45"/>
      <c r="U9" s="45">
        <v>-3.6</v>
      </c>
      <c r="V9" s="45">
        <f t="shared" ca="1" si="0"/>
        <v>3.9578254628693244E-2</v>
      </c>
      <c r="W9" s="45"/>
      <c r="X9" s="45"/>
      <c r="Y9" s="45"/>
      <c r="Z9" s="45"/>
      <c r="AA9" s="45">
        <v>9</v>
      </c>
      <c r="AB9" s="45" t="s">
        <v>53</v>
      </c>
      <c r="AC9" s="45"/>
      <c r="AD9" s="45"/>
      <c r="AE9" s="45"/>
      <c r="AF9" s="45"/>
      <c r="AG9" s="45"/>
      <c r="AH9" s="45"/>
      <c r="AI9" s="45"/>
    </row>
    <row r="10" spans="1:35" x14ac:dyDescent="0.2">
      <c r="A10" s="90" t="s">
        <v>21</v>
      </c>
      <c r="B10" s="92">
        <f>Active!C8</f>
        <v>0.350067933</v>
      </c>
      <c r="C10" s="45"/>
      <c r="D10" s="45" t="s">
        <v>6</v>
      </c>
      <c r="E10" s="45">
        <f ca="1">2*E9*365.2422/B10</f>
        <v>4.4391932744823317E-8</v>
      </c>
      <c r="F10">
        <f ca="1">+F9*E10</f>
        <v>4.7993241748943434E-9</v>
      </c>
      <c r="G10" s="45" t="s">
        <v>7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>
        <v>-3.4</v>
      </c>
      <c r="V10" s="45">
        <f t="shared" ca="1" si="0"/>
        <v>3.5828202520589811E-2</v>
      </c>
      <c r="W10" s="45"/>
      <c r="X10" s="45"/>
      <c r="Y10" s="45"/>
      <c r="Z10" s="45"/>
      <c r="AA10" s="45">
        <v>10</v>
      </c>
      <c r="AB10" s="45" t="s">
        <v>139</v>
      </c>
      <c r="AC10" s="45"/>
      <c r="AD10" s="45"/>
      <c r="AE10" s="45"/>
      <c r="AF10" s="45"/>
      <c r="AG10" s="45"/>
      <c r="AH10" s="45"/>
      <c r="AI10" s="45"/>
    </row>
    <row r="11" spans="1:35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>
        <v>-3.2</v>
      </c>
      <c r="V11" s="45">
        <f t="shared" ca="1" si="0"/>
        <v>3.2248340956052883E-2</v>
      </c>
      <c r="W11" s="45"/>
      <c r="X11" s="45"/>
      <c r="Y11" s="45"/>
      <c r="Z11" s="45"/>
      <c r="AA11" s="45">
        <v>11</v>
      </c>
      <c r="AB11" s="45" t="s">
        <v>140</v>
      </c>
      <c r="AC11" s="45"/>
      <c r="AD11" s="45"/>
      <c r="AE11" s="45"/>
      <c r="AF11" s="45"/>
      <c r="AG11" s="45"/>
      <c r="AH11" s="45"/>
      <c r="AI11" s="45"/>
    </row>
    <row r="12" spans="1:35" x14ac:dyDescent="0.2">
      <c r="A12" s="45"/>
      <c r="B12" s="45"/>
      <c r="C12" s="5" t="str">
        <f t="shared" ref="C12:Q13" si="1">C$15&amp;$C8</f>
        <v>C21</v>
      </c>
      <c r="D12" s="5" t="str">
        <f t="shared" si="1"/>
        <v>D21</v>
      </c>
      <c r="E12" s="5" t="str">
        <f t="shared" si="1"/>
        <v>E21</v>
      </c>
      <c r="F12" s="5" t="str">
        <f t="shared" si="1"/>
        <v>F21</v>
      </c>
      <c r="G12" s="5" t="str">
        <f t="shared" ref="G12:Q12" si="2">G15&amp;$C8</f>
        <v>G21</v>
      </c>
      <c r="H12" s="5" t="str">
        <f t="shared" si="2"/>
        <v>H21</v>
      </c>
      <c r="I12" s="5" t="str">
        <f t="shared" si="2"/>
        <v>I21</v>
      </c>
      <c r="J12" s="5" t="str">
        <f t="shared" si="2"/>
        <v>J21</v>
      </c>
      <c r="K12" s="5" t="str">
        <f t="shared" si="2"/>
        <v>K21</v>
      </c>
      <c r="L12" s="5" t="str">
        <f t="shared" si="2"/>
        <v>L21</v>
      </c>
      <c r="M12" s="5" t="str">
        <f t="shared" si="2"/>
        <v>M21</v>
      </c>
      <c r="N12" s="5" t="str">
        <f t="shared" si="2"/>
        <v>N21</v>
      </c>
      <c r="O12" s="5" t="str">
        <f t="shared" si="2"/>
        <v>O21</v>
      </c>
      <c r="P12" s="5" t="str">
        <f t="shared" si="2"/>
        <v>P21</v>
      </c>
      <c r="Q12" s="5" t="str">
        <f t="shared" si="2"/>
        <v>Q21</v>
      </c>
      <c r="R12" s="45"/>
      <c r="S12" s="45"/>
      <c r="T12" s="45"/>
      <c r="U12" s="45">
        <v>-3</v>
      </c>
      <c r="V12" s="45">
        <f t="shared" ca="1" si="0"/>
        <v>2.8838669935082432E-2</v>
      </c>
      <c r="W12" s="45"/>
      <c r="X12" s="45"/>
      <c r="Y12" s="45"/>
      <c r="Z12" s="45"/>
      <c r="AA12" s="45">
        <v>12</v>
      </c>
      <c r="AB12" s="45" t="s">
        <v>142</v>
      </c>
      <c r="AC12" s="45"/>
      <c r="AD12" s="45"/>
      <c r="AE12" s="45"/>
      <c r="AF12" s="45"/>
      <c r="AG12" s="45"/>
      <c r="AH12" s="45"/>
      <c r="AI12" s="45"/>
    </row>
    <row r="13" spans="1:35" x14ac:dyDescent="0.2">
      <c r="A13" s="45"/>
      <c r="B13" s="45"/>
      <c r="C13" s="5" t="str">
        <f t="shared" si="1"/>
        <v>C187</v>
      </c>
      <c r="D13" s="5" t="str">
        <f t="shared" si="1"/>
        <v>D187</v>
      </c>
      <c r="E13" s="5" t="str">
        <f t="shared" si="1"/>
        <v>E187</v>
      </c>
      <c r="F13" s="5" t="str">
        <f t="shared" si="1"/>
        <v>F187</v>
      </c>
      <c r="G13" s="5" t="str">
        <f t="shared" si="1"/>
        <v>G187</v>
      </c>
      <c r="H13" s="5" t="str">
        <f t="shared" si="1"/>
        <v>H187</v>
      </c>
      <c r="I13" s="5" t="str">
        <f t="shared" si="1"/>
        <v>I187</v>
      </c>
      <c r="J13" s="5" t="str">
        <f t="shared" si="1"/>
        <v>J187</v>
      </c>
      <c r="K13" s="5" t="str">
        <f t="shared" si="1"/>
        <v>K187</v>
      </c>
      <c r="L13" s="5" t="str">
        <f t="shared" si="1"/>
        <v>L187</v>
      </c>
      <c r="M13" s="5" t="str">
        <f t="shared" si="1"/>
        <v>M187</v>
      </c>
      <c r="N13" s="5" t="str">
        <f t="shared" si="1"/>
        <v>N187</v>
      </c>
      <c r="O13" s="5" t="str">
        <f t="shared" si="1"/>
        <v>O187</v>
      </c>
      <c r="P13" s="5" t="str">
        <f t="shared" si="1"/>
        <v>P187</v>
      </c>
      <c r="Q13" s="5" t="str">
        <f t="shared" si="1"/>
        <v>Q187</v>
      </c>
      <c r="R13" s="45"/>
      <c r="S13" s="45"/>
      <c r="T13" s="45"/>
      <c r="U13" s="45">
        <v>-2.8</v>
      </c>
      <c r="V13" s="45">
        <f t="shared" ca="1" si="0"/>
        <v>2.5599189457678473E-2</v>
      </c>
      <c r="W13" s="45"/>
      <c r="X13" s="45"/>
      <c r="Y13" s="45"/>
      <c r="Z13" s="45"/>
      <c r="AA13" s="45">
        <v>13</v>
      </c>
      <c r="AB13" s="45" t="s">
        <v>144</v>
      </c>
      <c r="AC13" s="45"/>
      <c r="AD13" s="45"/>
      <c r="AE13" s="45"/>
      <c r="AF13" s="45"/>
      <c r="AG13" s="45"/>
      <c r="AH13" s="45"/>
      <c r="AI13" s="45"/>
    </row>
    <row r="14" spans="1:3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>
        <v>-2.6</v>
      </c>
      <c r="V14" s="45">
        <f t="shared" ca="1" si="0"/>
        <v>2.2529899523841018E-2</v>
      </c>
      <c r="W14" s="45"/>
      <c r="X14" s="45"/>
      <c r="Y14" s="45"/>
      <c r="Z14" s="45"/>
      <c r="AA14" s="45">
        <v>14</v>
      </c>
      <c r="AB14" s="45" t="s">
        <v>145</v>
      </c>
      <c r="AC14" s="45"/>
      <c r="AD14" s="45"/>
      <c r="AE14" s="45"/>
      <c r="AF14" s="45"/>
      <c r="AG14" s="45"/>
      <c r="AH14" s="45"/>
      <c r="AI14" s="45"/>
    </row>
    <row r="15" spans="1:35" x14ac:dyDescent="0.2">
      <c r="A15" s="46" t="s">
        <v>149</v>
      </c>
      <c r="B15" s="46">
        <f>C9-C8+1</f>
        <v>167</v>
      </c>
      <c r="C15" s="5" t="str">
        <f t="shared" ref="C15:Q15" si="3">VLOOKUP(C16,$AA1:$AB25,2,FALSE)</f>
        <v>C</v>
      </c>
      <c r="D15" s="5" t="str">
        <f t="shared" si="3"/>
        <v>D</v>
      </c>
      <c r="E15" s="5" t="str">
        <f t="shared" si="3"/>
        <v>E</v>
      </c>
      <c r="F15" s="5" t="str">
        <f t="shared" si="3"/>
        <v>F</v>
      </c>
      <c r="G15" s="5" t="str">
        <f t="shared" si="3"/>
        <v>G</v>
      </c>
      <c r="H15" s="5" t="str">
        <f t="shared" si="3"/>
        <v>H</v>
      </c>
      <c r="I15" s="5" t="str">
        <f t="shared" si="3"/>
        <v>I</v>
      </c>
      <c r="J15" s="5" t="str">
        <f t="shared" si="3"/>
        <v>J</v>
      </c>
      <c r="K15" s="5" t="str">
        <f t="shared" si="3"/>
        <v>K</v>
      </c>
      <c r="L15" s="5" t="str">
        <f t="shared" si="3"/>
        <v>L</v>
      </c>
      <c r="M15" s="5" t="str">
        <f t="shared" si="3"/>
        <v>M</v>
      </c>
      <c r="N15" s="5" t="str">
        <f t="shared" si="3"/>
        <v>N</v>
      </c>
      <c r="O15" s="5" t="str">
        <f t="shared" si="3"/>
        <v>O</v>
      </c>
      <c r="P15" s="5" t="str">
        <f t="shared" si="3"/>
        <v>P</v>
      </c>
      <c r="Q15" s="5" t="str">
        <f t="shared" si="3"/>
        <v>Q</v>
      </c>
      <c r="R15" s="45"/>
      <c r="S15" s="45"/>
      <c r="T15" s="45"/>
      <c r="U15" s="45">
        <v>-2.4</v>
      </c>
      <c r="V15" s="45">
        <f t="shared" ca="1" si="0"/>
        <v>1.9630800133570041E-2</v>
      </c>
      <c r="W15" s="45"/>
      <c r="X15" s="45"/>
      <c r="Y15" s="45"/>
      <c r="Z15" s="45"/>
      <c r="AA15" s="45">
        <v>15</v>
      </c>
      <c r="AB15" s="45" t="s">
        <v>146</v>
      </c>
      <c r="AC15" s="45"/>
      <c r="AD15" s="45"/>
      <c r="AE15" s="45"/>
      <c r="AF15" s="45"/>
      <c r="AG15" s="45"/>
      <c r="AH15" s="45"/>
      <c r="AI15" s="45"/>
    </row>
    <row r="16" spans="1:35" x14ac:dyDescent="0.2">
      <c r="A16" s="5"/>
      <c r="B16" s="45"/>
      <c r="C16" s="5">
        <f>COLUMN()</f>
        <v>3</v>
      </c>
      <c r="D16" s="5">
        <f>COLUMN()</f>
        <v>4</v>
      </c>
      <c r="E16" s="5">
        <f>COLUMN()</f>
        <v>5</v>
      </c>
      <c r="F16" s="5">
        <f>COLUMN()</f>
        <v>6</v>
      </c>
      <c r="G16" s="5">
        <f>COLUMN()</f>
        <v>7</v>
      </c>
      <c r="H16" s="5">
        <f>COLUMN()</f>
        <v>8</v>
      </c>
      <c r="I16" s="5">
        <f>COLUMN()</f>
        <v>9</v>
      </c>
      <c r="J16" s="5">
        <f>COLUMN()</f>
        <v>10</v>
      </c>
      <c r="K16" s="5">
        <f>COLUMN()</f>
        <v>11</v>
      </c>
      <c r="L16" s="5">
        <f>COLUMN()</f>
        <v>12</v>
      </c>
      <c r="M16" s="5">
        <f>COLUMN()</f>
        <v>13</v>
      </c>
      <c r="N16" s="5">
        <f>COLUMN()</f>
        <v>14</v>
      </c>
      <c r="O16" s="5">
        <f>COLUMN()</f>
        <v>15</v>
      </c>
      <c r="P16" s="5">
        <f>COLUMN()</f>
        <v>16</v>
      </c>
      <c r="Q16" s="5">
        <f>COLUMN()</f>
        <v>17</v>
      </c>
      <c r="R16" s="45"/>
      <c r="S16" s="45"/>
      <c r="T16" s="45"/>
      <c r="U16" s="45">
        <v>-2.2000000000000002</v>
      </c>
      <c r="V16" s="45">
        <f t="shared" ca="1" si="0"/>
        <v>1.6901891286865565E-2</v>
      </c>
      <c r="W16" s="45"/>
      <c r="X16" s="45"/>
      <c r="Y16" s="45"/>
      <c r="Z16" s="45"/>
      <c r="AA16" s="45">
        <v>16</v>
      </c>
      <c r="AB16" s="45" t="s">
        <v>147</v>
      </c>
      <c r="AC16" s="45"/>
      <c r="AD16" s="45"/>
      <c r="AE16" s="45"/>
      <c r="AF16" s="45"/>
      <c r="AG16" s="45"/>
      <c r="AH16" s="45"/>
      <c r="AI16" s="45"/>
    </row>
    <row r="17" spans="1:35" x14ac:dyDescent="0.2">
      <c r="A17" s="46" t="s">
        <v>148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>
        <v>-2</v>
      </c>
      <c r="V17" s="45">
        <f t="shared" ca="1" si="0"/>
        <v>1.4343172983727576E-2</v>
      </c>
      <c r="W17" s="45"/>
      <c r="X17" s="45"/>
      <c r="Y17" s="45"/>
      <c r="Z17" s="45"/>
      <c r="AA17" s="45">
        <v>17</v>
      </c>
      <c r="AB17" s="45" t="s">
        <v>150</v>
      </c>
      <c r="AC17" s="45"/>
      <c r="AD17" s="45"/>
      <c r="AE17" s="45"/>
      <c r="AF17" s="45"/>
      <c r="AG17" s="45"/>
      <c r="AH17" s="45"/>
      <c r="AI17" s="45"/>
    </row>
    <row r="18" spans="1:35" x14ac:dyDescent="0.2">
      <c r="A18" s="70">
        <v>10000</v>
      </c>
      <c r="B18" s="70">
        <v>1</v>
      </c>
      <c r="C18" s="45">
        <f ca="1">SUM(INDIRECT(C12):INDIRECT(C13))</f>
        <v>151.69999999999999</v>
      </c>
      <c r="D18" s="154">
        <f ca="1">SUM(INDIRECT(D12):INDIRECT(D13))</f>
        <v>-186.99300000000014</v>
      </c>
      <c r="E18" s="154">
        <f ca="1">SUM(INDIRECT(E12):INDIRECT(E13))</f>
        <v>1.4994846897752723</v>
      </c>
      <c r="F18" s="46">
        <f ca="1">SUM(INDIRECT(F12):INDIRECT(F13))</f>
        <v>-161.35906500000007</v>
      </c>
      <c r="G18" s="46">
        <f ca="1">SUM(INDIRECT(G12):INDIRECT(G13))</f>
        <v>1.3486636262096001</v>
      </c>
      <c r="H18" s="46">
        <f ca="1">SUM(INDIRECT(H12):INDIRECT(H13))</f>
        <v>475.59728317025014</v>
      </c>
      <c r="I18" s="46">
        <f ca="1">SUM(INDIRECT(I12):INDIRECT(I13))</f>
        <v>-1159.0491599126556</v>
      </c>
      <c r="J18" s="46">
        <f ca="1">SUM(INDIRECT(J12):INDIRECT(J13))</f>
        <v>3378.6880255283131</v>
      </c>
      <c r="K18" s="46">
        <f ca="1">SUM(INDIRECT(K12):INDIRECT(K13))</f>
        <v>-3.996949377101954</v>
      </c>
      <c r="L18" s="46">
        <f ca="1">SUM(INDIRECT(L12):INDIRECT(L13))</f>
        <v>10.764250727128362</v>
      </c>
      <c r="M18" s="45"/>
      <c r="N18" s="45">
        <f ca="1">SUM(INDIRECT(N12):INDIRECT(N13))</f>
        <v>4.2236870306479072E-3</v>
      </c>
      <c r="O18" s="45">
        <f ca="1">SQRT(SUM(INDIRECT(O12):INDIRECT(O13)))</f>
        <v>2416108.2708281334</v>
      </c>
      <c r="P18" s="45">
        <f ca="1">SQRT(SUM(INDIRECT(P12):INDIRECT(P13)))</f>
        <v>2522593.7653946676</v>
      </c>
      <c r="Q18" s="45">
        <f ca="1">SQRT(SUM(INDIRECT(Q12):INDIRECT(Q13)))</f>
        <v>1011630.9284209847</v>
      </c>
      <c r="R18" s="45"/>
      <c r="S18" s="45"/>
      <c r="T18" s="45"/>
      <c r="U18" s="45">
        <v>-1.8</v>
      </c>
      <c r="V18" s="45">
        <f t="shared" ca="1" si="0"/>
        <v>1.1954645224156079E-2</v>
      </c>
      <c r="W18" s="45"/>
      <c r="X18" s="45"/>
      <c r="Y18" s="45"/>
      <c r="Z18" s="45"/>
      <c r="AA18" s="45">
        <v>18</v>
      </c>
      <c r="AB18" s="45" t="s">
        <v>151</v>
      </c>
      <c r="AC18" s="45"/>
      <c r="AD18" s="45"/>
      <c r="AE18" s="45"/>
      <c r="AF18" s="45"/>
      <c r="AG18" s="45"/>
      <c r="AH18" s="45"/>
      <c r="AI18" s="45"/>
    </row>
    <row r="19" spans="1:35" x14ac:dyDescent="0.2">
      <c r="A19" s="71" t="s">
        <v>152</v>
      </c>
      <c r="B19" s="45"/>
      <c r="C19" s="45"/>
      <c r="D19" s="45"/>
      <c r="E19" s="45"/>
      <c r="F19" s="72" t="s">
        <v>153</v>
      </c>
      <c r="G19" s="72" t="s">
        <v>154</v>
      </c>
      <c r="H19" s="72" t="s">
        <v>155</v>
      </c>
      <c r="I19" s="72" t="s">
        <v>156</v>
      </c>
      <c r="J19" s="72" t="s">
        <v>157</v>
      </c>
      <c r="K19" s="72" t="s">
        <v>158</v>
      </c>
      <c r="L19" s="72" t="s">
        <v>159</v>
      </c>
      <c r="M19" s="38"/>
      <c r="N19" s="38"/>
      <c r="O19" s="38"/>
      <c r="P19" s="38"/>
      <c r="Q19" s="38"/>
      <c r="R19" s="45"/>
      <c r="S19" s="45"/>
      <c r="T19" s="45"/>
      <c r="U19" s="45">
        <v>-1.6</v>
      </c>
      <c r="V19" s="45">
        <f t="shared" ca="1" si="0"/>
        <v>9.7363080081510761E-3</v>
      </c>
      <c r="W19" s="45"/>
      <c r="X19" s="45"/>
      <c r="Y19" s="45"/>
      <c r="Z19" s="45"/>
      <c r="AA19" s="45">
        <v>19</v>
      </c>
      <c r="AB19" s="45" t="s">
        <v>160</v>
      </c>
      <c r="AC19" s="45"/>
      <c r="AD19" s="45"/>
      <c r="AE19" s="45"/>
      <c r="AF19" s="45"/>
      <c r="AG19" s="45"/>
      <c r="AH19" s="45"/>
      <c r="AI19" s="45"/>
    </row>
    <row r="20" spans="1:35" ht="15" thickBot="1" x14ac:dyDescent="0.25">
      <c r="A20" s="8" t="s">
        <v>161</v>
      </c>
      <c r="B20" s="8" t="s">
        <v>162</v>
      </c>
      <c r="C20" s="8" t="s">
        <v>8</v>
      </c>
      <c r="D20" s="8" t="s">
        <v>161</v>
      </c>
      <c r="E20" s="8" t="s">
        <v>162</v>
      </c>
      <c r="F20" s="8" t="s">
        <v>9</v>
      </c>
      <c r="G20" s="8" t="s">
        <v>10</v>
      </c>
      <c r="H20" s="8" t="s">
        <v>1</v>
      </c>
      <c r="I20" s="8" t="s">
        <v>2</v>
      </c>
      <c r="J20" s="8" t="s">
        <v>3</v>
      </c>
      <c r="K20" s="8" t="s">
        <v>11</v>
      </c>
      <c r="L20" s="8" t="s">
        <v>4</v>
      </c>
      <c r="M20" s="73" t="s">
        <v>163</v>
      </c>
      <c r="N20" s="8" t="s">
        <v>164</v>
      </c>
      <c r="O20" s="8" t="s">
        <v>165</v>
      </c>
      <c r="P20" s="8" t="s">
        <v>166</v>
      </c>
      <c r="Q20" s="8" t="s">
        <v>167</v>
      </c>
      <c r="R20" s="42" t="s">
        <v>168</v>
      </c>
      <c r="S20" s="45"/>
      <c r="T20" s="45"/>
      <c r="U20" s="45">
        <v>-1.4</v>
      </c>
      <c r="V20" s="45">
        <f t="shared" ca="1" si="0"/>
        <v>7.6881613357125608E-3</v>
      </c>
      <c r="W20" s="45"/>
      <c r="X20" s="45"/>
      <c r="Y20" s="45"/>
      <c r="Z20" s="45"/>
      <c r="AA20" s="45">
        <v>20</v>
      </c>
      <c r="AB20" s="45" t="s">
        <v>169</v>
      </c>
      <c r="AC20" s="45"/>
      <c r="AD20" s="45"/>
      <c r="AE20" s="45"/>
      <c r="AF20" s="45"/>
      <c r="AG20" s="45"/>
      <c r="AH20" s="45"/>
      <c r="AI20" s="45"/>
    </row>
    <row r="21" spans="1:35" x14ac:dyDescent="0.2">
      <c r="A21" s="74">
        <v>-40610.5</v>
      </c>
      <c r="B21" s="74">
        <v>4.3793096498120576E-2</v>
      </c>
      <c r="C21" s="155">
        <v>1</v>
      </c>
      <c r="D21" s="75">
        <f>A21/A$18</f>
        <v>-4.0610499999999998</v>
      </c>
      <c r="E21" s="75">
        <f>B21/B$18</f>
        <v>4.3793096498120576E-2</v>
      </c>
      <c r="F21" s="69">
        <f>$C21*D21</f>
        <v>-4.0610499999999998</v>
      </c>
      <c r="G21" s="69">
        <f>$C21*E21</f>
        <v>4.3793096498120576E-2</v>
      </c>
      <c r="H21" s="69">
        <f>C21*D21*D21</f>
        <v>16.4921271025</v>
      </c>
      <c r="I21" s="69">
        <f>C21*D21*D21*D21</f>
        <v>-66.975352769607625</v>
      </c>
      <c r="J21" s="69">
        <f>C21*D21*D21*D21*D21</f>
        <v>271.99025636501506</v>
      </c>
      <c r="K21" s="69">
        <f>C21*E21*D21</f>
        <v>-0.17784595453369256</v>
      </c>
      <c r="L21" s="69">
        <f>C21*E21*D21*D21</f>
        <v>0.7222413136590522</v>
      </c>
      <c r="M21" s="69">
        <f t="shared" ref="M21:M84" ca="1" si="4">+E$4+E$5*D21+E$6*D21^2</f>
        <v>4.8871439510162366E-2</v>
      </c>
      <c r="N21" s="69">
        <f ca="1">C21*(M21-E21)^2</f>
        <v>2.5789567747953682E-5</v>
      </c>
      <c r="O21" s="146">
        <f ca="1">(C21*O$1-O$2*F21+O$3*H21)^2</f>
        <v>128083047684.27864</v>
      </c>
      <c r="P21" s="69">
        <f ca="1">(-C21*O$2+O$4*F21-O$5*H21)^2</f>
        <v>216391137747.43777</v>
      </c>
      <c r="Q21" s="69">
        <f ca="1">+(C21*O$3-F21*O$5+H21*O$6)^2</f>
        <v>101705013528.94901</v>
      </c>
      <c r="R21" s="45">
        <f t="shared" ref="R21:R84" ca="1" si="5">+E21-M21</f>
        <v>-5.0783430120417902E-3</v>
      </c>
      <c r="S21" s="45"/>
      <c r="T21" s="45"/>
      <c r="U21" s="45">
        <v>-1.2</v>
      </c>
      <c r="V21" s="45">
        <f t="shared" ca="1" si="0"/>
        <v>5.8102052068405401E-3</v>
      </c>
      <c r="W21" s="45"/>
      <c r="X21" s="45"/>
      <c r="Y21" s="45"/>
      <c r="Z21" s="45"/>
      <c r="AA21" s="45">
        <v>21</v>
      </c>
      <c r="AB21" s="45" t="s">
        <v>170</v>
      </c>
      <c r="AC21" s="45"/>
      <c r="AD21" s="45"/>
      <c r="AE21" s="45"/>
      <c r="AF21" s="45"/>
      <c r="AG21" s="45"/>
      <c r="AH21" s="45"/>
      <c r="AI21" s="45"/>
    </row>
    <row r="22" spans="1:35" x14ac:dyDescent="0.2">
      <c r="A22" s="74">
        <v>-40608</v>
      </c>
      <c r="B22" s="74">
        <v>4.3323263998900075E-2</v>
      </c>
      <c r="C22" s="74">
        <v>1</v>
      </c>
      <c r="D22" s="75">
        <f t="shared" ref="D22:E84" si="6">A22/A$18</f>
        <v>-4.0608000000000004</v>
      </c>
      <c r="E22" s="75">
        <f t="shared" si="6"/>
        <v>4.3323263998900075E-2</v>
      </c>
      <c r="F22" s="69">
        <f t="shared" ref="F22:G84" si="7">$C22*D22</f>
        <v>-4.0608000000000004</v>
      </c>
      <c r="G22" s="69">
        <f t="shared" si="7"/>
        <v>4.3323263998900075E-2</v>
      </c>
      <c r="H22" s="69">
        <f t="shared" ref="H22:H85" si="8">C22*D22*D22</f>
        <v>16.490096640000004</v>
      </c>
      <c r="I22" s="69">
        <f t="shared" ref="I22:I85" si="9">C22*D22*D22*D22</f>
        <v>-66.962984435712031</v>
      </c>
      <c r="J22" s="69">
        <f t="shared" ref="J22:J85" si="10">C22*D22*D22*D22*D22</f>
        <v>271.92328719653943</v>
      </c>
      <c r="K22" s="69">
        <f t="shared" ref="K22:K85" si="11">C22*E22*D22</f>
        <v>-0.17592711044673345</v>
      </c>
      <c r="L22" s="69">
        <f t="shared" ref="L22:L85" si="12">C22*E22*D22*D22</f>
        <v>0.71440481010209533</v>
      </c>
      <c r="M22" s="69">
        <f t="shared" ca="1" si="4"/>
        <v>4.8866155294210685E-2</v>
      </c>
      <c r="N22" s="69">
        <f t="shared" ref="N22:N85" ca="1" si="13">C22*(M22-E22)^2</f>
        <v>3.0723643911630136E-5</v>
      </c>
      <c r="O22" s="146">
        <f t="shared" ref="O22:O85" ca="1" si="14">(C22*O$1-O$2*F22+O$3*H22)^2</f>
        <v>128027210593.47443</v>
      </c>
      <c r="P22" s="69">
        <f t="shared" ref="P22:P85" ca="1" si="15">(-C22*O$2+O$4*F22-O$5*H22)^2</f>
        <v>216270578851.50314</v>
      </c>
      <c r="Q22" s="69">
        <f t="shared" ref="Q22:Q85" ca="1" si="16">+(C22*O$3-F22*O$5+H22*O$6)^2</f>
        <v>101661100272.32176</v>
      </c>
      <c r="R22" s="45">
        <f t="shared" ca="1" si="5"/>
        <v>-5.5428912953106105E-3</v>
      </c>
      <c r="S22" s="45"/>
      <c r="T22" s="45"/>
      <c r="U22" s="45">
        <v>-1</v>
      </c>
      <c r="V22" s="45">
        <f t="shared" ca="1" si="0"/>
        <v>4.1024396215350104E-3</v>
      </c>
      <c r="W22" s="45"/>
      <c r="X22" s="45"/>
      <c r="Y22" s="45"/>
      <c r="Z22" s="45"/>
      <c r="AA22" s="45">
        <v>22</v>
      </c>
      <c r="AB22" s="45" t="s">
        <v>171</v>
      </c>
      <c r="AC22" s="45"/>
      <c r="AD22" s="45"/>
      <c r="AE22" s="45"/>
      <c r="AF22" s="45"/>
      <c r="AG22" s="45"/>
      <c r="AH22" s="45"/>
      <c r="AI22" s="45"/>
    </row>
    <row r="23" spans="1:35" x14ac:dyDescent="0.2">
      <c r="A23" s="74">
        <v>-40605</v>
      </c>
      <c r="B23" s="74">
        <v>4.3119465000927448E-2</v>
      </c>
      <c r="C23" s="74">
        <v>1</v>
      </c>
      <c r="D23" s="75">
        <f t="shared" si="6"/>
        <v>-4.0605000000000002</v>
      </c>
      <c r="E23" s="75">
        <f t="shared" si="6"/>
        <v>4.3119465000927448E-2</v>
      </c>
      <c r="F23" s="69">
        <f t="shared" si="7"/>
        <v>-4.0605000000000002</v>
      </c>
      <c r="G23" s="69">
        <f t="shared" si="7"/>
        <v>4.3119465000927448E-2</v>
      </c>
      <c r="H23" s="69">
        <f t="shared" si="8"/>
        <v>16.487660250000001</v>
      </c>
      <c r="I23" s="69">
        <f t="shared" si="9"/>
        <v>-66.94814444512501</v>
      </c>
      <c r="J23" s="69">
        <f t="shared" si="10"/>
        <v>271.8429405194301</v>
      </c>
      <c r="K23" s="69">
        <f t="shared" si="11"/>
        <v>-0.17508658763626592</v>
      </c>
      <c r="L23" s="69">
        <f t="shared" si="12"/>
        <v>0.71093908909705783</v>
      </c>
      <c r="M23" s="69">
        <f t="shared" ca="1" si="4"/>
        <v>4.8859814586086639E-2</v>
      </c>
      <c r="N23" s="69">
        <f t="shared" ca="1" si="13"/>
        <v>3.2951613359837296E-5</v>
      </c>
      <c r="O23" s="146">
        <f t="shared" ca="1" si="14"/>
        <v>127960226777.47183</v>
      </c>
      <c r="P23" s="69">
        <f t="shared" ca="1" si="15"/>
        <v>216125967720.50854</v>
      </c>
      <c r="Q23" s="69">
        <f t="shared" ca="1" si="16"/>
        <v>101608421731.47897</v>
      </c>
      <c r="R23" s="45">
        <f t="shared" ca="1" si="5"/>
        <v>-5.7403495851591907E-3</v>
      </c>
      <c r="S23" s="45"/>
      <c r="T23" s="45"/>
      <c r="U23" s="45">
        <v>-0.8</v>
      </c>
      <c r="V23" s="45">
        <f t="shared" ca="1" si="0"/>
        <v>2.5648645797959734E-3</v>
      </c>
      <c r="W23" s="45"/>
      <c r="X23" s="45"/>
      <c r="Y23" s="45"/>
      <c r="Z23" s="45"/>
      <c r="AA23" s="45">
        <v>23</v>
      </c>
      <c r="AB23" s="45" t="s">
        <v>172</v>
      </c>
      <c r="AC23" s="45"/>
      <c r="AD23" s="45"/>
      <c r="AE23" s="45"/>
      <c r="AF23" s="45"/>
      <c r="AG23" s="45"/>
      <c r="AH23" s="45"/>
      <c r="AI23" s="45"/>
    </row>
    <row r="24" spans="1:35" x14ac:dyDescent="0.2">
      <c r="A24" s="74">
        <v>-40442.5</v>
      </c>
      <c r="B24" s="74">
        <v>4.3580352503340691E-2</v>
      </c>
      <c r="C24" s="74">
        <v>1</v>
      </c>
      <c r="D24" s="75">
        <f t="shared" si="6"/>
        <v>-4.0442499999999999</v>
      </c>
      <c r="E24" s="75">
        <f t="shared" si="6"/>
        <v>4.3580352503340691E-2</v>
      </c>
      <c r="F24" s="69">
        <f t="shared" si="7"/>
        <v>-4.0442499999999999</v>
      </c>
      <c r="G24" s="69">
        <f t="shared" si="7"/>
        <v>4.3580352503340691E-2</v>
      </c>
      <c r="H24" s="69">
        <f t="shared" si="8"/>
        <v>16.355958062500001</v>
      </c>
      <c r="I24" s="69">
        <f t="shared" si="9"/>
        <v>-66.147583394265624</v>
      </c>
      <c r="J24" s="69">
        <f t="shared" si="10"/>
        <v>267.51736414225871</v>
      </c>
      <c r="K24" s="69">
        <f t="shared" si="11"/>
        <v>-0.17624984061163559</v>
      </c>
      <c r="L24" s="69">
        <f t="shared" si="12"/>
        <v>0.71279841789360721</v>
      </c>
      <c r="M24" s="69">
        <f t="shared" ca="1" si="4"/>
        <v>4.8516931695442835E-2</v>
      </c>
      <c r="N24" s="69">
        <f t="shared" ca="1" si="13"/>
        <v>2.436981411989585E-5</v>
      </c>
      <c r="O24" s="146">
        <f t="shared" ca="1" si="14"/>
        <v>124365554366.5457</v>
      </c>
      <c r="P24" s="69">
        <f t="shared" ca="1" si="15"/>
        <v>208389453801.88864</v>
      </c>
      <c r="Q24" s="69">
        <f t="shared" ca="1" si="16"/>
        <v>98783193244.529495</v>
      </c>
      <c r="R24" s="45">
        <f t="shared" ca="1" si="5"/>
        <v>-4.9365791921021432E-3</v>
      </c>
      <c r="S24" s="45"/>
      <c r="T24" s="45"/>
      <c r="U24" s="45">
        <v>-0.6</v>
      </c>
      <c r="V24" s="45">
        <f t="shared" ca="1" si="0"/>
        <v>1.1974800816234264E-3</v>
      </c>
      <c r="W24" s="45"/>
      <c r="X24" s="45"/>
      <c r="Y24" s="45"/>
      <c r="Z24" s="45"/>
      <c r="AA24" s="45">
        <v>24</v>
      </c>
      <c r="AB24" s="45" t="s">
        <v>161</v>
      </c>
      <c r="AC24" s="45"/>
      <c r="AD24" s="45"/>
      <c r="AE24" s="45"/>
      <c r="AF24" s="45"/>
      <c r="AG24" s="45"/>
      <c r="AH24" s="45"/>
      <c r="AI24" s="45"/>
    </row>
    <row r="25" spans="1:35" x14ac:dyDescent="0.2">
      <c r="A25" s="74">
        <v>-36383</v>
      </c>
      <c r="B25" s="74">
        <v>3.4406339000270236E-2</v>
      </c>
      <c r="C25" s="74">
        <v>1</v>
      </c>
      <c r="D25" s="75">
        <f t="shared" si="6"/>
        <v>-3.6383000000000001</v>
      </c>
      <c r="E25" s="75">
        <f t="shared" si="6"/>
        <v>3.4406339000270236E-2</v>
      </c>
      <c r="F25" s="69">
        <f t="shared" si="7"/>
        <v>-3.6383000000000001</v>
      </c>
      <c r="G25" s="69">
        <f t="shared" si="7"/>
        <v>3.4406339000270236E-2</v>
      </c>
      <c r="H25" s="69">
        <f t="shared" si="8"/>
        <v>13.237226890000001</v>
      </c>
      <c r="I25" s="69">
        <f t="shared" si="9"/>
        <v>-48.161002593887005</v>
      </c>
      <c r="J25" s="69">
        <f t="shared" si="10"/>
        <v>175.2241757373391</v>
      </c>
      <c r="K25" s="69">
        <f t="shared" si="11"/>
        <v>-0.1251805831846832</v>
      </c>
      <c r="L25" s="69">
        <f t="shared" si="12"/>
        <v>0.45544451580083289</v>
      </c>
      <c r="M25" s="69">
        <f t="shared" ca="1" si="4"/>
        <v>4.0315805987022196E-2</v>
      </c>
      <c r="N25" s="69">
        <f t="shared" ca="1" si="13"/>
        <v>3.4921800067511292E-5</v>
      </c>
      <c r="O25" s="146">
        <f t="shared" ca="1" si="14"/>
        <v>54267943107.506889</v>
      </c>
      <c r="P25" s="69">
        <f t="shared" ca="1" si="15"/>
        <v>69548435597.862274</v>
      </c>
      <c r="Q25" s="69">
        <f t="shared" ca="1" si="16"/>
        <v>44399922745.173576</v>
      </c>
      <c r="R25" s="45">
        <f t="shared" ca="1" si="5"/>
        <v>-5.90946698675196E-3</v>
      </c>
      <c r="S25" s="45"/>
      <c r="T25" s="45"/>
      <c r="U25" s="45">
        <v>-0.4</v>
      </c>
      <c r="V25" s="45">
        <f t="shared" ca="1" si="0"/>
        <v>2.861270173719929E-7</v>
      </c>
      <c r="W25" s="45"/>
      <c r="X25" s="45"/>
      <c r="Y25" s="45"/>
      <c r="Z25" s="45"/>
      <c r="AA25" s="45">
        <v>26</v>
      </c>
      <c r="AB25" s="45" t="s">
        <v>173</v>
      </c>
      <c r="AC25" s="45"/>
      <c r="AD25" s="45"/>
      <c r="AE25" s="45"/>
      <c r="AF25" s="45"/>
      <c r="AG25" s="45"/>
      <c r="AH25" s="45"/>
      <c r="AI25" s="45"/>
    </row>
    <row r="26" spans="1:35" x14ac:dyDescent="0.2">
      <c r="A26" s="74">
        <v>-30361</v>
      </c>
      <c r="B26" s="74">
        <v>2.9913813006714918E-2</v>
      </c>
      <c r="C26" s="74">
        <v>1</v>
      </c>
      <c r="D26" s="75">
        <f t="shared" si="6"/>
        <v>-3.0360999999999998</v>
      </c>
      <c r="E26" s="75">
        <f t="shared" si="6"/>
        <v>2.9913813006714918E-2</v>
      </c>
      <c r="F26" s="69">
        <f t="shared" si="7"/>
        <v>-3.0360999999999998</v>
      </c>
      <c r="G26" s="69">
        <f t="shared" si="7"/>
        <v>2.9913813006714918E-2</v>
      </c>
      <c r="H26" s="69">
        <f t="shared" si="8"/>
        <v>9.2179032099999993</v>
      </c>
      <c r="I26" s="69">
        <f t="shared" si="9"/>
        <v>-27.986475935880996</v>
      </c>
      <c r="J26" s="69">
        <f t="shared" si="10"/>
        <v>84.969739588928292</v>
      </c>
      <c r="K26" s="69">
        <f t="shared" si="11"/>
        <v>-9.082132766968716E-2</v>
      </c>
      <c r="L26" s="69">
        <f t="shared" si="12"/>
        <v>0.27574263293793716</v>
      </c>
      <c r="M26" s="69">
        <f t="shared" ca="1" si="4"/>
        <v>2.9441528283039236E-2</v>
      </c>
      <c r="N26" s="69">
        <f t="shared" ca="1" si="13"/>
        <v>2.2305286021741509E-7</v>
      </c>
      <c r="O26" s="146">
        <f t="shared" ca="1" si="14"/>
        <v>6267525062.5979424</v>
      </c>
      <c r="P26" s="69">
        <f t="shared" ca="1" si="15"/>
        <v>1436779204.0707731</v>
      </c>
      <c r="Q26" s="69">
        <f t="shared" ca="1" si="16"/>
        <v>7232804115.0870285</v>
      </c>
      <c r="R26" s="45">
        <f t="shared" ca="1" si="5"/>
        <v>4.7228472367568178E-4</v>
      </c>
      <c r="S26" s="45"/>
      <c r="T26" s="45"/>
      <c r="U26" s="45">
        <v>-0.2</v>
      </c>
      <c r="V26" s="45">
        <f t="shared" ca="1" si="0"/>
        <v>-1.0267172840221913E-3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">
      <c r="A27" s="74">
        <v>-30358</v>
      </c>
      <c r="B27" s="74">
        <v>2.9810013998940121E-2</v>
      </c>
      <c r="C27" s="74">
        <v>1</v>
      </c>
      <c r="D27" s="75">
        <f t="shared" si="6"/>
        <v>-3.0358000000000001</v>
      </c>
      <c r="E27" s="75">
        <f t="shared" si="6"/>
        <v>2.9810013998940121E-2</v>
      </c>
      <c r="F27" s="69">
        <f t="shared" si="7"/>
        <v>-3.0358000000000001</v>
      </c>
      <c r="G27" s="69">
        <f t="shared" si="7"/>
        <v>2.9810013998940121E-2</v>
      </c>
      <c r="H27" s="69">
        <f t="shared" si="8"/>
        <v>9.2160816400000005</v>
      </c>
      <c r="I27" s="69">
        <f t="shared" si="9"/>
        <v>-27.978180642712001</v>
      </c>
      <c r="J27" s="69">
        <f t="shared" si="10"/>
        <v>84.936160795145099</v>
      </c>
      <c r="K27" s="69">
        <f t="shared" si="11"/>
        <v>-9.0497240497982426E-2</v>
      </c>
      <c r="L27" s="69">
        <f t="shared" si="12"/>
        <v>0.27473152270377504</v>
      </c>
      <c r="M27" s="69">
        <f t="shared" ca="1" si="4"/>
        <v>2.9436495531790147E-2</v>
      </c>
      <c r="N27" s="69">
        <f t="shared" ca="1" si="13"/>
        <v>1.3951604530206674E-7</v>
      </c>
      <c r="O27" s="146">
        <f t="shared" ca="1" si="14"/>
        <v>6256520406.1344223</v>
      </c>
      <c r="P27" s="69">
        <f t="shared" ca="1" si="15"/>
        <v>1429617647.7659383</v>
      </c>
      <c r="Q27" s="69">
        <f t="shared" ca="1" si="16"/>
        <v>7223576294.1057997</v>
      </c>
      <c r="R27" s="45">
        <f t="shared" ca="1" si="5"/>
        <v>3.7351846714997472E-4</v>
      </c>
      <c r="S27" s="45"/>
      <c r="T27" s="45"/>
      <c r="U27" s="45">
        <v>0</v>
      </c>
      <c r="V27" s="45">
        <f t="shared" ca="1" si="0"/>
        <v>-1.8835301514952627E-3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x14ac:dyDescent="0.2">
      <c r="A28" s="74">
        <v>-30355</v>
      </c>
      <c r="B28" s="74">
        <v>2.8706215001875535E-2</v>
      </c>
      <c r="C28" s="74">
        <v>1</v>
      </c>
      <c r="D28" s="75">
        <f t="shared" si="6"/>
        <v>-3.0354999999999999</v>
      </c>
      <c r="E28" s="75">
        <f t="shared" si="6"/>
        <v>2.8706215001875535E-2</v>
      </c>
      <c r="F28" s="69">
        <f t="shared" si="7"/>
        <v>-3.0354999999999999</v>
      </c>
      <c r="G28" s="69">
        <f t="shared" si="7"/>
        <v>2.8706215001875535E-2</v>
      </c>
      <c r="H28" s="69">
        <f t="shared" si="8"/>
        <v>9.2142602499999988</v>
      </c>
      <c r="I28" s="69">
        <f t="shared" si="9"/>
        <v>-27.969886988874997</v>
      </c>
      <c r="J28" s="69">
        <f t="shared" si="10"/>
        <v>84.902591954730056</v>
      </c>
      <c r="K28" s="69">
        <f t="shared" si="11"/>
        <v>-8.7137715638193183E-2</v>
      </c>
      <c r="L28" s="69">
        <f t="shared" si="12"/>
        <v>0.26450653581973538</v>
      </c>
      <c r="M28" s="69">
        <f t="shared" ca="1" si="4"/>
        <v>2.9431463163469777E-2</v>
      </c>
      <c r="N28" s="69">
        <f t="shared" ca="1" si="13"/>
        <v>5.2598489589582879E-7</v>
      </c>
      <c r="O28" s="146">
        <f t="shared" ca="1" si="14"/>
        <v>6245526533.6588211</v>
      </c>
      <c r="P28" s="69">
        <f t="shared" ca="1" si="15"/>
        <v>1422475329.6502302</v>
      </c>
      <c r="Q28" s="69">
        <f t="shared" ca="1" si="16"/>
        <v>7214355773.4111042</v>
      </c>
      <c r="R28" s="45">
        <f t="shared" ca="1" si="5"/>
        <v>-7.2524816159424271E-4</v>
      </c>
      <c r="S28" s="45"/>
      <c r="T28" s="45"/>
      <c r="U28" s="45">
        <v>0.2</v>
      </c>
      <c r="V28" s="45">
        <f t="shared" ca="1" si="0"/>
        <v>-2.5701524754018425E-3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x14ac:dyDescent="0.2">
      <c r="A29" s="74">
        <v>-29254.5</v>
      </c>
      <c r="B29" s="74">
        <v>3.0345948500325903E-2</v>
      </c>
      <c r="C29" s="74">
        <v>0.1</v>
      </c>
      <c r="D29" s="75">
        <f t="shared" si="6"/>
        <v>-2.9254500000000001</v>
      </c>
      <c r="E29" s="75">
        <f t="shared" si="6"/>
        <v>3.0345948500325903E-2</v>
      </c>
      <c r="F29" s="69">
        <f t="shared" si="7"/>
        <v>-0.292545</v>
      </c>
      <c r="G29" s="69">
        <f t="shared" si="7"/>
        <v>3.0345948500325906E-3</v>
      </c>
      <c r="H29" s="69">
        <f t="shared" si="8"/>
        <v>0.85582577025000006</v>
      </c>
      <c r="I29" s="69">
        <f t="shared" si="9"/>
        <v>-2.503675499577863</v>
      </c>
      <c r="J29" s="69">
        <f t="shared" si="10"/>
        <v>7.3243774902400594</v>
      </c>
      <c r="K29" s="69">
        <f t="shared" si="11"/>
        <v>-8.8775555040278425E-3</v>
      </c>
      <c r="L29" s="69">
        <f t="shared" si="12"/>
        <v>2.5970844749258253E-2</v>
      </c>
      <c r="M29" s="69">
        <f t="shared" ca="1" si="4"/>
        <v>2.7611257679691102E-2</v>
      </c>
      <c r="N29" s="69">
        <f t="shared" ca="1" si="13"/>
        <v>7.4785338844642424E-7</v>
      </c>
      <c r="O29" s="146">
        <f t="shared" ca="1" si="14"/>
        <v>29159987.257804189</v>
      </c>
      <c r="P29" s="69">
        <f t="shared" ca="1" si="15"/>
        <v>178797.33216285534</v>
      </c>
      <c r="Q29" s="69">
        <f t="shared" ca="1" si="16"/>
        <v>43023877.575080693</v>
      </c>
      <c r="R29" s="45">
        <f t="shared" ca="1" si="5"/>
        <v>2.7346908206348011E-3</v>
      </c>
      <c r="S29" s="45"/>
      <c r="T29" s="45"/>
      <c r="U29" s="45">
        <v>0.4</v>
      </c>
      <c r="V29" s="45">
        <f t="shared" ca="1" si="0"/>
        <v>-3.0865842557419305E-3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x14ac:dyDescent="0.2">
      <c r="A30" s="74">
        <v>-29197</v>
      </c>
      <c r="B30" s="74">
        <v>2.9739801000687294E-2</v>
      </c>
      <c r="C30" s="74">
        <v>1</v>
      </c>
      <c r="D30" s="75">
        <f t="shared" si="6"/>
        <v>-2.9197000000000002</v>
      </c>
      <c r="E30" s="75">
        <f t="shared" si="6"/>
        <v>2.9739801000687294E-2</v>
      </c>
      <c r="F30" s="69">
        <f t="shared" si="7"/>
        <v>-2.9197000000000002</v>
      </c>
      <c r="G30" s="69">
        <f t="shared" si="7"/>
        <v>2.9739801000687294E-2</v>
      </c>
      <c r="H30" s="69">
        <f t="shared" si="8"/>
        <v>8.5246480900000012</v>
      </c>
      <c r="I30" s="69">
        <f t="shared" si="9"/>
        <v>-24.889415028373005</v>
      </c>
      <c r="J30" s="69">
        <f t="shared" si="10"/>
        <v>72.669625058340671</v>
      </c>
      <c r="K30" s="69">
        <f t="shared" si="11"/>
        <v>-8.683129698170669E-2</v>
      </c>
      <c r="L30" s="69">
        <f t="shared" si="12"/>
        <v>0.25352133779748903</v>
      </c>
      <c r="M30" s="69">
        <f t="shared" ca="1" si="4"/>
        <v>2.7517570321059597E-2</v>
      </c>
      <c r="N30" s="69">
        <f t="shared" ca="1" si="13"/>
        <v>4.938309193478574E-6</v>
      </c>
      <c r="O30" s="146">
        <f t="shared" ca="1" si="14"/>
        <v>2779224181.1609216</v>
      </c>
      <c r="P30" s="69">
        <f t="shared" ca="1" si="15"/>
        <v>6475721.1245194841</v>
      </c>
      <c r="Q30" s="69">
        <f t="shared" ca="1" si="16"/>
        <v>4174781326.3265753</v>
      </c>
      <c r="R30" s="45">
        <f t="shared" ca="1" si="5"/>
        <v>2.2222306796276965E-3</v>
      </c>
      <c r="S30" s="45"/>
      <c r="T30" s="45"/>
      <c r="U30" s="45">
        <v>0.6</v>
      </c>
      <c r="V30" s="45">
        <f t="shared" ca="1" si="0"/>
        <v>-3.4328254925155271E-3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x14ac:dyDescent="0.2">
      <c r="A31" s="74">
        <v>-29196.5</v>
      </c>
      <c r="B31" s="74">
        <v>2.9705834502237849E-2</v>
      </c>
      <c r="C31" s="74">
        <v>1</v>
      </c>
      <c r="D31" s="75">
        <f t="shared" si="6"/>
        <v>-2.9196499999999999</v>
      </c>
      <c r="E31" s="75">
        <f t="shared" si="6"/>
        <v>2.9705834502237849E-2</v>
      </c>
      <c r="F31" s="69">
        <f t="shared" si="7"/>
        <v>-2.9196499999999999</v>
      </c>
      <c r="G31" s="69">
        <f t="shared" si="7"/>
        <v>2.9705834502237849E-2</v>
      </c>
      <c r="H31" s="69">
        <f t="shared" si="8"/>
        <v>8.5243561224999986</v>
      </c>
      <c r="I31" s="69">
        <f t="shared" si="9"/>
        <v>-24.888136353057121</v>
      </c>
      <c r="J31" s="69">
        <f t="shared" si="10"/>
        <v>72.664647303203225</v>
      </c>
      <c r="K31" s="69">
        <f t="shared" si="11"/>
        <v>-8.6730639704458726E-2</v>
      </c>
      <c r="L31" s="69">
        <f t="shared" si="12"/>
        <v>0.25322311221312288</v>
      </c>
      <c r="M31" s="69">
        <f t="shared" ca="1" si="4"/>
        <v>2.7516756265316557E-2</v>
      </c>
      <c r="N31" s="69">
        <f t="shared" ca="1" si="13"/>
        <v>4.7920635273624333E-6</v>
      </c>
      <c r="O31" s="146">
        <f t="shared" ca="1" si="14"/>
        <v>2778050442.4229846</v>
      </c>
      <c r="P31" s="69">
        <f t="shared" ca="1" si="15"/>
        <v>6401566.3806239981</v>
      </c>
      <c r="Q31" s="69">
        <f t="shared" ca="1" si="16"/>
        <v>4173681857.6311336</v>
      </c>
      <c r="R31" s="45">
        <f t="shared" ca="1" si="5"/>
        <v>2.1890782369212922E-3</v>
      </c>
      <c r="S31" s="45"/>
      <c r="T31" s="45"/>
      <c r="U31" s="45">
        <v>0.80000000000001004</v>
      </c>
      <c r="V31" s="45">
        <f t="shared" ca="1" si="0"/>
        <v>-3.6088761857226365E-3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x14ac:dyDescent="0.2">
      <c r="A32" s="74">
        <v>-29099.5</v>
      </c>
      <c r="B32" s="74">
        <v>3.7116333500307519E-2</v>
      </c>
      <c r="C32" s="74">
        <v>1</v>
      </c>
      <c r="D32" s="75">
        <f t="shared" si="6"/>
        <v>-2.9099499999999998</v>
      </c>
      <c r="E32" s="75">
        <f t="shared" si="6"/>
        <v>3.7116333500307519E-2</v>
      </c>
      <c r="F32" s="69">
        <f t="shared" si="7"/>
        <v>-2.9099499999999998</v>
      </c>
      <c r="G32" s="69">
        <f t="shared" si="7"/>
        <v>3.7116333500307519E-2</v>
      </c>
      <c r="H32" s="69">
        <f t="shared" si="8"/>
        <v>8.4678090024999992</v>
      </c>
      <c r="I32" s="69">
        <f t="shared" si="9"/>
        <v>-24.64090080682487</v>
      </c>
      <c r="J32" s="69">
        <f t="shared" si="10"/>
        <v>71.703789302820027</v>
      </c>
      <c r="K32" s="69">
        <f t="shared" si="11"/>
        <v>-0.10800667466921986</v>
      </c>
      <c r="L32" s="69">
        <f t="shared" si="12"/>
        <v>0.31429402295369629</v>
      </c>
      <c r="M32" s="69">
        <f t="shared" ca="1" si="4"/>
        <v>2.7359030648301606E-2</v>
      </c>
      <c r="N32" s="69">
        <f t="shared" ca="1" si="13"/>
        <v>9.5204958945762714E-5</v>
      </c>
      <c r="O32" s="146">
        <f t="shared" ca="1" si="14"/>
        <v>2555408720.6015868</v>
      </c>
      <c r="P32" s="69">
        <f t="shared" ca="1" si="15"/>
        <v>87172.920031728514</v>
      </c>
      <c r="Q32" s="69">
        <f t="shared" ca="1" si="16"/>
        <v>3963672859.5107284</v>
      </c>
      <c r="R32" s="45">
        <f t="shared" ca="1" si="5"/>
        <v>9.7573028520059127E-3</v>
      </c>
      <c r="S32" s="45"/>
      <c r="T32" s="45"/>
      <c r="U32" s="45">
        <v>1.00000000000001</v>
      </c>
      <c r="V32" s="45">
        <f t="shared" ca="1" si="0"/>
        <v>-3.6147363353632414E-3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x14ac:dyDescent="0.2">
      <c r="A33" s="74">
        <v>-29074</v>
      </c>
      <c r="B33" s="74">
        <v>1.7384041995683219E-2</v>
      </c>
      <c r="C33" s="74">
        <v>1</v>
      </c>
      <c r="D33" s="75">
        <f t="shared" si="6"/>
        <v>-2.9074</v>
      </c>
      <c r="E33" s="75">
        <f t="shared" si="6"/>
        <v>1.7384041995683219E-2</v>
      </c>
      <c r="F33" s="69">
        <f t="shared" si="7"/>
        <v>-2.9074</v>
      </c>
      <c r="G33" s="69">
        <f t="shared" si="7"/>
        <v>1.7384041995683219E-2</v>
      </c>
      <c r="H33" s="69">
        <f t="shared" si="8"/>
        <v>8.45297476</v>
      </c>
      <c r="I33" s="69">
        <f t="shared" si="9"/>
        <v>-24.576178817224001</v>
      </c>
      <c r="J33" s="69">
        <f t="shared" si="10"/>
        <v>71.45278229319706</v>
      </c>
      <c r="K33" s="69">
        <f t="shared" si="11"/>
        <v>-5.0542363698249389E-2</v>
      </c>
      <c r="L33" s="69">
        <f t="shared" si="12"/>
        <v>0.14694686821629027</v>
      </c>
      <c r="M33" s="69">
        <f t="shared" ca="1" si="4"/>
        <v>2.7317633151525661E-2</v>
      </c>
      <c r="N33" s="69">
        <f t="shared" ca="1" si="13"/>
        <v>9.8676233251431179E-5</v>
      </c>
      <c r="O33" s="146">
        <f t="shared" ca="1" si="14"/>
        <v>2498544978.1179113</v>
      </c>
      <c r="P33" s="69">
        <f t="shared" ca="1" si="15"/>
        <v>1071039.8510010301</v>
      </c>
      <c r="Q33" s="69">
        <f t="shared" ca="1" si="16"/>
        <v>3909544277.7180529</v>
      </c>
      <c r="R33" s="45">
        <f t="shared" ca="1" si="5"/>
        <v>-9.9335911558424417E-3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x14ac:dyDescent="0.2">
      <c r="A34" s="74">
        <v>-28808.5</v>
      </c>
      <c r="B34" s="74">
        <v>1.634783050394617E-2</v>
      </c>
      <c r="C34" s="74">
        <v>1</v>
      </c>
      <c r="D34" s="75">
        <f t="shared" si="6"/>
        <v>-2.8808500000000001</v>
      </c>
      <c r="E34" s="75">
        <f t="shared" si="6"/>
        <v>1.634783050394617E-2</v>
      </c>
      <c r="F34" s="69">
        <f t="shared" si="7"/>
        <v>-2.8808500000000001</v>
      </c>
      <c r="G34" s="69">
        <f t="shared" si="7"/>
        <v>1.634783050394617E-2</v>
      </c>
      <c r="H34" s="69">
        <f t="shared" si="8"/>
        <v>8.2992967225000012</v>
      </c>
      <c r="I34" s="69">
        <f t="shared" si="9"/>
        <v>-23.90902896301413</v>
      </c>
      <c r="J34" s="69">
        <f t="shared" si="10"/>
        <v>68.878326088099257</v>
      </c>
      <c r="K34" s="69">
        <f t="shared" si="11"/>
        <v>-4.709564750729333E-2</v>
      </c>
      <c r="L34" s="69">
        <f t="shared" si="12"/>
        <v>0.13567549612138599</v>
      </c>
      <c r="M34" s="69">
        <f t="shared" ca="1" si="4"/>
        <v>2.6888255781493384E-2</v>
      </c>
      <c r="N34" s="69">
        <f t="shared" ca="1" si="13"/>
        <v>1.1110056503155626E-4</v>
      </c>
      <c r="O34" s="146">
        <f t="shared" ca="1" si="14"/>
        <v>1947173178.4611337</v>
      </c>
      <c r="P34" s="69">
        <f t="shared" ca="1" si="15"/>
        <v>74987315.658159822</v>
      </c>
      <c r="Q34" s="69">
        <f t="shared" ca="1" si="16"/>
        <v>3372214793.0180435</v>
      </c>
      <c r="R34" s="45">
        <f t="shared" ca="1" si="5"/>
        <v>-1.0540425277547213E-2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x14ac:dyDescent="0.2">
      <c r="A35" s="74">
        <v>-28234.5</v>
      </c>
      <c r="B35" s="74">
        <v>2.7754288501455449E-2</v>
      </c>
      <c r="C35" s="74">
        <v>0.1</v>
      </c>
      <c r="D35" s="75">
        <f t="shared" si="6"/>
        <v>-2.8234499999999998</v>
      </c>
      <c r="E35" s="75">
        <f t="shared" si="6"/>
        <v>2.7754288501455449E-2</v>
      </c>
      <c r="F35" s="69">
        <f t="shared" si="7"/>
        <v>-0.28234500000000001</v>
      </c>
      <c r="G35" s="69">
        <f t="shared" si="7"/>
        <v>2.775428850145545E-3</v>
      </c>
      <c r="H35" s="69">
        <f t="shared" si="8"/>
        <v>0.79718699024999995</v>
      </c>
      <c r="I35" s="69">
        <f t="shared" si="9"/>
        <v>-2.2508176076213622</v>
      </c>
      <c r="J35" s="69">
        <f t="shared" si="10"/>
        <v>6.3550709742385347</v>
      </c>
      <c r="K35" s="69">
        <f t="shared" si="11"/>
        <v>-7.8362845869434389E-3</v>
      </c>
      <c r="L35" s="69">
        <f t="shared" si="12"/>
        <v>2.212535771700545E-2</v>
      </c>
      <c r="M35" s="69">
        <f t="shared" ca="1" si="4"/>
        <v>2.5970210975604799E-2</v>
      </c>
      <c r="N35" s="69">
        <f t="shared" ca="1" si="13"/>
        <v>3.182932618245376E-7</v>
      </c>
      <c r="O35" s="146">
        <f t="shared" ca="1" si="14"/>
        <v>10016812.326285256</v>
      </c>
      <c r="P35" s="69">
        <f t="shared" ca="1" si="15"/>
        <v>6084188.1734303376</v>
      </c>
      <c r="Q35" s="69">
        <f t="shared" ca="1" si="16"/>
        <v>23678154.88729794</v>
      </c>
      <c r="R35" s="45">
        <f t="shared" ca="1" si="5"/>
        <v>1.7840775258506497E-3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x14ac:dyDescent="0.2">
      <c r="A36" s="74">
        <v>-28152</v>
      </c>
      <c r="B36" s="74">
        <v>2.71498160000192E-2</v>
      </c>
      <c r="C36" s="74">
        <v>0.1</v>
      </c>
      <c r="D36" s="75">
        <f t="shared" si="6"/>
        <v>-2.8151999999999999</v>
      </c>
      <c r="E36" s="75">
        <f t="shared" si="6"/>
        <v>2.71498160000192E-2</v>
      </c>
      <c r="F36" s="69">
        <f t="shared" si="7"/>
        <v>-0.28151999999999999</v>
      </c>
      <c r="G36" s="69">
        <f t="shared" si="7"/>
        <v>2.7149816000019201E-3</v>
      </c>
      <c r="H36" s="69">
        <f t="shared" si="8"/>
        <v>0.79253510399999993</v>
      </c>
      <c r="I36" s="69">
        <f t="shared" si="9"/>
        <v>-2.2311448247807997</v>
      </c>
      <c r="J36" s="69">
        <f t="shared" si="10"/>
        <v>6.2811189107229071</v>
      </c>
      <c r="K36" s="69">
        <f t="shared" si="11"/>
        <v>-7.6432162003254051E-3</v>
      </c>
      <c r="L36" s="69">
        <f t="shared" si="12"/>
        <v>2.151718224715608E-2</v>
      </c>
      <c r="M36" s="69">
        <f t="shared" ca="1" si="4"/>
        <v>2.5839414243595472E-2</v>
      </c>
      <c r="N36" s="69">
        <f t="shared" ca="1" si="13"/>
        <v>1.7171527632383925E-7</v>
      </c>
      <c r="O36" s="146">
        <f t="shared" ca="1" si="14"/>
        <v>8926472.575585654</v>
      </c>
      <c r="P36" s="69">
        <f t="shared" ca="1" si="15"/>
        <v>7243141.39558155</v>
      </c>
      <c r="Q36" s="69">
        <f t="shared" ca="1" si="16"/>
        <v>22403763.860843118</v>
      </c>
      <c r="R36" s="45">
        <f t="shared" ca="1" si="5"/>
        <v>1.3104017564237284E-3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x14ac:dyDescent="0.2">
      <c r="A37" s="74">
        <v>-28140</v>
      </c>
      <c r="B37" s="74">
        <v>2.4934620007115882E-2</v>
      </c>
      <c r="C37" s="74">
        <v>1</v>
      </c>
      <c r="D37" s="75">
        <f t="shared" si="6"/>
        <v>-2.8140000000000001</v>
      </c>
      <c r="E37" s="75">
        <f t="shared" si="6"/>
        <v>2.4934620007115882E-2</v>
      </c>
      <c r="F37" s="69">
        <f t="shared" si="7"/>
        <v>-2.8140000000000001</v>
      </c>
      <c r="G37" s="69">
        <f t="shared" si="7"/>
        <v>2.4934620007115882E-2</v>
      </c>
      <c r="H37" s="69">
        <f t="shared" si="8"/>
        <v>7.918596</v>
      </c>
      <c r="I37" s="69">
        <f t="shared" si="9"/>
        <v>-22.282929144000001</v>
      </c>
      <c r="J37" s="69">
        <f t="shared" si="10"/>
        <v>62.704162611216006</v>
      </c>
      <c r="K37" s="69">
        <f t="shared" si="11"/>
        <v>-7.016602070002409E-2</v>
      </c>
      <c r="L37" s="69">
        <f t="shared" si="12"/>
        <v>0.19744718224986779</v>
      </c>
      <c r="M37" s="69">
        <f t="shared" ca="1" si="4"/>
        <v>2.5820413388903667E-2</v>
      </c>
      <c r="N37" s="69">
        <f t="shared" ca="1" si="13"/>
        <v>7.8462991521904014E-7</v>
      </c>
      <c r="O37" s="146">
        <f t="shared" ca="1" si="14"/>
        <v>877337326.78471303</v>
      </c>
      <c r="P37" s="69">
        <f t="shared" ca="1" si="15"/>
        <v>741951603.57796335</v>
      </c>
      <c r="Q37" s="69">
        <f t="shared" ca="1" si="16"/>
        <v>2222182740.4528809</v>
      </c>
      <c r="R37" s="45">
        <f t="shared" ca="1" si="5"/>
        <v>-8.8579338178778472E-4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x14ac:dyDescent="0.2">
      <c r="A38" s="74">
        <v>-28111.5</v>
      </c>
      <c r="B38" s="74">
        <v>2.6998529501724988E-2</v>
      </c>
      <c r="C38" s="74">
        <v>1</v>
      </c>
      <c r="D38" s="75">
        <f t="shared" si="6"/>
        <v>-2.81115</v>
      </c>
      <c r="E38" s="75">
        <f t="shared" si="6"/>
        <v>2.6998529501724988E-2</v>
      </c>
      <c r="F38" s="69">
        <f t="shared" si="7"/>
        <v>-2.81115</v>
      </c>
      <c r="G38" s="69">
        <f t="shared" si="7"/>
        <v>2.6998529501724988E-2</v>
      </c>
      <c r="H38" s="69">
        <f t="shared" si="8"/>
        <v>7.9025643225</v>
      </c>
      <c r="I38" s="69">
        <f t="shared" si="9"/>
        <v>-22.215293695195875</v>
      </c>
      <c r="J38" s="69">
        <f t="shared" si="10"/>
        <v>62.450522871249888</v>
      </c>
      <c r="K38" s="69">
        <f t="shared" si="11"/>
        <v>-7.5896916208774201E-2</v>
      </c>
      <c r="L38" s="69">
        <f t="shared" si="12"/>
        <v>0.2133576160002956</v>
      </c>
      <c r="M38" s="69">
        <f t="shared" ca="1" si="4"/>
        <v>2.5775310914314987E-2</v>
      </c>
      <c r="N38" s="69">
        <f t="shared" ca="1" si="13"/>
        <v>1.4962637125853176E-6</v>
      </c>
      <c r="O38" s="146">
        <f t="shared" ca="1" si="14"/>
        <v>841533225.07707953</v>
      </c>
      <c r="P38" s="69">
        <f t="shared" ca="1" si="15"/>
        <v>784626827.22148824</v>
      </c>
      <c r="Q38" s="69">
        <f t="shared" ca="1" si="16"/>
        <v>2179319804.453855</v>
      </c>
      <c r="R38" s="45">
        <f t="shared" ca="1" si="5"/>
        <v>1.2232185874100007E-3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x14ac:dyDescent="0.2">
      <c r="A39" s="74">
        <v>-28058</v>
      </c>
      <c r="B39" s="74">
        <v>2.7564113996049855E-2</v>
      </c>
      <c r="C39" s="74">
        <v>0.1</v>
      </c>
      <c r="D39" s="75">
        <f t="shared" si="6"/>
        <v>-2.8058000000000001</v>
      </c>
      <c r="E39" s="75">
        <f t="shared" si="6"/>
        <v>2.7564113996049855E-2</v>
      </c>
      <c r="F39" s="69">
        <f t="shared" si="7"/>
        <v>-0.28058</v>
      </c>
      <c r="G39" s="69">
        <f t="shared" si="7"/>
        <v>2.7564113996049857E-3</v>
      </c>
      <c r="H39" s="69">
        <f t="shared" si="8"/>
        <v>0.78725136400000006</v>
      </c>
      <c r="I39" s="69">
        <f t="shared" si="9"/>
        <v>-2.2088698771112001</v>
      </c>
      <c r="J39" s="69">
        <f t="shared" si="10"/>
        <v>6.197647101198605</v>
      </c>
      <c r="K39" s="69">
        <f t="shared" si="11"/>
        <v>-7.7339391050116691E-3</v>
      </c>
      <c r="L39" s="69">
        <f t="shared" si="12"/>
        <v>2.1699886340841742E-2</v>
      </c>
      <c r="M39" s="69">
        <f t="shared" ca="1" si="4"/>
        <v>2.569073819376505E-2</v>
      </c>
      <c r="N39" s="69">
        <f t="shared" ca="1" si="13"/>
        <v>3.5095368965862353E-7</v>
      </c>
      <c r="O39" s="146">
        <f t="shared" ca="1" si="14"/>
        <v>7764320.4584594276</v>
      </c>
      <c r="P39" s="69">
        <f t="shared" ca="1" si="15"/>
        <v>8677026.4237028826</v>
      </c>
      <c r="Q39" s="69">
        <f t="shared" ca="1" si="16"/>
        <v>21001704.597556435</v>
      </c>
      <c r="R39" s="45">
        <f t="shared" ca="1" si="5"/>
        <v>1.8733758022848046E-3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x14ac:dyDescent="0.2">
      <c r="A40" s="74">
        <v>-28049.5</v>
      </c>
      <c r="B40" s="74">
        <v>2.8986683508264832E-2</v>
      </c>
      <c r="C40" s="74">
        <v>0.1</v>
      </c>
      <c r="D40" s="75">
        <f t="shared" si="6"/>
        <v>-2.8049499999999998</v>
      </c>
      <c r="E40" s="75">
        <f t="shared" si="6"/>
        <v>2.8986683508264832E-2</v>
      </c>
      <c r="F40" s="69">
        <f t="shared" si="7"/>
        <v>-0.28049499999999999</v>
      </c>
      <c r="G40" s="69">
        <f t="shared" si="7"/>
        <v>2.8986683508264834E-3</v>
      </c>
      <c r="H40" s="69">
        <f t="shared" si="8"/>
        <v>0.78677445024999992</v>
      </c>
      <c r="I40" s="69">
        <f t="shared" si="9"/>
        <v>-2.2068629942287372</v>
      </c>
      <c r="J40" s="69">
        <f t="shared" si="10"/>
        <v>6.1901403556618959</v>
      </c>
      <c r="K40" s="69">
        <f t="shared" si="11"/>
        <v>-8.1306197906507449E-3</v>
      </c>
      <c r="L40" s="69">
        <f t="shared" si="12"/>
        <v>2.2805981981785805E-2</v>
      </c>
      <c r="M40" s="69">
        <f t="shared" ca="1" si="4"/>
        <v>2.5677312617690011E-2</v>
      </c>
      <c r="N40" s="69">
        <f t="shared" ca="1" si="13"/>
        <v>1.0951935691383986E-6</v>
      </c>
      <c r="O40" s="146">
        <f t="shared" ca="1" si="14"/>
        <v>7663415.4114702065</v>
      </c>
      <c r="P40" s="69">
        <f t="shared" ca="1" si="15"/>
        <v>8812553.696771007</v>
      </c>
      <c r="Q40" s="69">
        <f t="shared" ca="1" si="16"/>
        <v>20877523.131446682</v>
      </c>
      <c r="R40" s="45">
        <f t="shared" ca="1" si="5"/>
        <v>3.3093708905748212E-3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x14ac:dyDescent="0.2">
      <c r="A41" s="74">
        <v>-28014</v>
      </c>
      <c r="B41" s="74">
        <v>3.6375062001752667E-2</v>
      </c>
      <c r="C41" s="74">
        <v>1</v>
      </c>
      <c r="D41" s="75">
        <f t="shared" si="6"/>
        <v>-2.8014000000000001</v>
      </c>
      <c r="E41" s="75">
        <f t="shared" si="6"/>
        <v>3.6375062001752667E-2</v>
      </c>
      <c r="F41" s="69">
        <f t="shared" si="7"/>
        <v>-2.8014000000000001</v>
      </c>
      <c r="G41" s="69">
        <f t="shared" si="7"/>
        <v>3.6375062001752667E-2</v>
      </c>
      <c r="H41" s="69">
        <f t="shared" si="8"/>
        <v>7.8478419600000002</v>
      </c>
      <c r="I41" s="69">
        <f t="shared" si="9"/>
        <v>-21.984944466744</v>
      </c>
      <c r="J41" s="69">
        <f t="shared" si="10"/>
        <v>61.588623429136646</v>
      </c>
      <c r="K41" s="69">
        <f t="shared" si="11"/>
        <v>-0.10190109869170992</v>
      </c>
      <c r="L41" s="69">
        <f t="shared" si="12"/>
        <v>0.28546573787495616</v>
      </c>
      <c r="M41" s="69">
        <f t="shared" ca="1" si="4"/>
        <v>2.562127432378614E-2</v>
      </c>
      <c r="N41" s="69">
        <f t="shared" ca="1" si="13"/>
        <v>1.1564394942278471E-4</v>
      </c>
      <c r="O41" s="146">
        <f t="shared" ca="1" si="14"/>
        <v>724945205.15610969</v>
      </c>
      <c r="P41" s="69">
        <f t="shared" ca="1" si="15"/>
        <v>938898341.24179828</v>
      </c>
      <c r="Q41" s="69">
        <f t="shared" ca="1" si="16"/>
        <v>2036351335.4546685</v>
      </c>
      <c r="R41" s="45">
        <f t="shared" ca="1" si="5"/>
        <v>1.0753787677966527E-2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x14ac:dyDescent="0.2">
      <c r="A42" s="74">
        <v>-28008.5</v>
      </c>
      <c r="B42" s="74">
        <v>4.1001430501637515E-2</v>
      </c>
      <c r="C42" s="74">
        <v>1</v>
      </c>
      <c r="D42" s="75">
        <f t="shared" si="6"/>
        <v>-2.8008500000000001</v>
      </c>
      <c r="E42" s="75">
        <f t="shared" si="6"/>
        <v>4.1001430501637515E-2</v>
      </c>
      <c r="F42" s="69">
        <f t="shared" si="7"/>
        <v>-2.8008500000000001</v>
      </c>
      <c r="G42" s="69">
        <f t="shared" si="7"/>
        <v>4.1001430501637515E-2</v>
      </c>
      <c r="H42" s="69">
        <f t="shared" si="8"/>
        <v>7.8447607225000002</v>
      </c>
      <c r="I42" s="69">
        <f t="shared" si="9"/>
        <v>-21.971998069614127</v>
      </c>
      <c r="J42" s="69">
        <f t="shared" si="10"/>
        <v>61.540270793278729</v>
      </c>
      <c r="K42" s="69">
        <f t="shared" si="11"/>
        <v>-0.11483885662051144</v>
      </c>
      <c r="L42" s="69">
        <f t="shared" si="12"/>
        <v>0.32164641156555945</v>
      </c>
      <c r="M42" s="69">
        <f t="shared" ca="1" si="4"/>
        <v>2.5612597131835713E-2</v>
      </c>
      <c r="N42" s="69">
        <f t="shared" ca="1" si="13"/>
        <v>2.3681619248352547E-4</v>
      </c>
      <c r="O42" s="146">
        <f t="shared" ca="1" si="14"/>
        <v>718639250.74838138</v>
      </c>
      <c r="P42" s="69">
        <f t="shared" ca="1" si="15"/>
        <v>947978546.30624104</v>
      </c>
      <c r="Q42" s="69">
        <f t="shared" ca="1" si="16"/>
        <v>2028454487.819427</v>
      </c>
      <c r="R42" s="45">
        <f t="shared" ca="1" si="5"/>
        <v>1.5388833369801801E-2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x14ac:dyDescent="0.2">
      <c r="A43" s="74">
        <v>-28002.5</v>
      </c>
      <c r="B43" s="74">
        <v>4.2593832498823758E-2</v>
      </c>
      <c r="C43" s="74">
        <v>1</v>
      </c>
      <c r="D43" s="75">
        <f t="shared" si="6"/>
        <v>-2.8002500000000001</v>
      </c>
      <c r="E43" s="75">
        <f t="shared" si="6"/>
        <v>4.2593832498823758E-2</v>
      </c>
      <c r="F43" s="69">
        <f t="shared" si="7"/>
        <v>-2.8002500000000001</v>
      </c>
      <c r="G43" s="69">
        <f t="shared" si="7"/>
        <v>4.2593832498823758E-2</v>
      </c>
      <c r="H43" s="69">
        <f t="shared" si="8"/>
        <v>7.8414000625000009</v>
      </c>
      <c r="I43" s="69">
        <f t="shared" si="9"/>
        <v>-21.957880525015629</v>
      </c>
      <c r="J43" s="69">
        <f t="shared" si="10"/>
        <v>61.487554940175016</v>
      </c>
      <c r="K43" s="69">
        <f t="shared" si="11"/>
        <v>-0.11927337945483124</v>
      </c>
      <c r="L43" s="69">
        <f t="shared" si="12"/>
        <v>0.33399528081839119</v>
      </c>
      <c r="M43" s="69">
        <f t="shared" ca="1" si="4"/>
        <v>2.5603132572146865E-2</v>
      </c>
      <c r="N43" s="69">
        <f t="shared" ca="1" si="13"/>
        <v>2.8868388399837816E-4</v>
      </c>
      <c r="O43" s="146">
        <f t="shared" ca="1" si="14"/>
        <v>711792886.20778298</v>
      </c>
      <c r="P43" s="69">
        <f t="shared" ca="1" si="15"/>
        <v>957929828.5306555</v>
      </c>
      <c r="Q43" s="69">
        <f t="shared" ca="1" si="16"/>
        <v>2019860101.7520189</v>
      </c>
      <c r="R43" s="45">
        <f t="shared" ca="1" si="5"/>
        <v>1.6990699926676893E-2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x14ac:dyDescent="0.2">
      <c r="A44" s="74">
        <v>-26971.5</v>
      </c>
      <c r="B44" s="74">
        <v>2.5554909501806833E-2</v>
      </c>
      <c r="C44" s="74">
        <v>1</v>
      </c>
      <c r="D44" s="75">
        <f t="shared" si="6"/>
        <v>-2.6971500000000002</v>
      </c>
      <c r="E44" s="75">
        <f t="shared" si="6"/>
        <v>2.5554909501806833E-2</v>
      </c>
      <c r="F44" s="69">
        <f t="shared" si="7"/>
        <v>-2.6971500000000002</v>
      </c>
      <c r="G44" s="69">
        <f t="shared" si="7"/>
        <v>2.5554909501806833E-2</v>
      </c>
      <c r="H44" s="69">
        <f t="shared" si="8"/>
        <v>7.2746181225000006</v>
      </c>
      <c r="I44" s="69">
        <f t="shared" si="9"/>
        <v>-19.620736269100878</v>
      </c>
      <c r="J44" s="69">
        <f t="shared" si="10"/>
        <v>52.920068828205437</v>
      </c>
      <c r="K44" s="69">
        <f t="shared" si="11"/>
        <v>-6.8925424162798302E-2</v>
      </c>
      <c r="L44" s="69">
        <f t="shared" si="12"/>
        <v>0.18590220778069144</v>
      </c>
      <c r="M44" s="69">
        <f t="shared" ca="1" si="4"/>
        <v>2.3999550570915379E-2</v>
      </c>
      <c r="N44" s="69">
        <f t="shared" ca="1" si="13"/>
        <v>2.4191414039038064E-6</v>
      </c>
      <c r="O44" s="146">
        <f t="shared" ca="1" si="14"/>
        <v>26044964.139278535</v>
      </c>
      <c r="P44" s="69">
        <f t="shared" ca="1" si="15"/>
        <v>3316306291.2236638</v>
      </c>
      <c r="Q44" s="69">
        <f t="shared" ca="1" si="16"/>
        <v>842364491.26975286</v>
      </c>
      <c r="R44" s="45">
        <f t="shared" ca="1" si="5"/>
        <v>1.5553589308914539E-3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x14ac:dyDescent="0.2">
      <c r="A45" s="74">
        <v>-25840</v>
      </c>
      <c r="B45" s="74">
        <v>2.3588719996041618E-2</v>
      </c>
      <c r="C45" s="74">
        <v>1</v>
      </c>
      <c r="D45" s="75">
        <f t="shared" si="6"/>
        <v>-2.5840000000000001</v>
      </c>
      <c r="E45" s="75">
        <f t="shared" si="6"/>
        <v>2.3588719996041618E-2</v>
      </c>
      <c r="F45" s="69">
        <f t="shared" si="7"/>
        <v>-2.5840000000000001</v>
      </c>
      <c r="G45" s="69">
        <f t="shared" si="7"/>
        <v>2.3588719996041618E-2</v>
      </c>
      <c r="H45" s="69">
        <f t="shared" si="8"/>
        <v>6.6770560000000003</v>
      </c>
      <c r="I45" s="69">
        <f t="shared" si="9"/>
        <v>-17.253512704000002</v>
      </c>
      <c r="J45" s="69">
        <f t="shared" si="10"/>
        <v>44.583076827136004</v>
      </c>
      <c r="K45" s="69">
        <f t="shared" si="11"/>
        <v>-6.0953252469771541E-2</v>
      </c>
      <c r="L45" s="69">
        <f t="shared" si="12"/>
        <v>0.15750320438188967</v>
      </c>
      <c r="M45" s="69">
        <f t="shared" ca="1" si="4"/>
        <v>2.2291708560616092E-2</v>
      </c>
      <c r="N45" s="69">
        <f t="shared" ca="1" si="13"/>
        <v>1.6822386636245838E-6</v>
      </c>
      <c r="O45" s="146">
        <f t="shared" ca="1" si="14"/>
        <v>310371153.10872793</v>
      </c>
      <c r="P45" s="69">
        <f t="shared" ca="1" si="15"/>
        <v>7122741837.7299204</v>
      </c>
      <c r="Q45" s="69">
        <f t="shared" ca="1" si="16"/>
        <v>160799520.51587364</v>
      </c>
      <c r="R45" s="45">
        <f t="shared" ca="1" si="5"/>
        <v>1.2970114354255262E-3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x14ac:dyDescent="0.2">
      <c r="A46" s="74">
        <v>-25623.5</v>
      </c>
      <c r="B46" s="74">
        <v>2.5281225498474669E-2</v>
      </c>
      <c r="C46" s="74">
        <v>1</v>
      </c>
      <c r="D46" s="75">
        <f t="shared" si="6"/>
        <v>-2.5623499999999999</v>
      </c>
      <c r="E46" s="75">
        <f t="shared" si="6"/>
        <v>2.5281225498474669E-2</v>
      </c>
      <c r="F46" s="69">
        <f t="shared" si="7"/>
        <v>-2.5623499999999999</v>
      </c>
      <c r="G46" s="69">
        <f t="shared" si="7"/>
        <v>2.5281225498474669E-2</v>
      </c>
      <c r="H46" s="69">
        <f t="shared" si="8"/>
        <v>6.5656375224999994</v>
      </c>
      <c r="I46" s="69">
        <f t="shared" si="9"/>
        <v>-16.823461305777872</v>
      </c>
      <c r="J46" s="69">
        <f t="shared" si="10"/>
        <v>43.107596076859927</v>
      </c>
      <c r="K46" s="69">
        <f t="shared" si="11"/>
        <v>-6.4779348156016561E-2</v>
      </c>
      <c r="L46" s="69">
        <f t="shared" si="12"/>
        <v>0.16598736274756903</v>
      </c>
      <c r="M46" s="69">
        <f t="shared" ca="1" si="4"/>
        <v>2.1971140490269214E-2</v>
      </c>
      <c r="N46" s="69">
        <f t="shared" ca="1" si="13"/>
        <v>1.0956662761546504E-5</v>
      </c>
      <c r="O46" s="146">
        <f t="shared" ca="1" si="14"/>
        <v>477440416.54741406</v>
      </c>
      <c r="P46" s="69">
        <f t="shared" ca="1" si="15"/>
        <v>7963199542.9301243</v>
      </c>
      <c r="Q46" s="69">
        <f t="shared" ca="1" si="16"/>
        <v>93861716.398410678</v>
      </c>
      <c r="R46" s="45">
        <f t="shared" ca="1" si="5"/>
        <v>3.3100850082054545E-3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x14ac:dyDescent="0.2">
      <c r="A47" s="74">
        <v>-25592</v>
      </c>
      <c r="B47" s="74">
        <v>2.3941336003190372E-2</v>
      </c>
      <c r="C47" s="74">
        <v>1</v>
      </c>
      <c r="D47" s="75">
        <f t="shared" si="6"/>
        <v>-2.5592000000000001</v>
      </c>
      <c r="E47" s="75">
        <f t="shared" si="6"/>
        <v>2.3941336003190372E-2</v>
      </c>
      <c r="F47" s="69">
        <f t="shared" si="7"/>
        <v>-2.5592000000000001</v>
      </c>
      <c r="G47" s="69">
        <f t="shared" si="7"/>
        <v>2.3941336003190372E-2</v>
      </c>
      <c r="H47" s="69">
        <f t="shared" si="8"/>
        <v>6.5495046400000003</v>
      </c>
      <c r="I47" s="69">
        <f t="shared" si="9"/>
        <v>-16.761492274688003</v>
      </c>
      <c r="J47" s="69">
        <f t="shared" si="10"/>
        <v>42.89601102938154</v>
      </c>
      <c r="K47" s="69">
        <f t="shared" si="11"/>
        <v>-6.1270667099364802E-2</v>
      </c>
      <c r="L47" s="69">
        <f t="shared" si="12"/>
        <v>0.15680389124069441</v>
      </c>
      <c r="M47" s="69">
        <f t="shared" ca="1" si="4"/>
        <v>2.1924665137612487E-2</v>
      </c>
      <c r="N47" s="69">
        <f t="shared" ca="1" si="13"/>
        <v>4.0669613800706572E-6</v>
      </c>
      <c r="O47" s="146">
        <f t="shared" ca="1" si="14"/>
        <v>504597378.9926213</v>
      </c>
      <c r="P47" s="69">
        <f t="shared" ca="1" si="15"/>
        <v>8087995824.0520859</v>
      </c>
      <c r="Q47" s="69">
        <f t="shared" ca="1" si="16"/>
        <v>85681623.208057508</v>
      </c>
      <c r="R47" s="45">
        <f t="shared" ca="1" si="5"/>
        <v>2.0166708655778853E-3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x14ac:dyDescent="0.2">
      <c r="A48" s="74">
        <v>-25009</v>
      </c>
      <c r="B48" s="74">
        <v>2.1936397002718877E-2</v>
      </c>
      <c r="C48" s="74">
        <v>1</v>
      </c>
      <c r="D48" s="75">
        <f t="shared" si="6"/>
        <v>-2.5009000000000001</v>
      </c>
      <c r="E48" s="75">
        <f t="shared" si="6"/>
        <v>2.1936397002718877E-2</v>
      </c>
      <c r="F48" s="69">
        <f t="shared" si="7"/>
        <v>-2.5009000000000001</v>
      </c>
      <c r="G48" s="69">
        <f t="shared" si="7"/>
        <v>2.1936397002718877E-2</v>
      </c>
      <c r="H48" s="69">
        <f t="shared" si="8"/>
        <v>6.2545008100000006</v>
      </c>
      <c r="I48" s="69">
        <f t="shared" si="9"/>
        <v>-15.641881075729001</v>
      </c>
      <c r="J48" s="69">
        <f t="shared" si="10"/>
        <v>39.118780382290659</v>
      </c>
      <c r="K48" s="69">
        <f t="shared" si="11"/>
        <v>-5.4860735264099646E-2</v>
      </c>
      <c r="L48" s="69">
        <f t="shared" si="12"/>
        <v>0.1372012128219868</v>
      </c>
      <c r="M48" s="69">
        <f t="shared" ca="1" si="4"/>
        <v>2.1072123681195192E-2</v>
      </c>
      <c r="N48" s="69">
        <f t="shared" ca="1" si="13"/>
        <v>7.4696837429758274E-7</v>
      </c>
      <c r="O48" s="146">
        <f t="shared" ca="1" si="14"/>
        <v>1133347784.1975424</v>
      </c>
      <c r="P48" s="69">
        <f t="shared" ca="1" si="15"/>
        <v>10500005284.345232</v>
      </c>
      <c r="Q48" s="69">
        <f t="shared" ca="1" si="16"/>
        <v>2045222.1125599763</v>
      </c>
      <c r="R48" s="45">
        <f t="shared" ca="1" si="5"/>
        <v>8.6427332152368488E-4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x14ac:dyDescent="0.2">
      <c r="A49" s="74">
        <v>-25006</v>
      </c>
      <c r="B49" s="74">
        <v>2.3632598000403959E-2</v>
      </c>
      <c r="C49" s="74">
        <v>1</v>
      </c>
      <c r="D49" s="75">
        <f t="shared" si="6"/>
        <v>-2.5005999999999999</v>
      </c>
      <c r="E49" s="75">
        <f t="shared" si="6"/>
        <v>2.3632598000403959E-2</v>
      </c>
      <c r="F49" s="69">
        <f t="shared" si="7"/>
        <v>-2.5005999999999999</v>
      </c>
      <c r="G49" s="69">
        <f t="shared" si="7"/>
        <v>2.3632598000403959E-2</v>
      </c>
      <c r="H49" s="69">
        <f t="shared" si="8"/>
        <v>6.2530003599999997</v>
      </c>
      <c r="I49" s="69">
        <f t="shared" si="9"/>
        <v>-15.636252700216</v>
      </c>
      <c r="J49" s="69">
        <f t="shared" si="10"/>
        <v>39.100013502160131</v>
      </c>
      <c r="K49" s="69">
        <f t="shared" si="11"/>
        <v>-5.9095674559810137E-2</v>
      </c>
      <c r="L49" s="69">
        <f t="shared" si="12"/>
        <v>0.14777464380426122</v>
      </c>
      <c r="M49" s="69">
        <f t="shared" ca="1" si="4"/>
        <v>2.1067774074787975E-2</v>
      </c>
      <c r="N49" s="69">
        <f t="shared" ca="1" si="13"/>
        <v>6.5783217694121864E-6</v>
      </c>
      <c r="O49" s="146">
        <f t="shared" ca="1" si="14"/>
        <v>1137185804.1700225</v>
      </c>
      <c r="P49" s="69">
        <f t="shared" ca="1" si="15"/>
        <v>10512872648.038855</v>
      </c>
      <c r="Q49" s="69">
        <f t="shared" ca="1" si="16"/>
        <v>1933909.0345761729</v>
      </c>
      <c r="R49" s="45">
        <f t="shared" ca="1" si="5"/>
        <v>2.564823925615984E-3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x14ac:dyDescent="0.2">
      <c r="A50" s="74">
        <v>-24640.5</v>
      </c>
      <c r="B50" s="74">
        <v>2.4403086506936233E-2</v>
      </c>
      <c r="C50" s="74">
        <v>1</v>
      </c>
      <c r="D50" s="75">
        <f t="shared" si="6"/>
        <v>-2.4640499999999999</v>
      </c>
      <c r="E50" s="75">
        <f t="shared" si="6"/>
        <v>2.4403086506936233E-2</v>
      </c>
      <c r="F50" s="69">
        <f t="shared" si="7"/>
        <v>-2.4640499999999999</v>
      </c>
      <c r="G50" s="69">
        <f t="shared" si="7"/>
        <v>2.4403086506936233E-2</v>
      </c>
      <c r="H50" s="69">
        <f t="shared" si="8"/>
        <v>6.0715424024999995</v>
      </c>
      <c r="I50" s="69">
        <f t="shared" si="9"/>
        <v>-14.960584056880123</v>
      </c>
      <c r="J50" s="69">
        <f t="shared" si="10"/>
        <v>36.863627145355466</v>
      </c>
      <c r="K50" s="69">
        <f t="shared" si="11"/>
        <v>-6.0130425307416226E-2</v>
      </c>
      <c r="L50" s="69">
        <f t="shared" si="12"/>
        <v>0.14816437447873895</v>
      </c>
      <c r="M50" s="69">
        <f t="shared" ca="1" si="4"/>
        <v>2.0540712328908278E-2</v>
      </c>
      <c r="N50" s="69">
        <f t="shared" ca="1" si="13"/>
        <v>1.4917934291097122E-5</v>
      </c>
      <c r="O50" s="146">
        <f t="shared" ca="1" si="14"/>
        <v>1649041492.1252019</v>
      </c>
      <c r="P50" s="69">
        <f t="shared" ca="1" si="15"/>
        <v>12110114619.42767</v>
      </c>
      <c r="Q50" s="69">
        <f t="shared" ca="1" si="16"/>
        <v>11256264.770901019</v>
      </c>
      <c r="R50" s="45">
        <f t="shared" ca="1" si="5"/>
        <v>3.8623741780279552E-3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x14ac:dyDescent="0.2">
      <c r="A51" s="74">
        <v>-24638</v>
      </c>
      <c r="B51" s="74">
        <v>2.5033254001755267E-2</v>
      </c>
      <c r="C51" s="74">
        <v>0.1</v>
      </c>
      <c r="D51" s="75">
        <f t="shared" si="6"/>
        <v>-2.4638</v>
      </c>
      <c r="E51" s="75">
        <f t="shared" si="6"/>
        <v>2.5033254001755267E-2</v>
      </c>
      <c r="F51" s="69">
        <f t="shared" si="7"/>
        <v>-0.24638000000000002</v>
      </c>
      <c r="G51" s="69">
        <f t="shared" si="7"/>
        <v>2.5033254001755271E-3</v>
      </c>
      <c r="H51" s="69">
        <f t="shared" si="8"/>
        <v>0.60703104400000008</v>
      </c>
      <c r="I51" s="69">
        <f t="shared" si="9"/>
        <v>-1.4956030862072003</v>
      </c>
      <c r="J51" s="69">
        <f t="shared" si="10"/>
        <v>3.6848668837973002</v>
      </c>
      <c r="K51" s="69">
        <f t="shared" si="11"/>
        <v>-6.1676931209524635E-3</v>
      </c>
      <c r="L51" s="69">
        <f t="shared" si="12"/>
        <v>1.519596231140268E-2</v>
      </c>
      <c r="M51" s="69">
        <f t="shared" ca="1" si="4"/>
        <v>2.0537126827319563E-2</v>
      </c>
      <c r="N51" s="69">
        <f t="shared" ca="1" si="13"/>
        <v>2.0215159568699193E-6</v>
      </c>
      <c r="O51" s="146">
        <f t="shared" ca="1" si="14"/>
        <v>16528398.234514985</v>
      </c>
      <c r="P51" s="69">
        <f t="shared" ca="1" si="15"/>
        <v>121212277.32238339</v>
      </c>
      <c r="Q51" s="69">
        <f t="shared" ca="1" si="16"/>
        <v>114722.54994691607</v>
      </c>
      <c r="R51" s="45">
        <f t="shared" ca="1" si="5"/>
        <v>4.4961271744357045E-3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x14ac:dyDescent="0.2">
      <c r="A52" s="74">
        <v>-24638</v>
      </c>
      <c r="B52" s="74">
        <v>2.4733254002057947E-2</v>
      </c>
      <c r="C52" s="74">
        <v>1</v>
      </c>
      <c r="D52" s="75">
        <f t="shared" si="6"/>
        <v>-2.4638</v>
      </c>
      <c r="E52" s="75">
        <f t="shared" si="6"/>
        <v>2.4733254002057947E-2</v>
      </c>
      <c r="F52" s="69">
        <f t="shared" si="7"/>
        <v>-2.4638</v>
      </c>
      <c r="G52" s="69">
        <f t="shared" si="7"/>
        <v>2.4733254002057947E-2</v>
      </c>
      <c r="H52" s="69">
        <f t="shared" si="8"/>
        <v>6.0703104400000001</v>
      </c>
      <c r="I52" s="69">
        <f t="shared" si="9"/>
        <v>-14.956030862072</v>
      </c>
      <c r="J52" s="69">
        <f t="shared" si="10"/>
        <v>36.848668837972994</v>
      </c>
      <c r="K52" s="69">
        <f t="shared" si="11"/>
        <v>-6.0937791210270369E-2</v>
      </c>
      <c r="L52" s="69">
        <f t="shared" si="12"/>
        <v>0.15013852998386412</v>
      </c>
      <c r="M52" s="69">
        <f t="shared" ca="1" si="4"/>
        <v>2.0537126827319563E-2</v>
      </c>
      <c r="N52" s="69">
        <f t="shared" ca="1" si="13"/>
        <v>1.7607483266577935E-5</v>
      </c>
      <c r="O52" s="146">
        <f t="shared" ca="1" si="14"/>
        <v>1652839823.4514997</v>
      </c>
      <c r="P52" s="69">
        <f t="shared" ca="1" si="15"/>
        <v>12121227732.238329</v>
      </c>
      <c r="Q52" s="69">
        <f t="shared" ca="1" si="16"/>
        <v>11472254.994691951</v>
      </c>
      <c r="R52" s="45">
        <f t="shared" ca="1" si="5"/>
        <v>4.1961271747383844E-3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x14ac:dyDescent="0.2">
      <c r="A53" s="74">
        <v>-24635</v>
      </c>
      <c r="B53" s="74">
        <v>2.5929455005098134E-2</v>
      </c>
      <c r="C53" s="74">
        <v>1</v>
      </c>
      <c r="D53" s="75">
        <f t="shared" si="6"/>
        <v>-2.4634999999999998</v>
      </c>
      <c r="E53" s="75">
        <f t="shared" si="6"/>
        <v>2.5929455005098134E-2</v>
      </c>
      <c r="F53" s="69">
        <f t="shared" si="7"/>
        <v>-2.4634999999999998</v>
      </c>
      <c r="G53" s="69">
        <f t="shared" si="7"/>
        <v>2.5929455005098134E-2</v>
      </c>
      <c r="H53" s="69">
        <f t="shared" si="8"/>
        <v>6.0688322499999989</v>
      </c>
      <c r="I53" s="69">
        <f t="shared" si="9"/>
        <v>-14.950568247874996</v>
      </c>
      <c r="J53" s="69">
        <f t="shared" si="10"/>
        <v>36.830724878640048</v>
      </c>
      <c r="K53" s="69">
        <f t="shared" si="11"/>
        <v>-6.3877212405059253E-2</v>
      </c>
      <c r="L53" s="69">
        <f t="shared" si="12"/>
        <v>0.15736151275986346</v>
      </c>
      <c r="M53" s="69">
        <f t="shared" ca="1" si="4"/>
        <v>2.0532824576431092E-2</v>
      </c>
      <c r="N53" s="69">
        <f t="shared" ca="1" si="13"/>
        <v>2.9123619983615023E-5</v>
      </c>
      <c r="O53" s="146">
        <f t="shared" ca="1" si="14"/>
        <v>1657403062.4521348</v>
      </c>
      <c r="P53" s="69">
        <f t="shared" ca="1" si="15"/>
        <v>12134566593.381805</v>
      </c>
      <c r="Q53" s="69">
        <f t="shared" ca="1" si="16"/>
        <v>11734100.585802585</v>
      </c>
      <c r="R53" s="45">
        <f t="shared" ca="1" si="5"/>
        <v>5.3966304286670423E-3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x14ac:dyDescent="0.2">
      <c r="A54" s="74">
        <v>-24632</v>
      </c>
      <c r="B54" s="74">
        <v>2.5925656002073083E-2</v>
      </c>
      <c r="C54" s="74">
        <v>1</v>
      </c>
      <c r="D54" s="75">
        <f t="shared" si="6"/>
        <v>-2.4632000000000001</v>
      </c>
      <c r="E54" s="75">
        <f t="shared" si="6"/>
        <v>2.5925656002073083E-2</v>
      </c>
      <c r="F54" s="69">
        <f t="shared" si="7"/>
        <v>-2.4632000000000001</v>
      </c>
      <c r="G54" s="69">
        <f t="shared" si="7"/>
        <v>2.5925656002073083E-2</v>
      </c>
      <c r="H54" s="69">
        <f t="shared" si="8"/>
        <v>6.0673542400000002</v>
      </c>
      <c r="I54" s="69">
        <f t="shared" si="9"/>
        <v>-14.945106963968001</v>
      </c>
      <c r="J54" s="69">
        <f t="shared" si="10"/>
        <v>36.812787473645983</v>
      </c>
      <c r="K54" s="69">
        <f t="shared" si="11"/>
        <v>-6.386007586430642E-2</v>
      </c>
      <c r="L54" s="69">
        <f t="shared" si="12"/>
        <v>0.15730013886895958</v>
      </c>
      <c r="M54" s="69">
        <f t="shared" ca="1" si="4"/>
        <v>2.0528522708471351E-2</v>
      </c>
      <c r="N54" s="69">
        <f t="shared" ca="1" si="13"/>
        <v>2.9129047788904275E-5</v>
      </c>
      <c r="O54" s="146">
        <f t="shared" ca="1" si="14"/>
        <v>1661972017.1128993</v>
      </c>
      <c r="P54" s="69">
        <f t="shared" ca="1" si="15"/>
        <v>12147908858.336143</v>
      </c>
      <c r="Q54" s="69">
        <f t="shared" ca="1" si="16"/>
        <v>11998843.266505478</v>
      </c>
      <c r="R54" s="45">
        <f t="shared" ca="1" si="5"/>
        <v>5.3971332936017316E-3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x14ac:dyDescent="0.2">
      <c r="A55" s="74">
        <v>-24626.5</v>
      </c>
      <c r="B55" s="74">
        <v>2.515202450013021E-2</v>
      </c>
      <c r="C55" s="74">
        <v>1</v>
      </c>
      <c r="D55" s="75">
        <f t="shared" si="6"/>
        <v>-2.46265</v>
      </c>
      <c r="E55" s="75">
        <f t="shared" si="6"/>
        <v>2.515202450013021E-2</v>
      </c>
      <c r="F55" s="69">
        <f t="shared" si="7"/>
        <v>-2.46265</v>
      </c>
      <c r="G55" s="69">
        <f t="shared" si="7"/>
        <v>2.515202450013021E-2</v>
      </c>
      <c r="H55" s="69">
        <f t="shared" si="8"/>
        <v>6.0646450224999997</v>
      </c>
      <c r="I55" s="69">
        <f t="shared" si="9"/>
        <v>-14.935098064659625</v>
      </c>
      <c r="J55" s="69">
        <f t="shared" si="10"/>
        <v>36.779919248934029</v>
      </c>
      <c r="K55" s="69">
        <f t="shared" si="11"/>
        <v>-6.1940633135245664E-2</v>
      </c>
      <c r="L55" s="69">
        <f t="shared" si="12"/>
        <v>0.15253810019051273</v>
      </c>
      <c r="M55" s="69">
        <f t="shared" ca="1" si="4"/>
        <v>2.0520636945096142E-2</v>
      </c>
      <c r="N55" s="69">
        <f t="shared" ca="1" si="13"/>
        <v>2.1449750684924444E-5</v>
      </c>
      <c r="O55" s="146">
        <f t="shared" ca="1" si="14"/>
        <v>1670363270.9582303</v>
      </c>
      <c r="P55" s="69">
        <f t="shared" ca="1" si="15"/>
        <v>12172378496.372347</v>
      </c>
      <c r="Q55" s="69">
        <f t="shared" ca="1" si="16"/>
        <v>12491722.882636018</v>
      </c>
      <c r="R55" s="45">
        <f t="shared" ca="1" si="5"/>
        <v>4.631387555034068E-3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x14ac:dyDescent="0.2">
      <c r="A56" s="74">
        <v>-24621</v>
      </c>
      <c r="B56" s="74">
        <v>2.4078392998490017E-2</v>
      </c>
      <c r="C56" s="74">
        <v>1</v>
      </c>
      <c r="D56" s="75">
        <f t="shared" si="6"/>
        <v>-2.4621</v>
      </c>
      <c r="E56" s="75">
        <f t="shared" si="6"/>
        <v>2.4078392998490017E-2</v>
      </c>
      <c r="F56" s="69">
        <f t="shared" si="7"/>
        <v>-2.4621</v>
      </c>
      <c r="G56" s="69">
        <f t="shared" si="7"/>
        <v>2.4078392998490017E-2</v>
      </c>
      <c r="H56" s="69">
        <f t="shared" si="8"/>
        <v>6.0619364099999995</v>
      </c>
      <c r="I56" s="69">
        <f t="shared" si="9"/>
        <v>-14.925093635060998</v>
      </c>
      <c r="J56" s="69">
        <f t="shared" si="10"/>
        <v>36.747073038883684</v>
      </c>
      <c r="K56" s="69">
        <f t="shared" si="11"/>
        <v>-5.9283411401582269E-2</v>
      </c>
      <c r="L56" s="69">
        <f t="shared" si="12"/>
        <v>0.14596168721183569</v>
      </c>
      <c r="M56" s="69">
        <f t="shared" ca="1" si="4"/>
        <v>2.0512752468786921E-2</v>
      </c>
      <c r="N56" s="69">
        <f t="shared" ca="1" si="13"/>
        <v>1.2713792387061373E-5</v>
      </c>
      <c r="O56" s="146">
        <f t="shared" ca="1" si="14"/>
        <v>1678773713.1845407</v>
      </c>
      <c r="P56" s="69">
        <f t="shared" ca="1" si="15"/>
        <v>12196859513.313255</v>
      </c>
      <c r="Q56" s="69">
        <f t="shared" ca="1" si="16"/>
        <v>12994321.71831164</v>
      </c>
      <c r="R56" s="45">
        <f t="shared" ca="1" si="5"/>
        <v>3.5656405297030958E-3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x14ac:dyDescent="0.2">
      <c r="A57" s="74">
        <v>-24620.5</v>
      </c>
      <c r="B57" s="74">
        <v>2.4944426499132533E-2</v>
      </c>
      <c r="C57" s="74">
        <v>1</v>
      </c>
      <c r="D57" s="75">
        <f t="shared" si="6"/>
        <v>-2.4620500000000001</v>
      </c>
      <c r="E57" s="75">
        <f t="shared" si="6"/>
        <v>2.4944426499132533E-2</v>
      </c>
      <c r="F57" s="69">
        <f t="shared" si="7"/>
        <v>-2.4620500000000001</v>
      </c>
      <c r="G57" s="69">
        <f t="shared" si="7"/>
        <v>2.4944426499132533E-2</v>
      </c>
      <c r="H57" s="69">
        <f t="shared" si="8"/>
        <v>6.0616902025000003</v>
      </c>
      <c r="I57" s="69">
        <f t="shared" si="9"/>
        <v>-14.924184363065127</v>
      </c>
      <c r="J57" s="69">
        <f t="shared" si="10"/>
        <v>36.744088111084494</v>
      </c>
      <c r="K57" s="69">
        <f t="shared" si="11"/>
        <v>-6.1414425262189251E-2</v>
      </c>
      <c r="L57" s="69">
        <f t="shared" si="12"/>
        <v>0.15120538571677306</v>
      </c>
      <c r="M57" s="69">
        <f t="shared" ca="1" si="4"/>
        <v>2.0512035762034812E-2</v>
      </c>
      <c r="N57" s="69">
        <f t="shared" ca="1" si="13"/>
        <v>1.9646087646309679E-5</v>
      </c>
      <c r="O57" s="146">
        <f t="shared" ca="1" si="14"/>
        <v>1679539249.826436</v>
      </c>
      <c r="P57" s="69">
        <f t="shared" ca="1" si="15"/>
        <v>12199085623.17248</v>
      </c>
      <c r="Q57" s="69">
        <f t="shared" ca="1" si="16"/>
        <v>13040494.059029732</v>
      </c>
      <c r="R57" s="45">
        <f t="shared" ca="1" si="5"/>
        <v>4.432390737097721E-3</v>
      </c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x14ac:dyDescent="0.2">
      <c r="A58" s="74">
        <v>-24563.5</v>
      </c>
      <c r="B58" s="74">
        <v>2.30722455016803E-2</v>
      </c>
      <c r="C58" s="74">
        <v>1</v>
      </c>
      <c r="D58" s="75">
        <f t="shared" si="6"/>
        <v>-2.45635</v>
      </c>
      <c r="E58" s="75">
        <f t="shared" si="6"/>
        <v>2.30722455016803E-2</v>
      </c>
      <c r="F58" s="69">
        <f t="shared" si="7"/>
        <v>-2.45635</v>
      </c>
      <c r="G58" s="69">
        <f t="shared" si="7"/>
        <v>2.30722455016803E-2</v>
      </c>
      <c r="H58" s="69">
        <f t="shared" si="8"/>
        <v>6.0336553225000005</v>
      </c>
      <c r="I58" s="69">
        <f t="shared" si="9"/>
        <v>-14.820769251422876</v>
      </c>
      <c r="J58" s="69">
        <f t="shared" si="10"/>
        <v>36.404996550732584</v>
      </c>
      <c r="K58" s="69">
        <f t="shared" si="11"/>
        <v>-5.6673510238052408E-2</v>
      </c>
      <c r="L58" s="69">
        <f t="shared" si="12"/>
        <v>0.13920997687324002</v>
      </c>
      <c r="M58" s="69">
        <f t="shared" ca="1" si="4"/>
        <v>2.0430400917232385E-2</v>
      </c>
      <c r="N58" s="69">
        <f t="shared" ca="1" si="13"/>
        <v>6.9793428083767743E-6</v>
      </c>
      <c r="O58" s="146">
        <f t="shared" ca="1" si="14"/>
        <v>1767846357.7769892</v>
      </c>
      <c r="P58" s="69">
        <f t="shared" ca="1" si="15"/>
        <v>12453468839.529062</v>
      </c>
      <c r="Q58" s="69">
        <f t="shared" ca="1" si="16"/>
        <v>18827785.935159594</v>
      </c>
      <c r="R58" s="45">
        <f t="shared" ca="1" si="5"/>
        <v>2.6418445844479145E-3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x14ac:dyDescent="0.2">
      <c r="A59" s="74">
        <v>-24546.5</v>
      </c>
      <c r="B59" s="74">
        <v>2.4617384500743356E-2</v>
      </c>
      <c r="C59" s="74">
        <v>1</v>
      </c>
      <c r="D59" s="75">
        <f t="shared" si="6"/>
        <v>-2.45465</v>
      </c>
      <c r="E59" s="75">
        <f t="shared" si="6"/>
        <v>2.4617384500743356E-2</v>
      </c>
      <c r="F59" s="69">
        <f t="shared" si="7"/>
        <v>-2.45465</v>
      </c>
      <c r="G59" s="69">
        <f t="shared" si="7"/>
        <v>2.4617384500743356E-2</v>
      </c>
      <c r="H59" s="69">
        <f t="shared" si="8"/>
        <v>6.0253066224999996</v>
      </c>
      <c r="I59" s="69">
        <f t="shared" si="9"/>
        <v>-14.790018900919623</v>
      </c>
      <c r="J59" s="69">
        <f t="shared" si="10"/>
        <v>36.304319895142356</v>
      </c>
      <c r="K59" s="69">
        <f t="shared" si="11"/>
        <v>-6.0427062864749678E-2</v>
      </c>
      <c r="L59" s="69">
        <f t="shared" si="12"/>
        <v>0.14832728986095781</v>
      </c>
      <c r="M59" s="69">
        <f t="shared" ca="1" si="4"/>
        <v>2.0406080445280597E-2</v>
      </c>
      <c r="N59" s="69">
        <f t="shared" ca="1" si="13"/>
        <v>1.7735081847557075E-5</v>
      </c>
      <c r="O59" s="146">
        <f t="shared" ca="1" si="14"/>
        <v>1794579816.0870731</v>
      </c>
      <c r="P59" s="69">
        <f t="shared" ca="1" si="15"/>
        <v>12529566652.885698</v>
      </c>
      <c r="Q59" s="69">
        <f t="shared" ca="1" si="16"/>
        <v>20753707.096314795</v>
      </c>
      <c r="R59" s="45">
        <f t="shared" ca="1" si="5"/>
        <v>4.2113040554627584E-3</v>
      </c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x14ac:dyDescent="0.2">
      <c r="A60" s="74">
        <v>-23972</v>
      </c>
      <c r="B60" s="74">
        <v>5.7898760060197674E-3</v>
      </c>
      <c r="C60" s="74">
        <v>1</v>
      </c>
      <c r="D60" s="75">
        <f t="shared" si="6"/>
        <v>-2.3972000000000002</v>
      </c>
      <c r="E60" s="75">
        <f t="shared" si="6"/>
        <v>5.7898760060197674E-3</v>
      </c>
      <c r="F60" s="69">
        <f t="shared" si="7"/>
        <v>-2.3972000000000002</v>
      </c>
      <c r="G60" s="69">
        <f t="shared" si="7"/>
        <v>5.7898760060197674E-3</v>
      </c>
      <c r="H60" s="69">
        <f t="shared" si="8"/>
        <v>5.7465678400000009</v>
      </c>
      <c r="I60" s="69">
        <f t="shared" si="9"/>
        <v>-13.775672426048004</v>
      </c>
      <c r="J60" s="69">
        <f t="shared" si="10"/>
        <v>33.023041939722276</v>
      </c>
      <c r="K60" s="69">
        <f t="shared" si="11"/>
        <v>-1.3879490761630588E-2</v>
      </c>
      <c r="L60" s="69">
        <f t="shared" si="12"/>
        <v>3.327191525378085E-2</v>
      </c>
      <c r="M60" s="69">
        <f t="shared" ca="1" si="4"/>
        <v>1.9591420754584487E-2</v>
      </c>
      <c r="N60" s="69">
        <f t="shared" ca="1" si="13"/>
        <v>1.9048263744663439E-4</v>
      </c>
      <c r="O60" s="146">
        <f t="shared" ca="1" si="14"/>
        <v>2801851707.2441425</v>
      </c>
      <c r="P60" s="69">
        <f t="shared" ca="1" si="15"/>
        <v>15154486566.115767</v>
      </c>
      <c r="Q60" s="69">
        <f t="shared" ca="1" si="16"/>
        <v>137268578.51457271</v>
      </c>
      <c r="R60" s="45">
        <f t="shared" ca="1" si="5"/>
        <v>-1.380154474856472E-2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x14ac:dyDescent="0.2">
      <c r="A61" s="74">
        <v>-23843.5</v>
      </c>
      <c r="B61" s="74">
        <v>2.6960485505696852E-2</v>
      </c>
      <c r="C61" s="74">
        <v>1</v>
      </c>
      <c r="D61" s="75">
        <f t="shared" si="6"/>
        <v>-2.38435</v>
      </c>
      <c r="E61" s="75">
        <f t="shared" si="6"/>
        <v>2.6960485505696852E-2</v>
      </c>
      <c r="F61" s="69">
        <f t="shared" si="7"/>
        <v>-2.38435</v>
      </c>
      <c r="G61" s="69">
        <f t="shared" si="7"/>
        <v>2.6960485505696852E-2</v>
      </c>
      <c r="H61" s="69">
        <f t="shared" si="8"/>
        <v>5.6851249225</v>
      </c>
      <c r="I61" s="69">
        <f t="shared" si="9"/>
        <v>-13.555327608962875</v>
      </c>
      <c r="J61" s="69">
        <f t="shared" si="10"/>
        <v>32.320645384430634</v>
      </c>
      <c r="K61" s="69">
        <f t="shared" si="11"/>
        <v>-6.4283233615508292E-2</v>
      </c>
      <c r="L61" s="69">
        <f t="shared" si="12"/>
        <v>0.15327372807113721</v>
      </c>
      <c r="M61" s="69">
        <f t="shared" ca="1" si="4"/>
        <v>1.9411125354965961E-2</v>
      </c>
      <c r="N61" s="69">
        <f t="shared" ca="1" si="13"/>
        <v>5.6992838685443542E-5</v>
      </c>
      <c r="O61" s="146">
        <f t="shared" ca="1" si="14"/>
        <v>3053818571.0908279</v>
      </c>
      <c r="P61" s="69">
        <f t="shared" ca="1" si="15"/>
        <v>15753269935.363628</v>
      </c>
      <c r="Q61" s="69">
        <f t="shared" ca="1" si="16"/>
        <v>176255655.40352485</v>
      </c>
      <c r="R61" s="45">
        <f t="shared" ca="1" si="5"/>
        <v>7.5493601507308911E-3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x14ac:dyDescent="0.2">
      <c r="A62" s="74">
        <v>-21024.5</v>
      </c>
      <c r="B62" s="74">
        <v>1.7257358500501141E-2</v>
      </c>
      <c r="C62" s="74">
        <v>1</v>
      </c>
      <c r="D62" s="75">
        <f t="shared" si="6"/>
        <v>-2.1024500000000002</v>
      </c>
      <c r="E62" s="75">
        <f t="shared" si="6"/>
        <v>1.7257358500501141E-2</v>
      </c>
      <c r="F62" s="69">
        <f t="shared" si="7"/>
        <v>-2.1024500000000002</v>
      </c>
      <c r="G62" s="69">
        <f t="shared" si="7"/>
        <v>1.7257358500501141E-2</v>
      </c>
      <c r="H62" s="69">
        <f t="shared" si="8"/>
        <v>4.4202960025000007</v>
      </c>
      <c r="I62" s="69">
        <f t="shared" si="9"/>
        <v>-9.2934513304561275</v>
      </c>
      <c r="J62" s="69">
        <f t="shared" si="10"/>
        <v>19.539016749717486</v>
      </c>
      <c r="K62" s="69">
        <f t="shared" si="11"/>
        <v>-3.6282733379378623E-2</v>
      </c>
      <c r="L62" s="69">
        <f t="shared" si="12"/>
        <v>7.6282632793474595E-2</v>
      </c>
      <c r="M62" s="69">
        <f t="shared" ca="1" si="4"/>
        <v>1.5632615386173422E-2</v>
      </c>
      <c r="N62" s="69">
        <f t="shared" ca="1" si="13"/>
        <v>2.6397901875553349E-6</v>
      </c>
      <c r="O62" s="146">
        <f t="shared" ca="1" si="14"/>
        <v>10628862330.89852</v>
      </c>
      <c r="P62" s="69">
        <f t="shared" ca="1" si="15"/>
        <v>28939249064.270611</v>
      </c>
      <c r="Q62" s="69">
        <f t="shared" ca="1" si="16"/>
        <v>1906791059.2991872</v>
      </c>
      <c r="R62" s="45">
        <f t="shared" ca="1" si="5"/>
        <v>1.6247431143277188E-3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x14ac:dyDescent="0.2">
      <c r="A63" s="74">
        <v>-21021.5</v>
      </c>
      <c r="B63" s="74">
        <v>1.6753559495555237E-2</v>
      </c>
      <c r="C63" s="74">
        <v>1</v>
      </c>
      <c r="D63" s="75">
        <f t="shared" si="6"/>
        <v>-2.10215</v>
      </c>
      <c r="E63" s="75">
        <f t="shared" si="6"/>
        <v>1.6753559495555237E-2</v>
      </c>
      <c r="F63" s="69">
        <f t="shared" si="7"/>
        <v>-2.10215</v>
      </c>
      <c r="G63" s="69">
        <f t="shared" si="7"/>
        <v>1.6753559495555237E-2</v>
      </c>
      <c r="H63" s="69">
        <f t="shared" si="8"/>
        <v>4.4190346224999999</v>
      </c>
      <c r="I63" s="69">
        <f t="shared" si="9"/>
        <v>-9.2894736316883755</v>
      </c>
      <c r="J63" s="69">
        <f t="shared" si="10"/>
        <v>19.527866994853717</v>
      </c>
      <c r="K63" s="69">
        <f t="shared" si="11"/>
        <v>-3.5218495093581444E-2</v>
      </c>
      <c r="L63" s="69">
        <f t="shared" si="12"/>
        <v>7.4034559460972232E-2</v>
      </c>
      <c r="M63" s="69">
        <f t="shared" ca="1" si="4"/>
        <v>1.5628774372931836E-2</v>
      </c>
      <c r="N63" s="69">
        <f t="shared" ca="1" si="13"/>
        <v>1.2651415720749385E-6</v>
      </c>
      <c r="O63" s="146">
        <f t="shared" ca="1" si="14"/>
        <v>10638677360.688604</v>
      </c>
      <c r="P63" s="69">
        <f t="shared" ca="1" si="15"/>
        <v>28952546340.869507</v>
      </c>
      <c r="Q63" s="69">
        <f t="shared" ca="1" si="16"/>
        <v>1909275479.470185</v>
      </c>
      <c r="R63" s="45">
        <f t="shared" ca="1" si="5"/>
        <v>1.1247851226234007E-3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x14ac:dyDescent="0.2">
      <c r="A64" s="74">
        <v>-21021</v>
      </c>
      <c r="B64" s="74">
        <v>1.5419593000842724E-2</v>
      </c>
      <c r="C64" s="74">
        <v>1</v>
      </c>
      <c r="D64" s="75">
        <f t="shared" si="6"/>
        <v>-2.1021000000000001</v>
      </c>
      <c r="E64" s="75">
        <f t="shared" si="6"/>
        <v>1.5419593000842724E-2</v>
      </c>
      <c r="F64" s="69">
        <f t="shared" si="7"/>
        <v>-2.1021000000000001</v>
      </c>
      <c r="G64" s="69">
        <f t="shared" si="7"/>
        <v>1.5419593000842724E-2</v>
      </c>
      <c r="H64" s="69">
        <f t="shared" si="8"/>
        <v>4.41882441</v>
      </c>
      <c r="I64" s="69">
        <f t="shared" si="9"/>
        <v>-9.2888107922609997</v>
      </c>
      <c r="J64" s="69">
        <f t="shared" si="10"/>
        <v>19.52600916641185</v>
      </c>
      <c r="K64" s="69">
        <f t="shared" si="11"/>
        <v>-3.2413526447071489E-2</v>
      </c>
      <c r="L64" s="69">
        <f t="shared" si="12"/>
        <v>6.8136473944388973E-2</v>
      </c>
      <c r="M64" s="69">
        <f t="shared" ca="1" si="4"/>
        <v>1.5628134241287422E-2</v>
      </c>
      <c r="N64" s="69">
        <f t="shared" ca="1" si="13"/>
        <v>4.3489448966213537E-8</v>
      </c>
      <c r="O64" s="146">
        <f t="shared" ca="1" si="14"/>
        <v>10640313497.956022</v>
      </c>
      <c r="P64" s="69">
        <f t="shared" ca="1" si="15"/>
        <v>28954762260.460648</v>
      </c>
      <c r="Q64" s="69">
        <f t="shared" ca="1" si="16"/>
        <v>1909689636.2246583</v>
      </c>
      <c r="R64" s="45">
        <f t="shared" ca="1" si="5"/>
        <v>-2.0854124044469846E-4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">
      <c r="A65" s="74">
        <v>-20984.5</v>
      </c>
      <c r="B65" s="74">
        <v>1.6840038500959054E-2</v>
      </c>
      <c r="C65" s="74">
        <v>1</v>
      </c>
      <c r="D65" s="75">
        <f t="shared" si="6"/>
        <v>-2.0984500000000001</v>
      </c>
      <c r="E65" s="75">
        <f t="shared" si="6"/>
        <v>1.6840038500959054E-2</v>
      </c>
      <c r="F65" s="69">
        <f t="shared" si="7"/>
        <v>-2.0984500000000001</v>
      </c>
      <c r="G65" s="69">
        <f t="shared" si="7"/>
        <v>1.6840038500959054E-2</v>
      </c>
      <c r="H65" s="69">
        <f t="shared" si="8"/>
        <v>4.4034924025000004</v>
      </c>
      <c r="I65" s="69">
        <f t="shared" si="9"/>
        <v>-9.2405086320261258</v>
      </c>
      <c r="J65" s="69">
        <f t="shared" si="10"/>
        <v>19.390745338875224</v>
      </c>
      <c r="K65" s="69">
        <f t="shared" si="11"/>
        <v>-3.5337978792337528E-2</v>
      </c>
      <c r="L65" s="69">
        <f t="shared" si="12"/>
        <v>7.4154981596780689E-2</v>
      </c>
      <c r="M65" s="69">
        <f t="shared" ca="1" si="4"/>
        <v>1.5581433361536199E-2</v>
      </c>
      <c r="N65" s="69">
        <f t="shared" ca="1" si="13"/>
        <v>1.5840868969816234E-6</v>
      </c>
      <c r="O65" s="146">
        <f t="shared" ca="1" si="14"/>
        <v>10759981566.189224</v>
      </c>
      <c r="P65" s="69">
        <f t="shared" ca="1" si="15"/>
        <v>29116296750.633289</v>
      </c>
      <c r="Q65" s="69">
        <f t="shared" ca="1" si="16"/>
        <v>1939989535.1865685</v>
      </c>
      <c r="R65" s="45">
        <f t="shared" ca="1" si="5"/>
        <v>1.2586051394228547E-3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x14ac:dyDescent="0.2">
      <c r="A66" s="74">
        <v>-20961</v>
      </c>
      <c r="B66" s="74">
        <v>1.7343612998956814E-2</v>
      </c>
      <c r="C66" s="74">
        <v>1</v>
      </c>
      <c r="D66" s="75">
        <f t="shared" si="6"/>
        <v>-2.0960999999999999</v>
      </c>
      <c r="E66" s="75">
        <f t="shared" si="6"/>
        <v>1.7343612998956814E-2</v>
      </c>
      <c r="F66" s="69">
        <f t="shared" si="7"/>
        <v>-2.0960999999999999</v>
      </c>
      <c r="G66" s="69">
        <f t="shared" si="7"/>
        <v>1.7343612998956814E-2</v>
      </c>
      <c r="H66" s="69">
        <f t="shared" si="8"/>
        <v>4.3936352099999993</v>
      </c>
      <c r="I66" s="69">
        <f t="shared" si="9"/>
        <v>-9.2094987636809975</v>
      </c>
      <c r="J66" s="69">
        <f t="shared" si="10"/>
        <v>19.304030358551739</v>
      </c>
      <c r="K66" s="69">
        <f t="shared" si="11"/>
        <v>-3.635394720711338E-2</v>
      </c>
      <c r="L66" s="69">
        <f t="shared" si="12"/>
        <v>7.6201508740830343E-2</v>
      </c>
      <c r="M66" s="69">
        <f t="shared" ca="1" si="4"/>
        <v>1.5551395667916659E-2</v>
      </c>
      <c r="N66" s="69">
        <f t="shared" ca="1" si="13"/>
        <v>3.2120429616806996E-6</v>
      </c>
      <c r="O66" s="146">
        <f t="shared" ca="1" si="14"/>
        <v>10837267255.016459</v>
      </c>
      <c r="P66" s="69">
        <f t="shared" ca="1" si="15"/>
        <v>29220058546.031715</v>
      </c>
      <c r="Q66" s="69">
        <f t="shared" ca="1" si="16"/>
        <v>1959566329.2317603</v>
      </c>
      <c r="R66" s="45">
        <f t="shared" ca="1" si="5"/>
        <v>1.7922173310401558E-3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x14ac:dyDescent="0.2">
      <c r="A67" s="74">
        <v>-20959</v>
      </c>
      <c r="B67" s="74">
        <v>1.7307747002632823E-2</v>
      </c>
      <c r="C67" s="74">
        <v>1</v>
      </c>
      <c r="D67" s="75">
        <f t="shared" si="6"/>
        <v>-2.0958999999999999</v>
      </c>
      <c r="E67" s="75">
        <f t="shared" si="6"/>
        <v>1.7307747002632823E-2</v>
      </c>
      <c r="F67" s="69">
        <f t="shared" si="7"/>
        <v>-2.0958999999999999</v>
      </c>
      <c r="G67" s="69">
        <f t="shared" si="7"/>
        <v>1.7307747002632823E-2</v>
      </c>
      <c r="H67" s="69">
        <f t="shared" si="8"/>
        <v>4.3927968099999992</v>
      </c>
      <c r="I67" s="69">
        <f t="shared" si="9"/>
        <v>-9.2068628340789971</v>
      </c>
      <c r="J67" s="69">
        <f t="shared" si="10"/>
        <v>19.296663813946168</v>
      </c>
      <c r="K67" s="69">
        <f t="shared" si="11"/>
        <v>-3.6275306942818129E-2</v>
      </c>
      <c r="L67" s="69">
        <f t="shared" si="12"/>
        <v>7.6029415821452506E-2</v>
      </c>
      <c r="M67" s="69">
        <f t="shared" ca="1" si="4"/>
        <v>1.5548840353424395E-2</v>
      </c>
      <c r="N67" s="69">
        <f t="shared" ca="1" si="13"/>
        <v>3.0937526006296186E-6</v>
      </c>
      <c r="O67" s="146">
        <f t="shared" ca="1" si="14"/>
        <v>10843853370.412769</v>
      </c>
      <c r="P67" s="69">
        <f t="shared" ca="1" si="15"/>
        <v>29228880580.138332</v>
      </c>
      <c r="Q67" s="69">
        <f t="shared" ca="1" si="16"/>
        <v>1961234894.5529723</v>
      </c>
      <c r="R67" s="45">
        <f t="shared" ca="1" si="5"/>
        <v>1.7589066492084277E-3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x14ac:dyDescent="0.2">
      <c r="A68" s="74">
        <v>-20958.5</v>
      </c>
      <c r="B68" s="74">
        <v>1.6773780502262525E-2</v>
      </c>
      <c r="C68" s="74">
        <v>1</v>
      </c>
      <c r="D68" s="75">
        <f t="shared" si="6"/>
        <v>-2.09585</v>
      </c>
      <c r="E68" s="75">
        <f t="shared" si="6"/>
        <v>1.6773780502262525E-2</v>
      </c>
      <c r="F68" s="69">
        <f t="shared" si="7"/>
        <v>-2.09585</v>
      </c>
      <c r="G68" s="69">
        <f t="shared" si="7"/>
        <v>1.6773780502262525E-2</v>
      </c>
      <c r="H68" s="69">
        <f t="shared" si="8"/>
        <v>4.3925872224999996</v>
      </c>
      <c r="I68" s="69">
        <f t="shared" si="9"/>
        <v>-9.2062039302766241</v>
      </c>
      <c r="J68" s="69">
        <f t="shared" si="10"/>
        <v>19.294822507270261</v>
      </c>
      <c r="K68" s="69">
        <f t="shared" si="11"/>
        <v>-3.5155327865666913E-2</v>
      </c>
      <c r="L68" s="69">
        <f t="shared" si="12"/>
        <v>7.3680293907257999E-2</v>
      </c>
      <c r="M68" s="69">
        <f t="shared" ca="1" si="4"/>
        <v>1.5548201551393602E-2</v>
      </c>
      <c r="N68" s="69">
        <f t="shared" ca="1" si="13"/>
        <v>1.5020437648129707E-6</v>
      </c>
      <c r="O68" s="146">
        <f t="shared" ca="1" si="14"/>
        <v>10845500109.887634</v>
      </c>
      <c r="P68" s="69">
        <f t="shared" ca="1" si="15"/>
        <v>29231085873.201195</v>
      </c>
      <c r="Q68" s="69">
        <f t="shared" ca="1" si="16"/>
        <v>1961652095.7769542</v>
      </c>
      <c r="R68" s="45">
        <f t="shared" ca="1" si="5"/>
        <v>1.2255789508689233E-3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x14ac:dyDescent="0.2">
      <c r="A69" s="74">
        <v>-20956</v>
      </c>
      <c r="B69" s="74">
        <v>2.1003948000725359E-2</v>
      </c>
      <c r="C69" s="74">
        <v>1</v>
      </c>
      <c r="D69" s="75">
        <f t="shared" si="6"/>
        <v>-2.0956000000000001</v>
      </c>
      <c r="E69" s="75">
        <f t="shared" si="6"/>
        <v>2.1003948000725359E-2</v>
      </c>
      <c r="F69" s="69">
        <f t="shared" si="7"/>
        <v>-2.0956000000000001</v>
      </c>
      <c r="G69" s="69">
        <f t="shared" si="7"/>
        <v>2.1003948000725359E-2</v>
      </c>
      <c r="H69" s="69">
        <f t="shared" si="8"/>
        <v>4.3915393600000003</v>
      </c>
      <c r="I69" s="69">
        <f t="shared" si="9"/>
        <v>-9.2029098828160016</v>
      </c>
      <c r="J69" s="69">
        <f t="shared" si="10"/>
        <v>19.285617950429213</v>
      </c>
      <c r="K69" s="69">
        <f t="shared" si="11"/>
        <v>-4.4015873430320061E-2</v>
      </c>
      <c r="L69" s="69">
        <f t="shared" si="12"/>
        <v>9.2239664360578733E-2</v>
      </c>
      <c r="M69" s="69">
        <f t="shared" ca="1" si="4"/>
        <v>1.5545007700793267E-2</v>
      </c>
      <c r="N69" s="69">
        <f t="shared" ca="1" si="13"/>
        <v>2.9800029198222679E-5</v>
      </c>
      <c r="O69" s="146">
        <f t="shared" ca="1" si="14"/>
        <v>10853735070.552145</v>
      </c>
      <c r="P69" s="69">
        <f t="shared" ca="1" si="15"/>
        <v>29242111044.774193</v>
      </c>
      <c r="Q69" s="69">
        <f t="shared" ca="1" si="16"/>
        <v>1963738460.9331758</v>
      </c>
      <c r="R69" s="45">
        <f t="shared" ca="1" si="5"/>
        <v>5.458940299932092E-3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x14ac:dyDescent="0.2">
      <c r="A70" s="74">
        <v>-20844.5</v>
      </c>
      <c r="B70" s="74">
        <v>1.7929418507264927E-2</v>
      </c>
      <c r="C70" s="74">
        <v>1</v>
      </c>
      <c r="D70" s="75">
        <f t="shared" si="6"/>
        <v>-2.0844499999999999</v>
      </c>
      <c r="E70" s="75">
        <f t="shared" si="6"/>
        <v>1.7929418507264927E-2</v>
      </c>
      <c r="F70" s="69">
        <f t="shared" si="7"/>
        <v>-2.0844499999999999</v>
      </c>
      <c r="G70" s="69">
        <f t="shared" si="7"/>
        <v>1.7929418507264927E-2</v>
      </c>
      <c r="H70" s="69">
        <f t="shared" si="8"/>
        <v>4.3449318024999997</v>
      </c>
      <c r="I70" s="69">
        <f t="shared" si="9"/>
        <v>-9.0567930957211242</v>
      </c>
      <c r="J70" s="69">
        <f t="shared" si="10"/>
        <v>18.878432368375897</v>
      </c>
      <c r="K70" s="69">
        <f t="shared" si="11"/>
        <v>-3.7372976407468374E-2</v>
      </c>
      <c r="L70" s="69">
        <f t="shared" si="12"/>
        <v>7.790210067254745E-2</v>
      </c>
      <c r="M70" s="69">
        <f t="shared" ca="1" si="4"/>
        <v>1.5402832375518163E-2</v>
      </c>
      <c r="N70" s="69">
        <f t="shared" ca="1" si="13"/>
        <v>6.3836374811350747E-6</v>
      </c>
      <c r="O70" s="146">
        <f t="shared" ca="1" si="14"/>
        <v>11223137337.105879</v>
      </c>
      <c r="P70" s="69">
        <f t="shared" ca="1" si="15"/>
        <v>29731604028.28511</v>
      </c>
      <c r="Q70" s="69">
        <f t="shared" ca="1" si="16"/>
        <v>2057386233.9446781</v>
      </c>
      <c r="R70" s="45">
        <f t="shared" ca="1" si="5"/>
        <v>2.5265861317467636E-3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x14ac:dyDescent="0.2">
      <c r="A71" s="74">
        <v>-20813</v>
      </c>
      <c r="B71" s="74">
        <v>1.7289529001573101E-2</v>
      </c>
      <c r="C71" s="74">
        <v>1</v>
      </c>
      <c r="D71" s="75">
        <f t="shared" si="6"/>
        <v>-2.0813000000000001</v>
      </c>
      <c r="E71" s="75">
        <f t="shared" si="6"/>
        <v>1.7289529001573101E-2</v>
      </c>
      <c r="F71" s="69">
        <f t="shared" si="7"/>
        <v>-2.0813000000000001</v>
      </c>
      <c r="G71" s="69">
        <f t="shared" si="7"/>
        <v>1.7289529001573101E-2</v>
      </c>
      <c r="H71" s="69">
        <f t="shared" si="8"/>
        <v>4.3318096900000009</v>
      </c>
      <c r="I71" s="69">
        <f t="shared" si="9"/>
        <v>-9.0157955077970033</v>
      </c>
      <c r="J71" s="69">
        <f t="shared" si="10"/>
        <v>18.764575190377904</v>
      </c>
      <c r="K71" s="69">
        <f t="shared" si="11"/>
        <v>-3.5984696710974096E-2</v>
      </c>
      <c r="L71" s="69">
        <f t="shared" si="12"/>
        <v>7.4894949264550384E-2</v>
      </c>
      <c r="M71" s="69">
        <f t="shared" ca="1" si="4"/>
        <v>1.5362762080147106E-2</v>
      </c>
      <c r="N71" s="69">
        <f t="shared" ca="1" si="13"/>
        <v>3.7124307695014041E-6</v>
      </c>
      <c r="O71" s="146">
        <f t="shared" ca="1" si="14"/>
        <v>11328241878.178579</v>
      </c>
      <c r="P71" s="69">
        <f t="shared" ca="1" si="15"/>
        <v>29869084553.81094</v>
      </c>
      <c r="Q71" s="69">
        <f t="shared" ca="1" si="16"/>
        <v>2084048291.8120248</v>
      </c>
      <c r="R71" s="45">
        <f t="shared" ca="1" si="5"/>
        <v>1.9267669214259944E-3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">
      <c r="A72" s="74">
        <v>-20810</v>
      </c>
      <c r="B72" s="74">
        <v>1.718573000835022E-2</v>
      </c>
      <c r="C72" s="74">
        <v>1</v>
      </c>
      <c r="D72" s="75">
        <f t="shared" si="6"/>
        <v>-2.081</v>
      </c>
      <c r="E72" s="75">
        <f t="shared" si="6"/>
        <v>1.718573000835022E-2</v>
      </c>
      <c r="F72" s="69">
        <f t="shared" si="7"/>
        <v>-2.081</v>
      </c>
      <c r="G72" s="69">
        <f t="shared" si="7"/>
        <v>1.718573000835022E-2</v>
      </c>
      <c r="H72" s="69">
        <f t="shared" si="8"/>
        <v>4.3305609999999994</v>
      </c>
      <c r="I72" s="69">
        <f t="shared" si="9"/>
        <v>-9.0118974409999986</v>
      </c>
      <c r="J72" s="69">
        <f t="shared" si="10"/>
        <v>18.753758574720997</v>
      </c>
      <c r="K72" s="69">
        <f t="shared" si="11"/>
        <v>-3.5763504147376807E-2</v>
      </c>
      <c r="L72" s="69">
        <f t="shared" si="12"/>
        <v>7.4423852130691137E-2</v>
      </c>
      <c r="M72" s="69">
        <f t="shared" ca="1" si="4"/>
        <v>1.5358948063380493E-2</v>
      </c>
      <c r="N72" s="69">
        <f t="shared" ca="1" si="13"/>
        <v>3.3371322744673786E-6</v>
      </c>
      <c r="O72" s="146">
        <f t="shared" ca="1" si="14"/>
        <v>11338268749.099545</v>
      </c>
      <c r="P72" s="69">
        <f t="shared" ca="1" si="15"/>
        <v>29882159020.781578</v>
      </c>
      <c r="Q72" s="69">
        <f t="shared" ca="1" si="16"/>
        <v>2086592127.5204389</v>
      </c>
      <c r="R72" s="45">
        <f t="shared" ca="1" si="5"/>
        <v>1.826781944969727E-3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x14ac:dyDescent="0.2">
      <c r="A73" s="74">
        <v>-20687.5</v>
      </c>
      <c r="B73" s="74">
        <v>1.6863937496964354E-2</v>
      </c>
      <c r="C73" s="74">
        <v>1</v>
      </c>
      <c r="D73" s="75">
        <f t="shared" si="6"/>
        <v>-2.0687500000000001</v>
      </c>
      <c r="E73" s="75">
        <f t="shared" si="6"/>
        <v>1.6863937496964354E-2</v>
      </c>
      <c r="F73" s="69">
        <f t="shared" si="7"/>
        <v>-2.0687500000000001</v>
      </c>
      <c r="G73" s="69">
        <f t="shared" si="7"/>
        <v>1.6863937496964354E-2</v>
      </c>
      <c r="H73" s="69">
        <f t="shared" si="8"/>
        <v>4.2797265625000005</v>
      </c>
      <c r="I73" s="69">
        <f t="shared" si="9"/>
        <v>-8.8536843261718765</v>
      </c>
      <c r="J73" s="69">
        <f t="shared" si="10"/>
        <v>18.316059449768069</v>
      </c>
      <c r="K73" s="69">
        <f t="shared" si="11"/>
        <v>-3.488727069684501E-2</v>
      </c>
      <c r="L73" s="69">
        <f t="shared" si="12"/>
        <v>7.2173041254098125E-2</v>
      </c>
      <c r="M73" s="69">
        <f t="shared" ca="1" si="4"/>
        <v>1.5203536103769219E-2</v>
      </c>
      <c r="N73" s="69">
        <f t="shared" ca="1" si="13"/>
        <v>2.7569327865243455E-6</v>
      </c>
      <c r="O73" s="146">
        <f t="shared" ca="1" si="14"/>
        <v>11750182139.192781</v>
      </c>
      <c r="P73" s="69">
        <f t="shared" ca="1" si="15"/>
        <v>30413163183.531204</v>
      </c>
      <c r="Q73" s="69">
        <f t="shared" ca="1" si="16"/>
        <v>2191126903.6775055</v>
      </c>
      <c r="R73" s="45">
        <f t="shared" ca="1" si="5"/>
        <v>1.660401393195135E-3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">
      <c r="A74" s="74">
        <v>-20679</v>
      </c>
      <c r="B74" s="74">
        <v>1.8286507001903374E-2</v>
      </c>
      <c r="C74" s="74">
        <v>1</v>
      </c>
      <c r="D74" s="75">
        <f t="shared" si="6"/>
        <v>-2.0678999999999998</v>
      </c>
      <c r="E74" s="75">
        <f t="shared" si="6"/>
        <v>1.8286507001903374E-2</v>
      </c>
      <c r="F74" s="69">
        <f t="shared" si="7"/>
        <v>-2.0678999999999998</v>
      </c>
      <c r="G74" s="69">
        <f t="shared" si="7"/>
        <v>1.8286507001903374E-2</v>
      </c>
      <c r="H74" s="69">
        <f t="shared" si="8"/>
        <v>4.2762104099999991</v>
      </c>
      <c r="I74" s="69">
        <f t="shared" si="9"/>
        <v>-8.842775506838997</v>
      </c>
      <c r="J74" s="69">
        <f t="shared" si="10"/>
        <v>18.285975470592362</v>
      </c>
      <c r="K74" s="69">
        <f t="shared" si="11"/>
        <v>-3.7814667829235982E-2</v>
      </c>
      <c r="L74" s="69">
        <f t="shared" si="12"/>
        <v>7.8196951604077081E-2</v>
      </c>
      <c r="M74" s="69">
        <f t="shared" ca="1" si="4"/>
        <v>1.5192776105172064E-2</v>
      </c>
      <c r="N74" s="69">
        <f t="shared" ca="1" si="13"/>
        <v>9.5711708613899155E-6</v>
      </c>
      <c r="O74" s="146">
        <f t="shared" ca="1" si="14"/>
        <v>11778941883.45153</v>
      </c>
      <c r="P74" s="69">
        <f t="shared" ca="1" si="15"/>
        <v>30449796816.756905</v>
      </c>
      <c r="Q74" s="69">
        <f t="shared" ca="1" si="16"/>
        <v>2198426978.1414914</v>
      </c>
      <c r="R74" s="45">
        <f t="shared" ca="1" si="5"/>
        <v>3.0937308967313101E-3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x14ac:dyDescent="0.2">
      <c r="A75" s="74">
        <v>-19915</v>
      </c>
      <c r="B75" s="74">
        <v>1.5985695004928857E-2</v>
      </c>
      <c r="C75" s="74">
        <v>1</v>
      </c>
      <c r="D75" s="75">
        <f t="shared" si="6"/>
        <v>-1.9915</v>
      </c>
      <c r="E75" s="75">
        <f t="shared" si="6"/>
        <v>1.5985695004928857E-2</v>
      </c>
      <c r="F75" s="69">
        <f t="shared" si="7"/>
        <v>-1.9915</v>
      </c>
      <c r="G75" s="69">
        <f t="shared" si="7"/>
        <v>1.5985695004928857E-2</v>
      </c>
      <c r="H75" s="69">
        <f t="shared" si="8"/>
        <v>3.9660722500000003</v>
      </c>
      <c r="I75" s="69">
        <f t="shared" si="9"/>
        <v>-7.8984328858750006</v>
      </c>
      <c r="J75" s="69">
        <f t="shared" si="10"/>
        <v>15.729729092220063</v>
      </c>
      <c r="K75" s="69">
        <f t="shared" si="11"/>
        <v>-3.1835511602315819E-2</v>
      </c>
      <c r="L75" s="69">
        <f t="shared" si="12"/>
        <v>6.3400421356011954E-2</v>
      </c>
      <c r="M75" s="69">
        <f t="shared" ca="1" si="4"/>
        <v>1.4238197708229658E-2</v>
      </c>
      <c r="N75" s="69">
        <f t="shared" ca="1" si="13"/>
        <v>3.0537468019710076E-6</v>
      </c>
      <c r="O75" s="146">
        <f t="shared" ca="1" si="14"/>
        <v>14451878115.186855</v>
      </c>
      <c r="P75" s="69">
        <f t="shared" ca="1" si="15"/>
        <v>33617785791.441833</v>
      </c>
      <c r="Q75" s="69">
        <f t="shared" ca="1" si="16"/>
        <v>2874902950.3949881</v>
      </c>
      <c r="R75" s="45">
        <f t="shared" ca="1" si="5"/>
        <v>1.7474972966991988E-3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x14ac:dyDescent="0.2">
      <c r="A76" s="74">
        <v>-18424.5</v>
      </c>
      <c r="B76" s="74">
        <v>-9.0684414972201921E-3</v>
      </c>
      <c r="C76" s="74">
        <v>0.1</v>
      </c>
      <c r="D76" s="75">
        <f t="shared" si="6"/>
        <v>-1.8424499999999999</v>
      </c>
      <c r="E76" s="75">
        <f t="shared" si="6"/>
        <v>-9.0684414972201921E-3</v>
      </c>
      <c r="F76" s="69">
        <f t="shared" si="7"/>
        <v>-0.18424499999999999</v>
      </c>
      <c r="G76" s="69">
        <f t="shared" si="7"/>
        <v>-9.0684414972201925E-4</v>
      </c>
      <c r="H76" s="69">
        <f t="shared" si="8"/>
        <v>0.33946220024999996</v>
      </c>
      <c r="I76" s="69">
        <f t="shared" si="9"/>
        <v>-0.6254421308506124</v>
      </c>
      <c r="J76" s="69">
        <f t="shared" si="10"/>
        <v>1.1523458539857108</v>
      </c>
      <c r="K76" s="69">
        <f t="shared" si="11"/>
        <v>1.6708150036553343E-3</v>
      </c>
      <c r="L76" s="69">
        <f t="shared" si="12"/>
        <v>-3.0783931034847707E-3</v>
      </c>
      <c r="M76" s="69">
        <f t="shared" ca="1" si="4"/>
        <v>1.2447382317001425E-2</v>
      </c>
      <c r="N76" s="69">
        <f t="shared" ca="1" si="13"/>
        <v>4.629306744046261E-5</v>
      </c>
      <c r="O76" s="146">
        <f t="shared" ca="1" si="14"/>
        <v>200778822.31135038</v>
      </c>
      <c r="P76" s="69">
        <f t="shared" ca="1" si="15"/>
        <v>389245522.90666658</v>
      </c>
      <c r="Q76" s="69">
        <f t="shared" ca="1" si="16"/>
        <v>42510044.526433386</v>
      </c>
      <c r="R76" s="45">
        <f t="shared" ca="1" si="5"/>
        <v>-2.1515823814221617E-2</v>
      </c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x14ac:dyDescent="0.2">
      <c r="A77" s="74">
        <v>-18424.5</v>
      </c>
      <c r="B77" s="74">
        <v>-6.8441499024629593E-5</v>
      </c>
      <c r="C77" s="74">
        <v>0.1</v>
      </c>
      <c r="D77" s="75">
        <f t="shared" si="6"/>
        <v>-1.8424499999999999</v>
      </c>
      <c r="E77" s="75">
        <f t="shared" si="6"/>
        <v>-6.8441499024629593E-5</v>
      </c>
      <c r="F77" s="69">
        <f t="shared" si="7"/>
        <v>-0.18424499999999999</v>
      </c>
      <c r="G77" s="69">
        <f t="shared" si="7"/>
        <v>-6.8441499024629596E-6</v>
      </c>
      <c r="H77" s="69">
        <f t="shared" si="8"/>
        <v>0.33946220024999996</v>
      </c>
      <c r="I77" s="69">
        <f t="shared" si="9"/>
        <v>-0.6254421308506124</v>
      </c>
      <c r="J77" s="69">
        <f t="shared" si="10"/>
        <v>1.1523458539857108</v>
      </c>
      <c r="K77" s="69">
        <f t="shared" si="11"/>
        <v>1.261000398779288E-5</v>
      </c>
      <c r="L77" s="69">
        <f t="shared" si="12"/>
        <v>-2.3233301847308991E-5</v>
      </c>
      <c r="M77" s="69">
        <f t="shared" ca="1" si="4"/>
        <v>1.2447382317001425E-2</v>
      </c>
      <c r="N77" s="69">
        <f t="shared" ca="1" si="13"/>
        <v>1.5664584579380499E-5</v>
      </c>
      <c r="O77" s="146">
        <f t="shared" ca="1" si="14"/>
        <v>200778822.31135038</v>
      </c>
      <c r="P77" s="69">
        <f t="shared" ca="1" si="15"/>
        <v>389245522.90666658</v>
      </c>
      <c r="Q77" s="69">
        <f t="shared" ca="1" si="16"/>
        <v>42510044.526433386</v>
      </c>
      <c r="R77" s="45">
        <f t="shared" ca="1" si="5"/>
        <v>-1.2515823816026055E-2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x14ac:dyDescent="0.2">
      <c r="A78" s="74">
        <v>-18424.5</v>
      </c>
      <c r="B78" s="74">
        <v>-4.0684414998395368E-3</v>
      </c>
      <c r="C78" s="74">
        <v>1</v>
      </c>
      <c r="D78" s="75">
        <f t="shared" si="6"/>
        <v>-1.8424499999999999</v>
      </c>
      <c r="E78" s="75">
        <f t="shared" si="6"/>
        <v>-4.0684414998395368E-3</v>
      </c>
      <c r="F78" s="69">
        <f t="shared" si="7"/>
        <v>-1.8424499999999999</v>
      </c>
      <c r="G78" s="69">
        <f t="shared" si="7"/>
        <v>-4.0684414998395368E-3</v>
      </c>
      <c r="H78" s="69">
        <f t="shared" si="8"/>
        <v>3.3946220024999998</v>
      </c>
      <c r="I78" s="69">
        <f t="shared" si="9"/>
        <v>-6.2544213085061244</v>
      </c>
      <c r="J78" s="69">
        <f t="shared" si="10"/>
        <v>11.523458539857108</v>
      </c>
      <c r="K78" s="69">
        <f t="shared" si="11"/>
        <v>7.4959000413793546E-3</v>
      </c>
      <c r="L78" s="69">
        <f t="shared" si="12"/>
        <v>-1.381082103123939E-2</v>
      </c>
      <c r="M78" s="69">
        <f t="shared" ca="1" si="4"/>
        <v>1.2447382317001425E-2</v>
      </c>
      <c r="N78" s="69">
        <f t="shared" ca="1" si="13"/>
        <v>2.7277243634893117E-4</v>
      </c>
      <c r="O78" s="146">
        <f t="shared" ca="1" si="14"/>
        <v>20077882231.135025</v>
      </c>
      <c r="P78" s="69">
        <f t="shared" ca="1" si="15"/>
        <v>38924552290.666664</v>
      </c>
      <c r="Q78" s="69">
        <f t="shared" ca="1" si="16"/>
        <v>4251004452.6433339</v>
      </c>
      <c r="R78" s="45">
        <f t="shared" ca="1" si="5"/>
        <v>-1.6515823816840962E-2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x14ac:dyDescent="0.2">
      <c r="A79" s="74">
        <v>-18424.5</v>
      </c>
      <c r="B79" s="74">
        <v>1.931558501382824E-3</v>
      </c>
      <c r="C79" s="74">
        <v>1</v>
      </c>
      <c r="D79" s="75">
        <f t="shared" si="6"/>
        <v>-1.8424499999999999</v>
      </c>
      <c r="E79" s="75">
        <f t="shared" si="6"/>
        <v>1.931558501382824E-3</v>
      </c>
      <c r="F79" s="69">
        <f t="shared" si="7"/>
        <v>-1.8424499999999999</v>
      </c>
      <c r="G79" s="69">
        <f t="shared" si="7"/>
        <v>1.931558501382824E-3</v>
      </c>
      <c r="H79" s="69">
        <f t="shared" si="8"/>
        <v>3.3946220024999998</v>
      </c>
      <c r="I79" s="69">
        <f t="shared" si="9"/>
        <v>-6.2544213085061244</v>
      </c>
      <c r="J79" s="69">
        <f t="shared" si="10"/>
        <v>11.523458539857108</v>
      </c>
      <c r="K79" s="69">
        <f t="shared" si="11"/>
        <v>-3.5587999608727842E-3</v>
      </c>
      <c r="L79" s="69">
        <f t="shared" si="12"/>
        <v>6.556910987910061E-3</v>
      </c>
      <c r="M79" s="69">
        <f t="shared" ca="1" si="4"/>
        <v>1.2447382317001425E-2</v>
      </c>
      <c r="N79" s="69">
        <f t="shared" ca="1" si="13"/>
        <v>1.1058255052113135E-4</v>
      </c>
      <c r="O79" s="146">
        <f t="shared" ca="1" si="14"/>
        <v>20077882231.135025</v>
      </c>
      <c r="P79" s="69">
        <f t="shared" ca="1" si="15"/>
        <v>38924552290.666664</v>
      </c>
      <c r="Q79" s="69">
        <f t="shared" ca="1" si="16"/>
        <v>4251004452.6433339</v>
      </c>
      <c r="R79" s="45">
        <f t="shared" ca="1" si="5"/>
        <v>-1.0515823815618601E-2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x14ac:dyDescent="0.2">
      <c r="A80" s="74">
        <v>-18424.5</v>
      </c>
      <c r="B80" s="74">
        <v>4.9315584983560257E-3</v>
      </c>
      <c r="C80" s="74">
        <v>1</v>
      </c>
      <c r="D80" s="75">
        <f t="shared" si="6"/>
        <v>-1.8424499999999999</v>
      </c>
      <c r="E80" s="75">
        <f t="shared" si="6"/>
        <v>4.9315584983560257E-3</v>
      </c>
      <c r="F80" s="69">
        <f t="shared" si="7"/>
        <v>-1.8424499999999999</v>
      </c>
      <c r="G80" s="69">
        <f t="shared" si="7"/>
        <v>4.9315584983560257E-3</v>
      </c>
      <c r="H80" s="69">
        <f t="shared" si="8"/>
        <v>3.3946220024999998</v>
      </c>
      <c r="I80" s="69">
        <f t="shared" si="9"/>
        <v>-6.2544213085061244</v>
      </c>
      <c r="J80" s="69">
        <f t="shared" si="10"/>
        <v>11.523458539857108</v>
      </c>
      <c r="K80" s="69">
        <f t="shared" si="11"/>
        <v>-9.0861499552960592E-3</v>
      </c>
      <c r="L80" s="69">
        <f t="shared" si="12"/>
        <v>1.6740776985135222E-2</v>
      </c>
      <c r="M80" s="69">
        <f t="shared" ca="1" si="4"/>
        <v>1.2447382317001425E-2</v>
      </c>
      <c r="N80" s="69">
        <f t="shared" ca="1" si="13"/>
        <v>5.6487607672917516E-5</v>
      </c>
      <c r="O80" s="146">
        <f t="shared" ca="1" si="14"/>
        <v>20077882231.135025</v>
      </c>
      <c r="P80" s="69">
        <f t="shared" ca="1" si="15"/>
        <v>38924552290.666664</v>
      </c>
      <c r="Q80" s="69">
        <f t="shared" ca="1" si="16"/>
        <v>4251004452.6433339</v>
      </c>
      <c r="R80" s="45">
        <f t="shared" ca="1" si="5"/>
        <v>-7.5158238186453993E-3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x14ac:dyDescent="0.2">
      <c r="A81" s="74">
        <v>-18421.5</v>
      </c>
      <c r="B81" s="74">
        <v>-7.2722405020613223E-3</v>
      </c>
      <c r="C81" s="74">
        <v>0.1</v>
      </c>
      <c r="D81" s="75">
        <f t="shared" si="6"/>
        <v>-1.84215</v>
      </c>
      <c r="E81" s="75">
        <f t="shared" si="6"/>
        <v>-7.2722405020613223E-3</v>
      </c>
      <c r="F81" s="69">
        <f t="shared" si="7"/>
        <v>-0.18421500000000002</v>
      </c>
      <c r="G81" s="69">
        <f t="shared" si="7"/>
        <v>-7.2722405020613228E-4</v>
      </c>
      <c r="H81" s="69">
        <f t="shared" si="8"/>
        <v>0.33935166225000002</v>
      </c>
      <c r="I81" s="69">
        <f t="shared" si="9"/>
        <v>-0.62513666461383754</v>
      </c>
      <c r="J81" s="69">
        <f t="shared" si="10"/>
        <v>1.1515955067183807</v>
      </c>
      <c r="K81" s="69">
        <f t="shared" si="11"/>
        <v>1.3396557840872265E-3</v>
      </c>
      <c r="L81" s="69">
        <f t="shared" si="12"/>
        <v>-2.467846902656284E-3</v>
      </c>
      <c r="M81" s="69">
        <f t="shared" ca="1" si="4"/>
        <v>1.2443873175319796E-2</v>
      </c>
      <c r="N81" s="69">
        <f t="shared" ca="1" si="13"/>
        <v>3.8872513853941477E-5</v>
      </c>
      <c r="O81" s="146">
        <f t="shared" ca="1" si="14"/>
        <v>200896390.26750988</v>
      </c>
      <c r="P81" s="69">
        <f t="shared" ca="1" si="15"/>
        <v>389338734.58024973</v>
      </c>
      <c r="Q81" s="69">
        <f t="shared" ca="1" si="16"/>
        <v>42537752.179388352</v>
      </c>
      <c r="R81" s="45">
        <f t="shared" ca="1" si="5"/>
        <v>-1.9716113677381117E-2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x14ac:dyDescent="0.2">
      <c r="A82" s="74">
        <v>-18421.5</v>
      </c>
      <c r="B82" s="74">
        <v>1.7277594961342402E-3</v>
      </c>
      <c r="C82" s="74">
        <v>1</v>
      </c>
      <c r="D82" s="75">
        <f t="shared" si="6"/>
        <v>-1.84215</v>
      </c>
      <c r="E82" s="75">
        <f t="shared" si="6"/>
        <v>1.7277594961342402E-3</v>
      </c>
      <c r="F82" s="69">
        <f t="shared" si="7"/>
        <v>-1.84215</v>
      </c>
      <c r="G82" s="69">
        <f t="shared" si="7"/>
        <v>1.7277594961342402E-3</v>
      </c>
      <c r="H82" s="69">
        <f t="shared" si="8"/>
        <v>3.3935166225</v>
      </c>
      <c r="I82" s="69">
        <f t="shared" si="9"/>
        <v>-6.2513666461383748</v>
      </c>
      <c r="J82" s="69">
        <f t="shared" si="10"/>
        <v>11.515955067183807</v>
      </c>
      <c r="K82" s="69">
        <f t="shared" si="11"/>
        <v>-3.1827921558036905E-3</v>
      </c>
      <c r="L82" s="69">
        <f t="shared" si="12"/>
        <v>5.8631805698137682E-3</v>
      </c>
      <c r="M82" s="69">
        <f t="shared" ca="1" si="4"/>
        <v>1.2443873175319796E-2</v>
      </c>
      <c r="N82" s="69">
        <f t="shared" ca="1" si="13"/>
        <v>1.148350923852278E-4</v>
      </c>
      <c r="O82" s="146">
        <f t="shared" ca="1" si="14"/>
        <v>20089639026.750984</v>
      </c>
      <c r="P82" s="69">
        <f t="shared" ca="1" si="15"/>
        <v>38933873458.024994</v>
      </c>
      <c r="Q82" s="69">
        <f t="shared" ca="1" si="16"/>
        <v>4253775217.9388323</v>
      </c>
      <c r="R82" s="45">
        <f t="shared" ca="1" si="5"/>
        <v>-1.0716113679185556E-2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x14ac:dyDescent="0.2">
      <c r="A83" s="74">
        <v>-18421.5</v>
      </c>
      <c r="B83" s="74">
        <v>2.7277594999759458E-3</v>
      </c>
      <c r="C83" s="74">
        <v>1</v>
      </c>
      <c r="D83" s="75">
        <f t="shared" si="6"/>
        <v>-1.84215</v>
      </c>
      <c r="E83" s="75">
        <f t="shared" si="6"/>
        <v>2.7277594999759458E-3</v>
      </c>
      <c r="F83" s="69">
        <f t="shared" si="7"/>
        <v>-1.84215</v>
      </c>
      <c r="G83" s="69">
        <f t="shared" si="7"/>
        <v>2.7277594999759458E-3</v>
      </c>
      <c r="H83" s="69">
        <f t="shared" si="8"/>
        <v>3.3935166225</v>
      </c>
      <c r="I83" s="69">
        <f t="shared" si="9"/>
        <v>-6.2513666461383748</v>
      </c>
      <c r="J83" s="69">
        <f t="shared" si="10"/>
        <v>11.515955067183807</v>
      </c>
      <c r="K83" s="69">
        <f t="shared" si="11"/>
        <v>-5.0249421628806882E-3</v>
      </c>
      <c r="L83" s="69">
        <f t="shared" si="12"/>
        <v>9.2566972053506596E-3</v>
      </c>
      <c r="M83" s="69">
        <f t="shared" ca="1" si="4"/>
        <v>1.2443873175319796E-2</v>
      </c>
      <c r="N83" s="69">
        <f t="shared" ca="1" si="13"/>
        <v>9.4402864952203782E-5</v>
      </c>
      <c r="O83" s="146">
        <f t="shared" ca="1" si="14"/>
        <v>20089639026.750984</v>
      </c>
      <c r="P83" s="69">
        <f t="shared" ca="1" si="15"/>
        <v>38933873458.024994</v>
      </c>
      <c r="Q83" s="69">
        <f t="shared" ca="1" si="16"/>
        <v>4253775217.9388323</v>
      </c>
      <c r="R83" s="45">
        <f t="shared" ca="1" si="5"/>
        <v>-9.7161136753438505E-3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x14ac:dyDescent="0.2">
      <c r="A84" s="74">
        <v>-18421.5</v>
      </c>
      <c r="B84" s="74">
        <v>3.7277594965416938E-3</v>
      </c>
      <c r="C84" s="74">
        <v>1</v>
      </c>
      <c r="D84" s="75">
        <f t="shared" si="6"/>
        <v>-1.84215</v>
      </c>
      <c r="E84" s="75">
        <f t="shared" si="6"/>
        <v>3.7277594965416938E-3</v>
      </c>
      <c r="F84" s="69">
        <f t="shared" si="7"/>
        <v>-1.84215</v>
      </c>
      <c r="G84" s="69">
        <f t="shared" si="7"/>
        <v>3.7277594965416938E-3</v>
      </c>
      <c r="H84" s="69">
        <f t="shared" si="8"/>
        <v>3.3935166225</v>
      </c>
      <c r="I84" s="69">
        <f t="shared" si="9"/>
        <v>-6.2513666461383748</v>
      </c>
      <c r="J84" s="69">
        <f t="shared" si="10"/>
        <v>11.515955067183807</v>
      </c>
      <c r="K84" s="69">
        <f t="shared" si="11"/>
        <v>-6.8670921565542808E-3</v>
      </c>
      <c r="L84" s="69">
        <f t="shared" si="12"/>
        <v>1.2650213816196468E-2</v>
      </c>
      <c r="M84" s="69">
        <f t="shared" ca="1" si="4"/>
        <v>1.2443873175319796E-2</v>
      </c>
      <c r="N84" s="69">
        <f t="shared" ca="1" si="13"/>
        <v>7.5970637661382741E-5</v>
      </c>
      <c r="O84" s="146">
        <f t="shared" ca="1" si="14"/>
        <v>20089639026.750984</v>
      </c>
      <c r="P84" s="69">
        <f t="shared" ca="1" si="15"/>
        <v>38933873458.024994</v>
      </c>
      <c r="Q84" s="69">
        <f t="shared" ca="1" si="16"/>
        <v>4253775217.9388323</v>
      </c>
      <c r="R84" s="45">
        <f t="shared" ca="1" si="5"/>
        <v>-8.7161136787781025E-3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x14ac:dyDescent="0.2">
      <c r="A85" s="74">
        <v>-16736.5</v>
      </c>
      <c r="B85" s="74">
        <v>1.2606544987647794E-3</v>
      </c>
      <c r="C85" s="74">
        <v>0.1</v>
      </c>
      <c r="D85" s="75">
        <f t="shared" ref="D85:E143" si="17">A85/A$18</f>
        <v>-1.6736500000000001</v>
      </c>
      <c r="E85" s="75">
        <f t="shared" si="17"/>
        <v>1.2606544987647794E-3</v>
      </c>
      <c r="F85" s="69">
        <f t="shared" ref="F85:G143" si="18">$C85*D85</f>
        <v>-0.16736500000000001</v>
      </c>
      <c r="G85" s="69">
        <f t="shared" si="18"/>
        <v>1.2606544987647794E-4</v>
      </c>
      <c r="H85" s="69">
        <f t="shared" si="8"/>
        <v>0.28011043225000004</v>
      </c>
      <c r="I85" s="69">
        <f t="shared" si="9"/>
        <v>-0.46880682493521258</v>
      </c>
      <c r="J85" s="69">
        <f t="shared" si="10"/>
        <v>0.7846185425528186</v>
      </c>
      <c r="K85" s="69">
        <f t="shared" si="11"/>
        <v>-2.1098944018576731E-4</v>
      </c>
      <c r="L85" s="69">
        <f t="shared" si="12"/>
        <v>3.5312247656690945E-4</v>
      </c>
      <c r="M85" s="69">
        <f t="shared" ref="M85:M148" ca="1" si="19">+E$4+E$5*D85+E$6*D85^2</f>
        <v>1.0533413959045175E-2</v>
      </c>
      <c r="N85" s="69">
        <f t="shared" ca="1" si="13"/>
        <v>8.5984068008219572E-6</v>
      </c>
      <c r="O85" s="146">
        <f t="shared" ca="1" si="14"/>
        <v>268703036.42548585</v>
      </c>
      <c r="P85" s="69">
        <f t="shared" ca="1" si="15"/>
        <v>431665703.57688415</v>
      </c>
      <c r="Q85" s="69">
        <f t="shared" ca="1" si="16"/>
        <v>57520010.169568606</v>
      </c>
      <c r="R85" s="45">
        <f t="shared" ref="R85:R148" ca="1" si="20">+E85-M85</f>
        <v>-9.2727594602803956E-3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x14ac:dyDescent="0.2">
      <c r="A86" s="74">
        <v>-16425</v>
      </c>
      <c r="B86" s="74">
        <v>1.5099525000550784E-2</v>
      </c>
      <c r="C86" s="74">
        <v>0.1</v>
      </c>
      <c r="D86" s="75">
        <f t="shared" si="17"/>
        <v>-1.6425000000000001</v>
      </c>
      <c r="E86" s="75">
        <f t="shared" si="17"/>
        <v>1.5099525000550784E-2</v>
      </c>
      <c r="F86" s="69">
        <f t="shared" si="18"/>
        <v>-0.16425000000000001</v>
      </c>
      <c r="G86" s="69">
        <f t="shared" si="18"/>
        <v>1.5099525000550785E-3</v>
      </c>
      <c r="H86" s="69">
        <f t="shared" ref="H86:H149" si="21">C86*D86*D86</f>
        <v>0.269780625</v>
      </c>
      <c r="I86" s="69">
        <f t="shared" ref="I86:I149" si="22">C86*D86*D86*D86</f>
        <v>-0.44311467656250003</v>
      </c>
      <c r="J86" s="69">
        <f t="shared" ref="J86:J149" si="23">C86*D86*D86*D86*D86</f>
        <v>0.72781585625390632</v>
      </c>
      <c r="K86" s="69">
        <f t="shared" ref="K86:K149" si="24">C86*E86*D86</f>
        <v>-2.4800969813404666E-3</v>
      </c>
      <c r="L86" s="69">
        <f t="shared" ref="L86:L149" si="25">C86*E86*D86*D86</f>
        <v>4.0735592918517164E-3</v>
      </c>
      <c r="M86" s="69">
        <f t="shared" ca="1" si="19"/>
        <v>1.019346450466466E-2</v>
      </c>
      <c r="N86" s="69">
        <f t="shared" ref="N86:N149" ca="1" si="26">C86*(M86-E86)^2</f>
        <v>2.4069429589294403E-6</v>
      </c>
      <c r="O86" s="146">
        <f t="shared" ref="O86:O149" ca="1" si="27">(C86*O$1-O$2*F86+O$3*H86)^2</f>
        <v>281498142.086523</v>
      </c>
      <c r="P86" s="69">
        <f t="shared" ref="P86:P149" ca="1" si="28">(-C86*O$2+O$4*F86-O$5*H86)^2</f>
        <v>437149078.66381073</v>
      </c>
      <c r="Q86" s="69">
        <f t="shared" ref="Q86:Q149" ca="1" si="29">+(C86*O$3-F86*O$5+H86*O$6)^2</f>
        <v>60091393.581396706</v>
      </c>
      <c r="R86" s="45">
        <f t="shared" ca="1" si="20"/>
        <v>4.9060604958861241E-3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x14ac:dyDescent="0.2">
      <c r="A87" s="74">
        <v>-16425</v>
      </c>
      <c r="B87" s="74">
        <v>2.60995249991538E-2</v>
      </c>
      <c r="C87" s="74">
        <v>1</v>
      </c>
      <c r="D87" s="75">
        <f t="shared" si="17"/>
        <v>-1.6425000000000001</v>
      </c>
      <c r="E87" s="75">
        <f t="shared" si="17"/>
        <v>2.60995249991538E-2</v>
      </c>
      <c r="F87" s="69">
        <f t="shared" si="18"/>
        <v>-1.6425000000000001</v>
      </c>
      <c r="G87" s="69">
        <f t="shared" si="18"/>
        <v>2.60995249991538E-2</v>
      </c>
      <c r="H87" s="69">
        <f t="shared" si="21"/>
        <v>2.6978062500000002</v>
      </c>
      <c r="I87" s="69">
        <f t="shared" si="22"/>
        <v>-4.4311467656250008</v>
      </c>
      <c r="J87" s="69">
        <f t="shared" si="23"/>
        <v>7.2781585625390637</v>
      </c>
      <c r="K87" s="69">
        <f t="shared" si="24"/>
        <v>-4.2868469811110116E-2</v>
      </c>
      <c r="L87" s="69">
        <f t="shared" si="25"/>
        <v>7.0411461664748362E-2</v>
      </c>
      <c r="M87" s="69">
        <f t="shared" ca="1" si="19"/>
        <v>1.019346450466466E-2</v>
      </c>
      <c r="N87" s="69">
        <f t="shared" ca="1" si="26"/>
        <v>2.5300276045434809E-4</v>
      </c>
      <c r="O87" s="146">
        <f t="shared" ca="1" si="27"/>
        <v>28149814208.652298</v>
      </c>
      <c r="P87" s="69">
        <f t="shared" ca="1" si="28"/>
        <v>43714907866.381058</v>
      </c>
      <c r="Q87" s="69">
        <f t="shared" ca="1" si="29"/>
        <v>6009139358.1396656</v>
      </c>
      <c r="R87" s="45">
        <f t="shared" ca="1" si="20"/>
        <v>1.590606049448914E-2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x14ac:dyDescent="0.2">
      <c r="A88" s="74">
        <v>-16285</v>
      </c>
      <c r="B88" s="74">
        <v>4.5889050015830435E-3</v>
      </c>
      <c r="C88" s="74">
        <v>1</v>
      </c>
      <c r="D88" s="75">
        <f t="shared" si="17"/>
        <v>-1.6285000000000001</v>
      </c>
      <c r="E88" s="75">
        <f t="shared" si="17"/>
        <v>4.5889050015830435E-3</v>
      </c>
      <c r="F88" s="69">
        <f t="shared" si="18"/>
        <v>-1.6285000000000001</v>
      </c>
      <c r="G88" s="69">
        <f t="shared" si="18"/>
        <v>4.5889050015830435E-3</v>
      </c>
      <c r="H88" s="69">
        <f t="shared" si="21"/>
        <v>2.6520122500000003</v>
      </c>
      <c r="I88" s="69">
        <f t="shared" si="22"/>
        <v>-4.3188019491250005</v>
      </c>
      <c r="J88" s="69">
        <f t="shared" si="23"/>
        <v>7.0331689741500636</v>
      </c>
      <c r="K88" s="69">
        <f t="shared" si="24"/>
        <v>-7.4730317950779867E-3</v>
      </c>
      <c r="L88" s="69">
        <f t="shared" si="25"/>
        <v>1.2169832278284502E-2</v>
      </c>
      <c r="M88" s="69">
        <f t="shared" ca="1" si="19"/>
        <v>1.0042022951065325E-2</v>
      </c>
      <c r="N88" s="69">
        <f t="shared" ca="1" si="26"/>
        <v>2.973649537096584E-5</v>
      </c>
      <c r="O88" s="146">
        <f t="shared" ca="1" si="27"/>
        <v>28726174908.420204</v>
      </c>
      <c r="P88" s="69">
        <f t="shared" ca="1" si="28"/>
        <v>43936218388.346664</v>
      </c>
      <c r="Q88" s="69">
        <f t="shared" ca="1" si="29"/>
        <v>6121976571.7913284</v>
      </c>
      <c r="R88" s="45">
        <f t="shared" ca="1" si="20"/>
        <v>-5.4531179494822814E-3</v>
      </c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x14ac:dyDescent="0.2">
      <c r="A89" s="74">
        <v>-16285</v>
      </c>
      <c r="B89" s="74">
        <v>5.2889050057274289E-3</v>
      </c>
      <c r="C89" s="74">
        <v>1</v>
      </c>
      <c r="D89" s="75">
        <f t="shared" si="17"/>
        <v>-1.6285000000000001</v>
      </c>
      <c r="E89" s="75">
        <f t="shared" si="17"/>
        <v>5.2889050057274289E-3</v>
      </c>
      <c r="F89" s="69">
        <f t="shared" si="18"/>
        <v>-1.6285000000000001</v>
      </c>
      <c r="G89" s="69">
        <f t="shared" si="18"/>
        <v>5.2889050057274289E-3</v>
      </c>
      <c r="H89" s="69">
        <f t="shared" si="21"/>
        <v>2.6520122500000003</v>
      </c>
      <c r="I89" s="69">
        <f t="shared" si="22"/>
        <v>-4.3188019491250005</v>
      </c>
      <c r="J89" s="69">
        <f t="shared" si="23"/>
        <v>7.0331689741500636</v>
      </c>
      <c r="K89" s="69">
        <f t="shared" si="24"/>
        <v>-8.612981801827119E-3</v>
      </c>
      <c r="L89" s="69">
        <f t="shared" si="25"/>
        <v>1.4026240864275464E-2</v>
      </c>
      <c r="M89" s="69">
        <f t="shared" ca="1" si="19"/>
        <v>1.0042022951065325E-2</v>
      </c>
      <c r="N89" s="69">
        <f t="shared" ca="1" si="26"/>
        <v>2.259213020229314E-5</v>
      </c>
      <c r="O89" s="146">
        <f t="shared" ca="1" si="27"/>
        <v>28726174908.420204</v>
      </c>
      <c r="P89" s="69">
        <f t="shared" ca="1" si="28"/>
        <v>43936218388.346664</v>
      </c>
      <c r="Q89" s="69">
        <f t="shared" ca="1" si="29"/>
        <v>6121976571.7913284</v>
      </c>
      <c r="R89" s="45">
        <f t="shared" ca="1" si="20"/>
        <v>-4.7531179453378959E-3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x14ac:dyDescent="0.2">
      <c r="A90" s="74">
        <v>-16285</v>
      </c>
      <c r="B90" s="74">
        <v>5.9889050025958568E-3</v>
      </c>
      <c r="C90" s="74">
        <v>1</v>
      </c>
      <c r="D90" s="75">
        <f t="shared" si="17"/>
        <v>-1.6285000000000001</v>
      </c>
      <c r="E90" s="75">
        <f t="shared" si="17"/>
        <v>5.9889050025958568E-3</v>
      </c>
      <c r="F90" s="69">
        <f t="shared" si="18"/>
        <v>-1.6285000000000001</v>
      </c>
      <c r="G90" s="69">
        <f t="shared" si="18"/>
        <v>5.9889050025958568E-3</v>
      </c>
      <c r="H90" s="69">
        <f t="shared" si="21"/>
        <v>2.6520122500000003</v>
      </c>
      <c r="I90" s="69">
        <f t="shared" si="22"/>
        <v>-4.3188019491250005</v>
      </c>
      <c r="J90" s="69">
        <f t="shared" si="23"/>
        <v>7.0331689741500636</v>
      </c>
      <c r="K90" s="69">
        <f t="shared" si="24"/>
        <v>-9.7529317967273536E-3</v>
      </c>
      <c r="L90" s="69">
        <f t="shared" si="25"/>
        <v>1.5882649430970498E-2</v>
      </c>
      <c r="M90" s="69">
        <f t="shared" ca="1" si="19"/>
        <v>1.0042022951065325E-2</v>
      </c>
      <c r="N90" s="69">
        <f t="shared" ca="1" si="26"/>
        <v>1.6427765104205351E-5</v>
      </c>
      <c r="O90" s="146">
        <f t="shared" ca="1" si="27"/>
        <v>28726174908.420204</v>
      </c>
      <c r="P90" s="69">
        <f t="shared" ca="1" si="28"/>
        <v>43936218388.346664</v>
      </c>
      <c r="Q90" s="69">
        <f t="shared" ca="1" si="29"/>
        <v>6121976571.7913284</v>
      </c>
      <c r="R90" s="45">
        <f t="shared" ca="1" si="20"/>
        <v>-4.0531179484694681E-3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x14ac:dyDescent="0.2">
      <c r="A91" s="74">
        <v>-15513.5</v>
      </c>
      <c r="B91" s="74">
        <v>9.4785955079714768E-3</v>
      </c>
      <c r="C91" s="74">
        <v>1</v>
      </c>
      <c r="D91" s="75">
        <f t="shared" si="17"/>
        <v>-1.55135</v>
      </c>
      <c r="E91" s="75">
        <f t="shared" si="17"/>
        <v>9.4785955079714768E-3</v>
      </c>
      <c r="F91" s="69">
        <f t="shared" si="18"/>
        <v>-1.55135</v>
      </c>
      <c r="G91" s="69">
        <f t="shared" si="18"/>
        <v>9.4785955079714768E-3</v>
      </c>
      <c r="H91" s="69">
        <f t="shared" si="21"/>
        <v>2.4066868225000002</v>
      </c>
      <c r="I91" s="69">
        <f t="shared" si="22"/>
        <v>-3.7336136020853754</v>
      </c>
      <c r="J91" s="69">
        <f t="shared" si="23"/>
        <v>5.792141461595147</v>
      </c>
      <c r="K91" s="69">
        <f t="shared" si="24"/>
        <v>-1.470461914129155E-2</v>
      </c>
      <c r="L91" s="69">
        <f t="shared" si="25"/>
        <v>2.2812010904842646E-2</v>
      </c>
      <c r="M91" s="69">
        <f t="shared" ca="1" si="19"/>
        <v>9.2224320403166381E-3</v>
      </c>
      <c r="N91" s="69">
        <f t="shared" ca="1" si="26"/>
        <v>6.5619722160951585E-8</v>
      </c>
      <c r="O91" s="146">
        <f t="shared" ca="1" si="27"/>
        <v>31908630768.815605</v>
      </c>
      <c r="P91" s="69">
        <f t="shared" ca="1" si="28"/>
        <v>44870138610.280212</v>
      </c>
      <c r="Q91" s="69">
        <f t="shared" ca="1" si="29"/>
        <v>6709392031.083724</v>
      </c>
      <c r="R91" s="45">
        <f t="shared" ca="1" si="20"/>
        <v>2.5616346765483869E-4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x14ac:dyDescent="0.2">
      <c r="A92" s="74">
        <v>-15513.5</v>
      </c>
      <c r="B92" s="74">
        <v>9.7785955003928393E-3</v>
      </c>
      <c r="C92" s="74">
        <v>1</v>
      </c>
      <c r="D92" s="75">
        <f t="shared" si="17"/>
        <v>-1.55135</v>
      </c>
      <c r="E92" s="75">
        <f t="shared" si="17"/>
        <v>9.7785955003928393E-3</v>
      </c>
      <c r="F92" s="69">
        <f t="shared" si="18"/>
        <v>-1.55135</v>
      </c>
      <c r="G92" s="69">
        <f t="shared" si="18"/>
        <v>9.7785955003928393E-3</v>
      </c>
      <c r="H92" s="69">
        <f t="shared" si="21"/>
        <v>2.4066868225000002</v>
      </c>
      <c r="I92" s="69">
        <f t="shared" si="22"/>
        <v>-3.7336136020853754</v>
      </c>
      <c r="J92" s="69">
        <f t="shared" si="23"/>
        <v>5.792141461595147</v>
      </c>
      <c r="K92" s="69">
        <f t="shared" si="24"/>
        <v>-1.5170024129534431E-2</v>
      </c>
      <c r="L92" s="69">
        <f t="shared" si="25"/>
        <v>2.353401693335324E-2</v>
      </c>
      <c r="M92" s="69">
        <f t="shared" ca="1" si="19"/>
        <v>9.2224320403166381E-3</v>
      </c>
      <c r="N92" s="69">
        <f t="shared" ca="1" si="26"/>
        <v>3.093177943239323E-7</v>
      </c>
      <c r="O92" s="146">
        <f t="shared" ca="1" si="27"/>
        <v>31908630768.815605</v>
      </c>
      <c r="P92" s="69">
        <f t="shared" ca="1" si="28"/>
        <v>44870138610.280212</v>
      </c>
      <c r="Q92" s="69">
        <f t="shared" ca="1" si="29"/>
        <v>6709392031.083724</v>
      </c>
      <c r="R92" s="45">
        <f t="shared" ca="1" si="20"/>
        <v>5.5616346007620124E-4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x14ac:dyDescent="0.2">
      <c r="A93" s="74">
        <v>-15502.5</v>
      </c>
      <c r="B93" s="74">
        <v>8.5313324962044135E-3</v>
      </c>
      <c r="C93" s="74">
        <v>1</v>
      </c>
      <c r="D93" s="75">
        <f t="shared" si="17"/>
        <v>-1.5502499999999999</v>
      </c>
      <c r="E93" s="75">
        <f t="shared" si="17"/>
        <v>8.5313324962044135E-3</v>
      </c>
      <c r="F93" s="69">
        <f t="shared" si="18"/>
        <v>-1.5502499999999999</v>
      </c>
      <c r="G93" s="69">
        <f t="shared" si="18"/>
        <v>8.5313324962044135E-3</v>
      </c>
      <c r="H93" s="69">
        <f t="shared" si="21"/>
        <v>2.4032750624999997</v>
      </c>
      <c r="I93" s="69">
        <f t="shared" si="22"/>
        <v>-3.7256771656406245</v>
      </c>
      <c r="J93" s="69">
        <f t="shared" si="23"/>
        <v>5.7757310260343777</v>
      </c>
      <c r="K93" s="69">
        <f t="shared" si="24"/>
        <v>-1.3225698202240892E-2</v>
      </c>
      <c r="L93" s="69">
        <f t="shared" si="25"/>
        <v>2.050313863802394E-2</v>
      </c>
      <c r="M93" s="69">
        <f t="shared" ca="1" si="19"/>
        <v>9.2109294774288617E-3</v>
      </c>
      <c r="N93" s="69">
        <f t="shared" ca="1" si="26"/>
        <v>4.6185205688938308E-7</v>
      </c>
      <c r="O93" s="146">
        <f t="shared" ca="1" si="27"/>
        <v>31954009236.27359</v>
      </c>
      <c r="P93" s="69">
        <f t="shared" ca="1" si="28"/>
        <v>44879911694.998405</v>
      </c>
      <c r="Q93" s="69">
        <f t="shared" ca="1" si="29"/>
        <v>6717311296.4693146</v>
      </c>
      <c r="R93" s="45">
        <f t="shared" ca="1" si="20"/>
        <v>-6.7959698122444824E-4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x14ac:dyDescent="0.2">
      <c r="A94" s="74">
        <v>-15502.5</v>
      </c>
      <c r="B94" s="74">
        <v>9.7313322985428385E-3</v>
      </c>
      <c r="C94" s="74">
        <v>1</v>
      </c>
      <c r="D94" s="75">
        <f t="shared" si="17"/>
        <v>-1.5502499999999999</v>
      </c>
      <c r="E94" s="75">
        <f t="shared" si="17"/>
        <v>9.7313322985428385E-3</v>
      </c>
      <c r="F94" s="69">
        <f t="shared" si="18"/>
        <v>-1.5502499999999999</v>
      </c>
      <c r="G94" s="69">
        <f t="shared" si="18"/>
        <v>9.7313322985428385E-3</v>
      </c>
      <c r="H94" s="69">
        <f t="shared" si="21"/>
        <v>2.4032750624999997</v>
      </c>
      <c r="I94" s="69">
        <f t="shared" si="22"/>
        <v>-3.7256771656406245</v>
      </c>
      <c r="J94" s="69">
        <f t="shared" si="23"/>
        <v>5.7757310260343777</v>
      </c>
      <c r="K94" s="69">
        <f t="shared" si="24"/>
        <v>-1.5085997895816034E-2</v>
      </c>
      <c r="L94" s="69">
        <f t="shared" si="25"/>
        <v>2.3387068237988806E-2</v>
      </c>
      <c r="M94" s="69">
        <f t="shared" ca="1" si="19"/>
        <v>9.2109294774288617E-3</v>
      </c>
      <c r="N94" s="69">
        <f t="shared" ca="1" si="26"/>
        <v>2.7081909622338576E-7</v>
      </c>
      <c r="O94" s="146">
        <f t="shared" ca="1" si="27"/>
        <v>31954009236.27359</v>
      </c>
      <c r="P94" s="69">
        <f t="shared" ca="1" si="28"/>
        <v>44879911694.998405</v>
      </c>
      <c r="Q94" s="69">
        <f t="shared" ca="1" si="29"/>
        <v>6717311296.4693146</v>
      </c>
      <c r="R94" s="45">
        <f t="shared" ca="1" si="20"/>
        <v>5.2040282111397683E-4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x14ac:dyDescent="0.2">
      <c r="A95" s="74">
        <v>-15502</v>
      </c>
      <c r="B95" s="74">
        <v>8.9973658759845421E-3</v>
      </c>
      <c r="C95" s="74">
        <v>1</v>
      </c>
      <c r="D95" s="75">
        <f t="shared" si="17"/>
        <v>-1.5502</v>
      </c>
      <c r="E95" s="75">
        <f t="shared" si="17"/>
        <v>8.9973658759845421E-3</v>
      </c>
      <c r="F95" s="69">
        <f t="shared" si="18"/>
        <v>-1.5502</v>
      </c>
      <c r="G95" s="69">
        <f t="shared" si="18"/>
        <v>8.9973658759845421E-3</v>
      </c>
      <c r="H95" s="69">
        <f t="shared" si="21"/>
        <v>2.4031200400000001</v>
      </c>
      <c r="I95" s="69">
        <f t="shared" si="22"/>
        <v>-3.725316686008</v>
      </c>
      <c r="J95" s="69">
        <f t="shared" si="23"/>
        <v>5.7749859266496015</v>
      </c>
      <c r="K95" s="69">
        <f t="shared" si="24"/>
        <v>-1.3947716580951237E-2</v>
      </c>
      <c r="L95" s="69">
        <f t="shared" si="25"/>
        <v>2.1621750243790608E-2</v>
      </c>
      <c r="M95" s="69">
        <f t="shared" ca="1" si="19"/>
        <v>9.2104067559856898E-3</v>
      </c>
      <c r="N95" s="69">
        <f t="shared" ca="1" si="26"/>
        <v>4.5386416551663434E-8</v>
      </c>
      <c r="O95" s="146">
        <f t="shared" ca="1" si="27"/>
        <v>31956071854.781635</v>
      </c>
      <c r="P95" s="69">
        <f t="shared" ca="1" si="28"/>
        <v>44880353537.406654</v>
      </c>
      <c r="Q95" s="69">
        <f t="shared" ca="1" si="29"/>
        <v>6717670939.4344101</v>
      </c>
      <c r="R95" s="45">
        <f t="shared" ca="1" si="20"/>
        <v>-2.1304088000114775E-4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x14ac:dyDescent="0.2">
      <c r="A96" s="74">
        <v>-15502</v>
      </c>
      <c r="B96" s="74">
        <v>9.9973660035175271E-3</v>
      </c>
      <c r="C96" s="74">
        <v>1</v>
      </c>
      <c r="D96" s="75">
        <f t="shared" si="17"/>
        <v>-1.5502</v>
      </c>
      <c r="E96" s="75">
        <f t="shared" si="17"/>
        <v>9.9973660035175271E-3</v>
      </c>
      <c r="F96" s="69">
        <f t="shared" si="18"/>
        <v>-1.5502</v>
      </c>
      <c r="G96" s="69">
        <f t="shared" si="18"/>
        <v>9.9973660035175271E-3</v>
      </c>
      <c r="H96" s="69">
        <f t="shared" si="21"/>
        <v>2.4031200400000001</v>
      </c>
      <c r="I96" s="69">
        <f t="shared" si="22"/>
        <v>-3.725316686008</v>
      </c>
      <c r="J96" s="69">
        <f t="shared" si="23"/>
        <v>5.7749859266496015</v>
      </c>
      <c r="K96" s="69">
        <f t="shared" si="24"/>
        <v>-1.549791677865287E-2</v>
      </c>
      <c r="L96" s="69">
        <f t="shared" si="25"/>
        <v>2.4024870590267679E-2</v>
      </c>
      <c r="M96" s="69">
        <f t="shared" ca="1" si="19"/>
        <v>9.2104067559856898E-3</v>
      </c>
      <c r="N96" s="69">
        <f t="shared" ca="1" si="26"/>
        <v>6.1930485727587554E-7</v>
      </c>
      <c r="O96" s="146">
        <f t="shared" ca="1" si="27"/>
        <v>31956071854.781635</v>
      </c>
      <c r="P96" s="69">
        <f t="shared" ca="1" si="28"/>
        <v>44880353537.406654</v>
      </c>
      <c r="Q96" s="69">
        <f t="shared" ca="1" si="29"/>
        <v>6717670939.4344101</v>
      </c>
      <c r="R96" s="45">
        <f t="shared" ca="1" si="20"/>
        <v>7.8695924753183731E-4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x14ac:dyDescent="0.2">
      <c r="A97" s="74">
        <v>-15502</v>
      </c>
      <c r="B97" s="74">
        <v>1.0097366008267272E-2</v>
      </c>
      <c r="C97" s="74">
        <v>1</v>
      </c>
      <c r="D97" s="75">
        <f t="shared" si="17"/>
        <v>-1.5502</v>
      </c>
      <c r="E97" s="75">
        <f t="shared" si="17"/>
        <v>1.0097366008267272E-2</v>
      </c>
      <c r="F97" s="69">
        <f t="shared" si="18"/>
        <v>-1.5502</v>
      </c>
      <c r="G97" s="69">
        <f t="shared" si="18"/>
        <v>1.0097366008267272E-2</v>
      </c>
      <c r="H97" s="69">
        <f t="shared" si="21"/>
        <v>2.4031200400000001</v>
      </c>
      <c r="I97" s="69">
        <f t="shared" si="22"/>
        <v>-3.725316686008</v>
      </c>
      <c r="J97" s="69">
        <f t="shared" si="23"/>
        <v>5.7749859266496015</v>
      </c>
      <c r="K97" s="69">
        <f t="shared" si="24"/>
        <v>-1.5652936786015925E-2</v>
      </c>
      <c r="L97" s="69">
        <f t="shared" si="25"/>
        <v>2.4265182605681886E-2</v>
      </c>
      <c r="M97" s="69">
        <f t="shared" ca="1" si="19"/>
        <v>9.2104067559856898E-3</v>
      </c>
      <c r="N97" s="69">
        <f t="shared" ca="1" si="26"/>
        <v>7.8669671520790378E-7</v>
      </c>
      <c r="O97" s="146">
        <f t="shared" ca="1" si="27"/>
        <v>31956071854.781635</v>
      </c>
      <c r="P97" s="69">
        <f t="shared" ca="1" si="28"/>
        <v>44880353537.406654</v>
      </c>
      <c r="Q97" s="69">
        <f t="shared" ca="1" si="29"/>
        <v>6717670939.4344101</v>
      </c>
      <c r="R97" s="45">
        <f t="shared" ca="1" si="20"/>
        <v>8.8695925228158244E-4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x14ac:dyDescent="0.2">
      <c r="A98" s="74">
        <v>-15491</v>
      </c>
      <c r="B98" s="74">
        <v>6.5501030039740726E-3</v>
      </c>
      <c r="C98" s="74">
        <v>1</v>
      </c>
      <c r="D98" s="75">
        <f t="shared" si="17"/>
        <v>-1.5490999999999999</v>
      </c>
      <c r="E98" s="75">
        <f t="shared" si="17"/>
        <v>6.5501030039740726E-3</v>
      </c>
      <c r="F98" s="69">
        <f t="shared" si="18"/>
        <v>-1.5490999999999999</v>
      </c>
      <c r="G98" s="69">
        <f t="shared" si="18"/>
        <v>6.5501030039740726E-3</v>
      </c>
      <c r="H98" s="69">
        <f t="shared" si="21"/>
        <v>2.3997108099999997</v>
      </c>
      <c r="I98" s="69">
        <f t="shared" si="22"/>
        <v>-3.7173920157709994</v>
      </c>
      <c r="J98" s="69">
        <f t="shared" si="23"/>
        <v>5.758611971630855</v>
      </c>
      <c r="K98" s="69">
        <f t="shared" si="24"/>
        <v>-1.0146764563456236E-2</v>
      </c>
      <c r="L98" s="69">
        <f t="shared" si="25"/>
        <v>1.5718352985250053E-2</v>
      </c>
      <c r="M98" s="69">
        <f t="shared" ca="1" si="19"/>
        <v>9.1989095753738544E-3</v>
      </c>
      <c r="N98" s="69">
        <f t="shared" ca="1" si="26"/>
        <v>7.0161762526906669E-6</v>
      </c>
      <c r="O98" s="146">
        <f t="shared" ca="1" si="27"/>
        <v>32001448575.949966</v>
      </c>
      <c r="P98" s="69">
        <f t="shared" ca="1" si="28"/>
        <v>44890021506.887817</v>
      </c>
      <c r="Q98" s="69">
        <f t="shared" ca="1" si="29"/>
        <v>6725575952.9948168</v>
      </c>
      <c r="R98" s="45">
        <f t="shared" ca="1" si="20"/>
        <v>-2.6488065713997817E-3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x14ac:dyDescent="0.2">
      <c r="A99" s="74">
        <v>-15491</v>
      </c>
      <c r="B99" s="74">
        <v>6.5501030621817335E-3</v>
      </c>
      <c r="C99" s="74">
        <v>1</v>
      </c>
      <c r="D99" s="75">
        <f t="shared" si="17"/>
        <v>-1.5490999999999999</v>
      </c>
      <c r="E99" s="75">
        <f t="shared" si="17"/>
        <v>6.5501030621817335E-3</v>
      </c>
      <c r="F99" s="69">
        <f t="shared" si="18"/>
        <v>-1.5490999999999999</v>
      </c>
      <c r="G99" s="69">
        <f t="shared" si="18"/>
        <v>6.5501030621817335E-3</v>
      </c>
      <c r="H99" s="69">
        <f t="shared" si="21"/>
        <v>2.3997108099999997</v>
      </c>
      <c r="I99" s="69">
        <f t="shared" si="22"/>
        <v>-3.7173920157709994</v>
      </c>
      <c r="J99" s="69">
        <f t="shared" si="23"/>
        <v>5.758611971630855</v>
      </c>
      <c r="K99" s="69">
        <f t="shared" si="24"/>
        <v>-1.0146764653625722E-2</v>
      </c>
      <c r="L99" s="69">
        <f t="shared" si="25"/>
        <v>1.5718353124931604E-2</v>
      </c>
      <c r="M99" s="69">
        <f t="shared" ca="1" si="19"/>
        <v>9.1989095753738544E-3</v>
      </c>
      <c r="N99" s="69">
        <f t="shared" ca="1" si="26"/>
        <v>7.016175944329001E-6</v>
      </c>
      <c r="O99" s="146">
        <f t="shared" ca="1" si="27"/>
        <v>32001448575.949966</v>
      </c>
      <c r="P99" s="69">
        <f t="shared" ca="1" si="28"/>
        <v>44890021506.887817</v>
      </c>
      <c r="Q99" s="69">
        <f t="shared" ca="1" si="29"/>
        <v>6725575952.9948168</v>
      </c>
      <c r="R99" s="45">
        <f t="shared" ca="1" si="20"/>
        <v>-2.6488065131921208E-3</v>
      </c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x14ac:dyDescent="0.2">
      <c r="A100" s="74">
        <v>-14941</v>
      </c>
      <c r="B100" s="74">
        <v>6.0869529988849536E-3</v>
      </c>
      <c r="C100" s="74">
        <v>0.1</v>
      </c>
      <c r="D100" s="75">
        <f t="shared" si="17"/>
        <v>-1.4941</v>
      </c>
      <c r="E100" s="75">
        <f t="shared" si="17"/>
        <v>6.0869529988849536E-3</v>
      </c>
      <c r="F100" s="69">
        <f t="shared" si="18"/>
        <v>-0.14941000000000002</v>
      </c>
      <c r="G100" s="69">
        <f t="shared" si="18"/>
        <v>6.0869529988849536E-4</v>
      </c>
      <c r="H100" s="69">
        <f t="shared" si="21"/>
        <v>0.22323348100000001</v>
      </c>
      <c r="I100" s="69">
        <f t="shared" si="22"/>
        <v>-0.33353314396209999</v>
      </c>
      <c r="J100" s="69">
        <f t="shared" si="23"/>
        <v>0.49833187039377358</v>
      </c>
      <c r="K100" s="69">
        <f t="shared" si="24"/>
        <v>-9.0945164756340094E-4</v>
      </c>
      <c r="L100" s="69">
        <f t="shared" si="25"/>
        <v>1.3588117066244774E-3</v>
      </c>
      <c r="M100" s="69">
        <f t="shared" ca="1" si="19"/>
        <v>8.6306145813093392E-3</v>
      </c>
      <c r="N100" s="69">
        <f t="shared" ca="1" si="26"/>
        <v>6.4702142459017297E-7</v>
      </c>
      <c r="O100" s="146">
        <f t="shared" ca="1" si="27"/>
        <v>342665727.14872414</v>
      </c>
      <c r="P100" s="69">
        <f t="shared" ca="1" si="28"/>
        <v>452445920.55275714</v>
      </c>
      <c r="Q100" s="69">
        <f t="shared" ca="1" si="29"/>
        <v>71027515.411583483</v>
      </c>
      <c r="R100" s="45">
        <f t="shared" ca="1" si="20"/>
        <v>-2.5436615824243856E-3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x14ac:dyDescent="0.2">
      <c r="A101" s="74">
        <v>-14485.5</v>
      </c>
      <c r="B101" s="74">
        <v>7.7434715058188885E-3</v>
      </c>
      <c r="C101" s="74">
        <v>1</v>
      </c>
      <c r="D101" s="75">
        <f t="shared" si="17"/>
        <v>-1.44855</v>
      </c>
      <c r="E101" s="75">
        <f t="shared" si="17"/>
        <v>7.7434715058188885E-3</v>
      </c>
      <c r="F101" s="69">
        <f t="shared" si="18"/>
        <v>-1.44855</v>
      </c>
      <c r="G101" s="69">
        <f t="shared" si="18"/>
        <v>7.7434715058188885E-3</v>
      </c>
      <c r="H101" s="69">
        <f t="shared" si="21"/>
        <v>2.0982971025000001</v>
      </c>
      <c r="I101" s="69">
        <f t="shared" si="22"/>
        <v>-3.0394882678263753</v>
      </c>
      <c r="J101" s="69">
        <f t="shared" si="23"/>
        <v>4.402850730359896</v>
      </c>
      <c r="K101" s="69">
        <f t="shared" si="24"/>
        <v>-1.1216805649753952E-2</v>
      </c>
      <c r="L101" s="69">
        <f t="shared" si="25"/>
        <v>1.6248103823951088E-2</v>
      </c>
      <c r="M101" s="69">
        <f t="shared" ca="1" si="19"/>
        <v>8.1697065201680897E-3</v>
      </c>
      <c r="N101" s="69">
        <f t="shared" ca="1" si="26"/>
        <v>1.8167628745726372E-7</v>
      </c>
      <c r="O101" s="146">
        <f t="shared" ca="1" si="27"/>
        <v>36132902678.754471</v>
      </c>
      <c r="P101" s="69">
        <f t="shared" ca="1" si="28"/>
        <v>45345813724.647652</v>
      </c>
      <c r="Q101" s="69">
        <f t="shared" ca="1" si="29"/>
        <v>7386564548.2556982</v>
      </c>
      <c r="R101" s="45">
        <f t="shared" ca="1" si="20"/>
        <v>-4.2623501434920115E-4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x14ac:dyDescent="0.2">
      <c r="A102" s="74">
        <v>-14485.5</v>
      </c>
      <c r="B102" s="74">
        <v>7.8434714232571423E-3</v>
      </c>
      <c r="C102" s="74">
        <v>1</v>
      </c>
      <c r="D102" s="75">
        <f t="shared" si="17"/>
        <v>-1.44855</v>
      </c>
      <c r="E102" s="75">
        <f t="shared" si="17"/>
        <v>7.8434714232571423E-3</v>
      </c>
      <c r="F102" s="69">
        <f t="shared" si="18"/>
        <v>-1.44855</v>
      </c>
      <c r="G102" s="69">
        <f t="shared" si="18"/>
        <v>7.8434714232571423E-3</v>
      </c>
      <c r="H102" s="69">
        <f t="shared" si="21"/>
        <v>2.0982971025000001</v>
      </c>
      <c r="I102" s="69">
        <f t="shared" si="22"/>
        <v>-3.0394882678263753</v>
      </c>
      <c r="J102" s="69">
        <f t="shared" si="23"/>
        <v>4.402850730359896</v>
      </c>
      <c r="K102" s="69">
        <f t="shared" si="24"/>
        <v>-1.1361660530159133E-2</v>
      </c>
      <c r="L102" s="69">
        <f t="shared" si="25"/>
        <v>1.6457933360962011E-2</v>
      </c>
      <c r="M102" s="69">
        <f t="shared" ca="1" si="19"/>
        <v>8.1697065201680897E-3</v>
      </c>
      <c r="N102" s="69">
        <f t="shared" ca="1" si="26"/>
        <v>1.0642933845649524E-7</v>
      </c>
      <c r="O102" s="146">
        <f t="shared" ca="1" si="27"/>
        <v>36132902678.754471</v>
      </c>
      <c r="P102" s="69">
        <f t="shared" ca="1" si="28"/>
        <v>45345813724.647652</v>
      </c>
      <c r="Q102" s="69">
        <f t="shared" ca="1" si="29"/>
        <v>7386564548.2556982</v>
      </c>
      <c r="R102" s="45">
        <f t="shared" ca="1" si="20"/>
        <v>-3.2623509691094739E-4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x14ac:dyDescent="0.2">
      <c r="A103" s="74">
        <v>-14485</v>
      </c>
      <c r="B103" s="74">
        <v>7.2095048235496506E-3</v>
      </c>
      <c r="C103" s="74">
        <v>1</v>
      </c>
      <c r="D103" s="75">
        <f t="shared" si="17"/>
        <v>-1.4484999999999999</v>
      </c>
      <c r="E103" s="75">
        <f t="shared" si="17"/>
        <v>7.2095048235496506E-3</v>
      </c>
      <c r="F103" s="69">
        <f t="shared" si="18"/>
        <v>-1.4484999999999999</v>
      </c>
      <c r="G103" s="69">
        <f t="shared" si="18"/>
        <v>7.2095048235496506E-3</v>
      </c>
      <c r="H103" s="69">
        <f t="shared" si="21"/>
        <v>2.0981522499999996</v>
      </c>
      <c r="I103" s="69">
        <f t="shared" si="22"/>
        <v>-3.0391735341249992</v>
      </c>
      <c r="J103" s="69">
        <f t="shared" si="23"/>
        <v>4.4022428641800611</v>
      </c>
      <c r="K103" s="69">
        <f t="shared" si="24"/>
        <v>-1.0442967736911668E-2</v>
      </c>
      <c r="L103" s="69">
        <f t="shared" si="25"/>
        <v>1.5126638766916551E-2</v>
      </c>
      <c r="M103" s="69">
        <f t="shared" ca="1" si="19"/>
        <v>8.1692054341977668E-3</v>
      </c>
      <c r="N103" s="69">
        <f t="shared" ca="1" si="26"/>
        <v>9.2102526207836717E-7</v>
      </c>
      <c r="O103" s="146">
        <f t="shared" ca="1" si="27"/>
        <v>36134944576.646507</v>
      </c>
      <c r="P103" s="69">
        <f t="shared" ca="1" si="28"/>
        <v>45345828681.743736</v>
      </c>
      <c r="Q103" s="69">
        <f t="shared" ca="1" si="29"/>
        <v>7386861071.2888832</v>
      </c>
      <c r="R103" s="45">
        <f t="shared" ca="1" si="20"/>
        <v>-9.5970061064811624E-4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x14ac:dyDescent="0.2">
      <c r="A104" s="74">
        <v>-14485</v>
      </c>
      <c r="B104" s="74">
        <v>7.3095050029223785E-3</v>
      </c>
      <c r="C104" s="74">
        <v>1</v>
      </c>
      <c r="D104" s="75">
        <f t="shared" si="17"/>
        <v>-1.4484999999999999</v>
      </c>
      <c r="E104" s="75">
        <f t="shared" si="17"/>
        <v>7.3095050029223785E-3</v>
      </c>
      <c r="F104" s="69">
        <f t="shared" si="18"/>
        <v>-1.4484999999999999</v>
      </c>
      <c r="G104" s="69">
        <f t="shared" si="18"/>
        <v>7.3095050029223785E-3</v>
      </c>
      <c r="H104" s="69">
        <f t="shared" si="21"/>
        <v>2.0981522499999996</v>
      </c>
      <c r="I104" s="69">
        <f t="shared" si="22"/>
        <v>-3.0391735341249992</v>
      </c>
      <c r="J104" s="69">
        <f t="shared" si="23"/>
        <v>4.4022428641800611</v>
      </c>
      <c r="K104" s="69">
        <f t="shared" si="24"/>
        <v>-1.0587817996733065E-2</v>
      </c>
      <c r="L104" s="69">
        <f t="shared" si="25"/>
        <v>1.5336454368267844E-2</v>
      </c>
      <c r="M104" s="69">
        <f t="shared" ca="1" si="19"/>
        <v>8.1692054341977668E-3</v>
      </c>
      <c r="N104" s="69">
        <f t="shared" ca="1" si="26"/>
        <v>7.3908483153508879E-7</v>
      </c>
      <c r="O104" s="146">
        <f t="shared" ca="1" si="27"/>
        <v>36134944576.646507</v>
      </c>
      <c r="P104" s="69">
        <f t="shared" ca="1" si="28"/>
        <v>45345828681.743736</v>
      </c>
      <c r="Q104" s="69">
        <f t="shared" ca="1" si="29"/>
        <v>7386861071.2888832</v>
      </c>
      <c r="R104" s="45">
        <f t="shared" ca="1" si="20"/>
        <v>-8.5970043127538837E-4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x14ac:dyDescent="0.2">
      <c r="A105" s="74">
        <v>-14479.5</v>
      </c>
      <c r="B105" s="74">
        <v>8.3358735064393841E-3</v>
      </c>
      <c r="C105" s="74">
        <v>1</v>
      </c>
      <c r="D105" s="75">
        <f t="shared" si="17"/>
        <v>-1.4479500000000001</v>
      </c>
      <c r="E105" s="75">
        <f t="shared" si="17"/>
        <v>8.3358735064393841E-3</v>
      </c>
      <c r="F105" s="69">
        <f t="shared" si="18"/>
        <v>-1.4479500000000001</v>
      </c>
      <c r="G105" s="69">
        <f t="shared" si="18"/>
        <v>8.3358735064393841E-3</v>
      </c>
      <c r="H105" s="69">
        <f t="shared" si="21"/>
        <v>2.0965592025000004</v>
      </c>
      <c r="I105" s="69">
        <f t="shared" si="22"/>
        <v>-3.0357128972598759</v>
      </c>
      <c r="J105" s="69">
        <f t="shared" si="23"/>
        <v>4.3955604895874378</v>
      </c>
      <c r="K105" s="69">
        <f t="shared" si="24"/>
        <v>-1.2069928043648906E-2</v>
      </c>
      <c r="L105" s="69">
        <f t="shared" si="25"/>
        <v>1.7476652310801435E-2</v>
      </c>
      <c r="M105" s="69">
        <f t="shared" ca="1" si="19"/>
        <v>8.1636941905602195E-3</v>
      </c>
      <c r="N105" s="69">
        <f t="shared" ca="1" si="26"/>
        <v>2.9645716816617134E-8</v>
      </c>
      <c r="O105" s="146">
        <f t="shared" ca="1" si="27"/>
        <v>36157404345.412331</v>
      </c>
      <c r="P105" s="69">
        <f t="shared" ca="1" si="28"/>
        <v>45345979284.011505</v>
      </c>
      <c r="Q105" s="69">
        <f t="shared" ca="1" si="29"/>
        <v>7390120601.2206869</v>
      </c>
      <c r="R105" s="45">
        <f t="shared" ca="1" si="20"/>
        <v>1.7217931587916457E-4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x14ac:dyDescent="0.2">
      <c r="A106" s="74">
        <v>-14479.5</v>
      </c>
      <c r="B106" s="74">
        <v>8.5358735086629167E-3</v>
      </c>
      <c r="C106" s="74">
        <v>1</v>
      </c>
      <c r="D106" s="75">
        <f t="shared" si="17"/>
        <v>-1.4479500000000001</v>
      </c>
      <c r="E106" s="75">
        <f t="shared" si="17"/>
        <v>8.5358735086629167E-3</v>
      </c>
      <c r="F106" s="69">
        <f t="shared" si="18"/>
        <v>-1.4479500000000001</v>
      </c>
      <c r="G106" s="69">
        <f t="shared" si="18"/>
        <v>8.5358735086629167E-3</v>
      </c>
      <c r="H106" s="69">
        <f t="shared" si="21"/>
        <v>2.0965592025000004</v>
      </c>
      <c r="I106" s="69">
        <f t="shared" si="22"/>
        <v>-3.0357128972598759</v>
      </c>
      <c r="J106" s="69">
        <f t="shared" si="23"/>
        <v>4.3955604895874378</v>
      </c>
      <c r="K106" s="69">
        <f t="shared" si="24"/>
        <v>-1.2359518046868471E-2</v>
      </c>
      <c r="L106" s="69">
        <f t="shared" si="25"/>
        <v>1.7895964155963204E-2</v>
      </c>
      <c r="M106" s="69">
        <f t="shared" ca="1" si="19"/>
        <v>8.1636941905602195E-3</v>
      </c>
      <c r="N106" s="69">
        <f t="shared" ca="1" si="26"/>
        <v>1.3851744482338868E-7</v>
      </c>
      <c r="O106" s="146">
        <f t="shared" ca="1" si="27"/>
        <v>36157404345.412331</v>
      </c>
      <c r="P106" s="69">
        <f t="shared" ca="1" si="28"/>
        <v>45345979284.011505</v>
      </c>
      <c r="Q106" s="69">
        <f t="shared" ca="1" si="29"/>
        <v>7390120601.2206869</v>
      </c>
      <c r="R106" s="45">
        <f t="shared" ca="1" si="20"/>
        <v>3.7217931810269722E-4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x14ac:dyDescent="0.2">
      <c r="A107" s="74">
        <v>-14465.5</v>
      </c>
      <c r="B107" s="74">
        <v>7.7848115033702925E-3</v>
      </c>
      <c r="C107" s="74">
        <v>1</v>
      </c>
      <c r="D107" s="75">
        <f t="shared" si="17"/>
        <v>-1.44655</v>
      </c>
      <c r="E107" s="75">
        <f t="shared" si="17"/>
        <v>7.7848115033702925E-3</v>
      </c>
      <c r="F107" s="69">
        <f t="shared" si="18"/>
        <v>-1.44655</v>
      </c>
      <c r="G107" s="69">
        <f t="shared" si="18"/>
        <v>7.7848115033702925E-3</v>
      </c>
      <c r="H107" s="69">
        <f t="shared" si="21"/>
        <v>2.0925069024999998</v>
      </c>
      <c r="I107" s="69">
        <f t="shared" si="22"/>
        <v>-3.0269158598113748</v>
      </c>
      <c r="J107" s="69">
        <f t="shared" si="23"/>
        <v>4.3785851370101438</v>
      </c>
      <c r="K107" s="69">
        <f t="shared" si="24"/>
        <v>-1.1261119080200296E-2</v>
      </c>
      <c r="L107" s="69">
        <f t="shared" si="25"/>
        <v>1.6289771805463739E-2</v>
      </c>
      <c r="M107" s="69">
        <f t="shared" ca="1" si="19"/>
        <v>8.1496713781442076E-3</v>
      </c>
      <c r="N107" s="69">
        <f t="shared" ca="1" si="26"/>
        <v>1.3312272822003702E-7</v>
      </c>
      <c r="O107" s="146">
        <f t="shared" ca="1" si="27"/>
        <v>36214565453.416603</v>
      </c>
      <c r="P107" s="69">
        <f t="shared" ca="1" si="28"/>
        <v>45346247430.360359</v>
      </c>
      <c r="Q107" s="69">
        <f t="shared" ca="1" si="29"/>
        <v>7398399175.3023691</v>
      </c>
      <c r="R107" s="45">
        <f t="shared" ca="1" si="20"/>
        <v>-3.6485987477391513E-4</v>
      </c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x14ac:dyDescent="0.2">
      <c r="A108" s="74">
        <v>-14465.5</v>
      </c>
      <c r="B108" s="74">
        <v>7.7848115397500806E-3</v>
      </c>
      <c r="C108" s="74">
        <v>1</v>
      </c>
      <c r="D108" s="75">
        <f t="shared" si="17"/>
        <v>-1.44655</v>
      </c>
      <c r="E108" s="75">
        <f t="shared" si="17"/>
        <v>7.7848115397500806E-3</v>
      </c>
      <c r="F108" s="69">
        <f t="shared" si="18"/>
        <v>-1.44655</v>
      </c>
      <c r="G108" s="69">
        <f t="shared" si="18"/>
        <v>7.7848115397500806E-3</v>
      </c>
      <c r="H108" s="69">
        <f t="shared" si="21"/>
        <v>2.0925069024999998</v>
      </c>
      <c r="I108" s="69">
        <f t="shared" si="22"/>
        <v>-3.0269158598113748</v>
      </c>
      <c r="J108" s="69">
        <f t="shared" si="23"/>
        <v>4.3785851370101438</v>
      </c>
      <c r="K108" s="69">
        <f t="shared" si="24"/>
        <v>-1.126111913282548E-2</v>
      </c>
      <c r="L108" s="69">
        <f t="shared" si="25"/>
        <v>1.6289771881588699E-2</v>
      </c>
      <c r="M108" s="69">
        <f t="shared" ca="1" si="19"/>
        <v>8.1496713781442076E-3</v>
      </c>
      <c r="N108" s="69">
        <f t="shared" ca="1" si="26"/>
        <v>1.331227016729885E-7</v>
      </c>
      <c r="O108" s="146">
        <f t="shared" ca="1" si="27"/>
        <v>36214565453.416603</v>
      </c>
      <c r="P108" s="69">
        <f t="shared" ca="1" si="28"/>
        <v>45346247430.360359</v>
      </c>
      <c r="Q108" s="69">
        <f t="shared" ca="1" si="29"/>
        <v>7398399175.3023691</v>
      </c>
      <c r="R108" s="45">
        <f t="shared" ca="1" si="20"/>
        <v>-3.6485983839412706E-4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x14ac:dyDescent="0.2">
      <c r="A109" s="74">
        <v>-14465.5</v>
      </c>
      <c r="B109" s="74">
        <v>7.88481150084408E-3</v>
      </c>
      <c r="C109" s="74">
        <v>1</v>
      </c>
      <c r="D109" s="75">
        <f t="shared" si="17"/>
        <v>-1.44655</v>
      </c>
      <c r="E109" s="75">
        <f t="shared" si="17"/>
        <v>7.88481150084408E-3</v>
      </c>
      <c r="F109" s="69">
        <f t="shared" si="18"/>
        <v>-1.44655</v>
      </c>
      <c r="G109" s="69">
        <f t="shared" si="18"/>
        <v>7.88481150084408E-3</v>
      </c>
      <c r="H109" s="69">
        <f t="shared" si="21"/>
        <v>2.0925069024999998</v>
      </c>
      <c r="I109" s="69">
        <f t="shared" si="22"/>
        <v>-3.0269158598113748</v>
      </c>
      <c r="J109" s="69">
        <f t="shared" si="23"/>
        <v>4.3785851370101438</v>
      </c>
      <c r="K109" s="69">
        <f t="shared" si="24"/>
        <v>-1.1405774076546004E-2</v>
      </c>
      <c r="L109" s="69">
        <f t="shared" si="25"/>
        <v>1.6499022490427624E-2</v>
      </c>
      <c r="M109" s="69">
        <f t="shared" ca="1" si="19"/>
        <v>8.1496713781442076E-3</v>
      </c>
      <c r="N109" s="69">
        <f t="shared" ca="1" si="26"/>
        <v>7.0150754603438658E-8</v>
      </c>
      <c r="O109" s="146">
        <f t="shared" ca="1" si="27"/>
        <v>36214565453.416603</v>
      </c>
      <c r="P109" s="69">
        <f t="shared" ca="1" si="28"/>
        <v>45346247430.360359</v>
      </c>
      <c r="Q109" s="69">
        <f t="shared" ca="1" si="29"/>
        <v>7398399175.3023691</v>
      </c>
      <c r="R109" s="45">
        <f t="shared" ca="1" si="20"/>
        <v>-2.6485987730012761E-4</v>
      </c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x14ac:dyDescent="0.2">
      <c r="A110" s="74">
        <v>-13434</v>
      </c>
      <c r="B110" s="74">
        <v>5.3119219955988228E-3</v>
      </c>
      <c r="C110" s="74">
        <v>1</v>
      </c>
      <c r="D110" s="75">
        <f t="shared" si="17"/>
        <v>-1.3433999999999999</v>
      </c>
      <c r="E110" s="75">
        <f t="shared" si="17"/>
        <v>5.3119219955988228E-3</v>
      </c>
      <c r="F110" s="69">
        <f t="shared" si="18"/>
        <v>-1.3433999999999999</v>
      </c>
      <c r="G110" s="69">
        <f t="shared" si="18"/>
        <v>5.3119219955988228E-3</v>
      </c>
      <c r="H110" s="69">
        <f t="shared" si="21"/>
        <v>1.8047235599999998</v>
      </c>
      <c r="I110" s="69">
        <f t="shared" si="22"/>
        <v>-2.4244656305039998</v>
      </c>
      <c r="J110" s="69">
        <f t="shared" si="23"/>
        <v>3.257027128019073</v>
      </c>
      <c r="K110" s="69">
        <f t="shared" si="24"/>
        <v>-7.1360360088874586E-3</v>
      </c>
      <c r="L110" s="69">
        <f t="shared" si="25"/>
        <v>9.5865507743394113E-3</v>
      </c>
      <c r="M110" s="69">
        <f t="shared" ca="1" si="19"/>
        <v>7.1394329845489686E-3</v>
      </c>
      <c r="N110" s="69">
        <f t="shared" ca="1" si="26"/>
        <v>3.33979641473354E-6</v>
      </c>
      <c r="O110" s="146">
        <f t="shared" ca="1" si="27"/>
        <v>40380371478.857544</v>
      </c>
      <c r="P110" s="69">
        <f t="shared" ca="1" si="28"/>
        <v>44911950394.063568</v>
      </c>
      <c r="Q110" s="69">
        <f t="shared" ca="1" si="29"/>
        <v>7932276048.8413296</v>
      </c>
      <c r="R110" s="45">
        <f t="shared" ca="1" si="20"/>
        <v>-1.8275109889501458E-3</v>
      </c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x14ac:dyDescent="0.2">
      <c r="A111" s="74">
        <v>-13431.5</v>
      </c>
      <c r="B111" s="74">
        <v>5.6420895052724518E-3</v>
      </c>
      <c r="C111" s="74">
        <v>1</v>
      </c>
      <c r="D111" s="75">
        <f t="shared" si="17"/>
        <v>-1.3431500000000001</v>
      </c>
      <c r="E111" s="75">
        <f t="shared" si="17"/>
        <v>5.6420895052724518E-3</v>
      </c>
      <c r="F111" s="69">
        <f t="shared" si="18"/>
        <v>-1.3431500000000001</v>
      </c>
      <c r="G111" s="69">
        <f t="shared" si="18"/>
        <v>5.6420895052724518E-3</v>
      </c>
      <c r="H111" s="69">
        <f t="shared" si="21"/>
        <v>1.8040519225000002</v>
      </c>
      <c r="I111" s="69">
        <f t="shared" si="22"/>
        <v>-2.4231123397058756</v>
      </c>
      <c r="J111" s="69">
        <f t="shared" si="23"/>
        <v>3.2546033390759468</v>
      </c>
      <c r="K111" s="69">
        <f t="shared" si="24"/>
        <v>-7.5781725190066937E-3</v>
      </c>
      <c r="L111" s="69">
        <f t="shared" si="25"/>
        <v>1.017862241890384E-2</v>
      </c>
      <c r="M111" s="69">
        <f t="shared" ca="1" si="19"/>
        <v>7.1370395081643001E-3</v>
      </c>
      <c r="N111" s="69">
        <f t="shared" ca="1" si="26"/>
        <v>2.2348755111463374E-6</v>
      </c>
      <c r="O111" s="146">
        <f t="shared" ca="1" si="27"/>
        <v>40390336398.230034</v>
      </c>
      <c r="P111" s="69">
        <f t="shared" ca="1" si="28"/>
        <v>44909814732.731781</v>
      </c>
      <c r="Q111" s="69">
        <f t="shared" ca="1" si="29"/>
        <v>7933380234.2446165</v>
      </c>
      <c r="R111" s="45">
        <f t="shared" ca="1" si="20"/>
        <v>-1.4949500028918483E-3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x14ac:dyDescent="0.2">
      <c r="A112" s="74">
        <v>-13431.5</v>
      </c>
      <c r="B112" s="74">
        <v>6.0420895024435595E-3</v>
      </c>
      <c r="C112" s="74">
        <v>1</v>
      </c>
      <c r="D112" s="75">
        <f t="shared" si="17"/>
        <v>-1.3431500000000001</v>
      </c>
      <c r="E112" s="75">
        <f t="shared" si="17"/>
        <v>6.0420895024435595E-3</v>
      </c>
      <c r="F112" s="69">
        <f t="shared" si="18"/>
        <v>-1.3431500000000001</v>
      </c>
      <c r="G112" s="69">
        <f t="shared" si="18"/>
        <v>6.0420895024435595E-3</v>
      </c>
      <c r="H112" s="69">
        <f t="shared" si="21"/>
        <v>1.8040519225000002</v>
      </c>
      <c r="I112" s="69">
        <f t="shared" si="22"/>
        <v>-2.4231123397058756</v>
      </c>
      <c r="J112" s="69">
        <f t="shared" si="23"/>
        <v>3.2546033390759468</v>
      </c>
      <c r="K112" s="69">
        <f t="shared" si="24"/>
        <v>-8.1154325152070668E-3</v>
      </c>
      <c r="L112" s="69">
        <f t="shared" si="25"/>
        <v>1.0900243182800372E-2</v>
      </c>
      <c r="M112" s="69">
        <f t="shared" ca="1" si="19"/>
        <v>7.1370395081643001E-3</v>
      </c>
      <c r="N112" s="69">
        <f t="shared" ca="1" si="26"/>
        <v>1.1989155150278499E-6</v>
      </c>
      <c r="O112" s="146">
        <f t="shared" ca="1" si="27"/>
        <v>40390336398.230034</v>
      </c>
      <c r="P112" s="69">
        <f t="shared" ca="1" si="28"/>
        <v>44909814732.731781</v>
      </c>
      <c r="Q112" s="69">
        <f t="shared" ca="1" si="29"/>
        <v>7933380234.2446165</v>
      </c>
      <c r="R112" s="45">
        <f t="shared" ca="1" si="20"/>
        <v>-1.0949500057207406E-3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x14ac:dyDescent="0.2">
      <c r="A113" s="74">
        <v>-13431.5</v>
      </c>
      <c r="B113" s="74">
        <v>6.4420895068906248E-3</v>
      </c>
      <c r="C113" s="74">
        <v>1</v>
      </c>
      <c r="D113" s="75">
        <f t="shared" si="17"/>
        <v>-1.3431500000000001</v>
      </c>
      <c r="E113" s="75">
        <f t="shared" si="17"/>
        <v>6.4420895068906248E-3</v>
      </c>
      <c r="F113" s="69">
        <f t="shared" si="18"/>
        <v>-1.3431500000000001</v>
      </c>
      <c r="G113" s="69">
        <f t="shared" si="18"/>
        <v>6.4420895068906248E-3</v>
      </c>
      <c r="H113" s="69">
        <f t="shared" si="21"/>
        <v>1.8040519225000002</v>
      </c>
      <c r="I113" s="69">
        <f t="shared" si="22"/>
        <v>-2.4231123397058756</v>
      </c>
      <c r="J113" s="69">
        <f t="shared" si="23"/>
        <v>3.2546033390759468</v>
      </c>
      <c r="K113" s="69">
        <f t="shared" si="24"/>
        <v>-8.6526925211801425E-3</v>
      </c>
      <c r="L113" s="69">
        <f t="shared" si="25"/>
        <v>1.162186395982311E-2</v>
      </c>
      <c r="M113" s="69">
        <f t="shared" ca="1" si="19"/>
        <v>7.1370395081643001E-3</v>
      </c>
      <c r="N113" s="69">
        <f t="shared" ca="1" si="26"/>
        <v>4.8295550427028136E-7</v>
      </c>
      <c r="O113" s="146">
        <f t="shared" ca="1" si="27"/>
        <v>40390336398.230034</v>
      </c>
      <c r="P113" s="69">
        <f t="shared" ca="1" si="28"/>
        <v>44909814732.731781</v>
      </c>
      <c r="Q113" s="69">
        <f t="shared" ca="1" si="29"/>
        <v>7933380234.2446165</v>
      </c>
      <c r="R113" s="45">
        <f t="shared" ca="1" si="20"/>
        <v>-6.9495000127367534E-4</v>
      </c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x14ac:dyDescent="0.2">
      <c r="A114" s="74">
        <v>-13431</v>
      </c>
      <c r="B114" s="74">
        <v>5.4081230045994744E-3</v>
      </c>
      <c r="C114" s="74">
        <v>1</v>
      </c>
      <c r="D114" s="75">
        <f t="shared" si="17"/>
        <v>-1.3431</v>
      </c>
      <c r="E114" s="75">
        <f t="shared" si="17"/>
        <v>5.4081230045994744E-3</v>
      </c>
      <c r="F114" s="69">
        <f t="shared" si="18"/>
        <v>-1.3431</v>
      </c>
      <c r="G114" s="69">
        <f t="shared" si="18"/>
        <v>5.4081230045994744E-3</v>
      </c>
      <c r="H114" s="69">
        <f t="shared" si="21"/>
        <v>1.8039176099999998</v>
      </c>
      <c r="I114" s="69">
        <f t="shared" si="22"/>
        <v>-2.4228417419909998</v>
      </c>
      <c r="J114" s="69">
        <f t="shared" si="23"/>
        <v>3.2541187436681116</v>
      </c>
      <c r="K114" s="69">
        <f t="shared" si="24"/>
        <v>-7.2636500074775541E-3</v>
      </c>
      <c r="L114" s="69">
        <f t="shared" si="25"/>
        <v>9.755808325043103E-3</v>
      </c>
      <c r="M114" s="69">
        <f t="shared" ca="1" si="19"/>
        <v>7.136560844798091E-3</v>
      </c>
      <c r="N114" s="69">
        <f t="shared" ca="1" si="26"/>
        <v>2.9874973674304584E-6</v>
      </c>
      <c r="O114" s="146">
        <f t="shared" ca="1" si="27"/>
        <v>40392329293.464851</v>
      </c>
      <c r="P114" s="69">
        <f t="shared" ca="1" si="28"/>
        <v>44909386976.615761</v>
      </c>
      <c r="Q114" s="69">
        <f t="shared" ca="1" si="29"/>
        <v>7933600957.3316679</v>
      </c>
      <c r="R114" s="45">
        <f t="shared" ca="1" si="20"/>
        <v>-1.7284378401986166E-3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x14ac:dyDescent="0.2">
      <c r="A115" s="74">
        <v>-13428.5</v>
      </c>
      <c r="B115" s="74">
        <v>6.338290506391786E-3</v>
      </c>
      <c r="C115" s="74">
        <v>1</v>
      </c>
      <c r="D115" s="75">
        <f t="shared" si="17"/>
        <v>-1.3428500000000001</v>
      </c>
      <c r="E115" s="75">
        <f t="shared" si="17"/>
        <v>6.338290506391786E-3</v>
      </c>
      <c r="F115" s="69">
        <f t="shared" si="18"/>
        <v>-1.3428500000000001</v>
      </c>
      <c r="G115" s="69">
        <f t="shared" si="18"/>
        <v>6.338290506391786E-3</v>
      </c>
      <c r="H115" s="69">
        <f t="shared" si="21"/>
        <v>1.8032461225000003</v>
      </c>
      <c r="I115" s="69">
        <f t="shared" si="22"/>
        <v>-2.4214890555991255</v>
      </c>
      <c r="J115" s="69">
        <f t="shared" si="23"/>
        <v>3.2516965783112859</v>
      </c>
      <c r="K115" s="69">
        <f t="shared" si="24"/>
        <v>-8.5113734065082099E-3</v>
      </c>
      <c r="L115" s="69">
        <f t="shared" si="25"/>
        <v>1.1429497778929551E-2</v>
      </c>
      <c r="M115" s="69">
        <f t="shared" ca="1" si="19"/>
        <v>7.1341676875206917E-3</v>
      </c>
      <c r="N115" s="69">
        <f t="shared" ca="1" si="26"/>
        <v>6.3342048744169288E-7</v>
      </c>
      <c r="O115" s="146">
        <f t="shared" ca="1" si="27"/>
        <v>40402293326.119904</v>
      </c>
      <c r="P115" s="69">
        <f t="shared" ca="1" si="28"/>
        <v>44907245076.952293</v>
      </c>
      <c r="Q115" s="69">
        <f t="shared" ca="1" si="29"/>
        <v>7934704002.7046595</v>
      </c>
      <c r="R115" s="45">
        <f t="shared" ca="1" si="20"/>
        <v>-7.9587718112890567E-4</v>
      </c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x14ac:dyDescent="0.2">
      <c r="A116" s="74">
        <v>-13428.5</v>
      </c>
      <c r="B116" s="74">
        <v>6.5382905013393611E-3</v>
      </c>
      <c r="C116" s="74">
        <v>1</v>
      </c>
      <c r="D116" s="75">
        <f t="shared" si="17"/>
        <v>-1.3428500000000001</v>
      </c>
      <c r="E116" s="75">
        <f t="shared" si="17"/>
        <v>6.5382905013393611E-3</v>
      </c>
      <c r="F116" s="69">
        <f t="shared" si="18"/>
        <v>-1.3428500000000001</v>
      </c>
      <c r="G116" s="69">
        <f t="shared" si="18"/>
        <v>6.5382905013393611E-3</v>
      </c>
      <c r="H116" s="69">
        <f t="shared" si="21"/>
        <v>1.8032461225000003</v>
      </c>
      <c r="I116" s="69">
        <f t="shared" si="22"/>
        <v>-2.4214890555991255</v>
      </c>
      <c r="J116" s="69">
        <f t="shared" si="23"/>
        <v>3.2516965783112859</v>
      </c>
      <c r="K116" s="69">
        <f t="shared" si="24"/>
        <v>-8.7799433997235617E-3</v>
      </c>
      <c r="L116" s="69">
        <f t="shared" si="25"/>
        <v>1.1790146994318785E-2</v>
      </c>
      <c r="M116" s="69">
        <f t="shared" ca="1" si="19"/>
        <v>7.1341676875206917E-3</v>
      </c>
      <c r="N116" s="69">
        <f t="shared" ca="1" si="26"/>
        <v>3.5506962101138017E-7</v>
      </c>
      <c r="O116" s="146">
        <f t="shared" ca="1" si="27"/>
        <v>40402293326.119904</v>
      </c>
      <c r="P116" s="69">
        <f t="shared" ca="1" si="28"/>
        <v>44907245076.952293</v>
      </c>
      <c r="Q116" s="69">
        <f t="shared" ca="1" si="29"/>
        <v>7934704002.7046595</v>
      </c>
      <c r="R116" s="45">
        <f t="shared" ca="1" si="20"/>
        <v>-5.9587718618133063E-4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x14ac:dyDescent="0.2">
      <c r="A117" s="74">
        <v>-13428.5</v>
      </c>
      <c r="B117" s="74">
        <v>6.8382905010366812E-3</v>
      </c>
      <c r="C117" s="74">
        <v>1</v>
      </c>
      <c r="D117" s="75">
        <f t="shared" si="17"/>
        <v>-1.3428500000000001</v>
      </c>
      <c r="E117" s="75">
        <f t="shared" si="17"/>
        <v>6.8382905010366812E-3</v>
      </c>
      <c r="F117" s="69">
        <f t="shared" si="18"/>
        <v>-1.3428500000000001</v>
      </c>
      <c r="G117" s="69">
        <f t="shared" si="18"/>
        <v>6.8382905010366812E-3</v>
      </c>
      <c r="H117" s="69">
        <f t="shared" si="21"/>
        <v>1.8032461225000003</v>
      </c>
      <c r="I117" s="69">
        <f t="shared" si="22"/>
        <v>-2.4214890555991255</v>
      </c>
      <c r="J117" s="69">
        <f t="shared" si="23"/>
        <v>3.2516965783112859</v>
      </c>
      <c r="K117" s="69">
        <f t="shared" si="24"/>
        <v>-9.1827983993171079E-3</v>
      </c>
      <c r="L117" s="69">
        <f t="shared" si="25"/>
        <v>1.2331120830522979E-2</v>
      </c>
      <c r="M117" s="69">
        <f t="shared" ca="1" si="19"/>
        <v>7.1341676875206917E-3</v>
      </c>
      <c r="N117" s="69">
        <f t="shared" ca="1" si="26"/>
        <v>8.7543309481693914E-8</v>
      </c>
      <c r="O117" s="146">
        <f t="shared" ca="1" si="27"/>
        <v>40402293326.119904</v>
      </c>
      <c r="P117" s="69">
        <f t="shared" ca="1" si="28"/>
        <v>44907245076.952293</v>
      </c>
      <c r="Q117" s="69">
        <f t="shared" ca="1" si="29"/>
        <v>7934704002.7046595</v>
      </c>
      <c r="R117" s="45">
        <f t="shared" ca="1" si="20"/>
        <v>-2.9587718648401047E-4</v>
      </c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x14ac:dyDescent="0.2">
      <c r="A118" s="74">
        <v>-12277</v>
      </c>
      <c r="B118" s="74">
        <v>9.3134409980848432E-3</v>
      </c>
      <c r="C118" s="74">
        <v>1</v>
      </c>
      <c r="D118" s="75">
        <f t="shared" si="17"/>
        <v>-1.2277</v>
      </c>
      <c r="E118" s="75">
        <f t="shared" si="17"/>
        <v>9.3134409980848432E-3</v>
      </c>
      <c r="F118" s="69">
        <f t="shared" si="18"/>
        <v>-1.2277</v>
      </c>
      <c r="G118" s="69">
        <f t="shared" si="18"/>
        <v>9.3134409980848432E-3</v>
      </c>
      <c r="H118" s="69">
        <f t="shared" si="21"/>
        <v>1.50724729</v>
      </c>
      <c r="I118" s="69">
        <f t="shared" si="22"/>
        <v>-1.8504474979330001</v>
      </c>
      <c r="J118" s="69">
        <f t="shared" si="23"/>
        <v>2.2717943932123443</v>
      </c>
      <c r="K118" s="69">
        <f t="shared" si="24"/>
        <v>-1.1434111513348761E-2</v>
      </c>
      <c r="L118" s="69">
        <f t="shared" si="25"/>
        <v>1.4037658704938274E-2</v>
      </c>
      <c r="M118" s="69">
        <f t="shared" ca="1" si="19"/>
        <v>6.0601487543245E-3</v>
      </c>
      <c r="N118" s="69">
        <f t="shared" ca="1" si="26"/>
        <v>1.0583910423311208E-5</v>
      </c>
      <c r="O118" s="146">
        <f t="shared" ca="1" si="27"/>
        <v>44901500061.355354</v>
      </c>
      <c r="P118" s="69">
        <f t="shared" ca="1" si="28"/>
        <v>43375934153.898918</v>
      </c>
      <c r="Q118" s="69">
        <f t="shared" ca="1" si="29"/>
        <v>8338635877.1239452</v>
      </c>
      <c r="R118" s="45">
        <f t="shared" ca="1" si="20"/>
        <v>3.2532922437603431E-3</v>
      </c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x14ac:dyDescent="0.2">
      <c r="A119" s="74">
        <v>-10337.5</v>
      </c>
      <c r="B119" s="74">
        <v>-6.4426124954479747E-3</v>
      </c>
      <c r="C119" s="74">
        <v>1</v>
      </c>
      <c r="D119" s="75">
        <f t="shared" si="17"/>
        <v>-1.0337499999999999</v>
      </c>
      <c r="E119" s="75">
        <f t="shared" si="17"/>
        <v>-6.4426124954479747E-3</v>
      </c>
      <c r="F119" s="69">
        <f t="shared" si="18"/>
        <v>-1.0337499999999999</v>
      </c>
      <c r="G119" s="69">
        <f t="shared" si="18"/>
        <v>-6.4426124954479747E-3</v>
      </c>
      <c r="H119" s="69">
        <f t="shared" si="21"/>
        <v>1.0686390625</v>
      </c>
      <c r="I119" s="69">
        <f t="shared" si="22"/>
        <v>-1.104705630859375</v>
      </c>
      <c r="J119" s="69">
        <f t="shared" si="23"/>
        <v>1.1419894459008788</v>
      </c>
      <c r="K119" s="69">
        <f t="shared" si="24"/>
        <v>6.660050667169343E-3</v>
      </c>
      <c r="L119" s="69">
        <f t="shared" si="25"/>
        <v>-6.8848273771863078E-3</v>
      </c>
      <c r="M119" s="69">
        <f t="shared" ca="1" si="19"/>
        <v>4.3786884577672863E-3</v>
      </c>
      <c r="N119" s="69">
        <f t="shared" ca="1" si="26"/>
        <v>1.1710055432005752E-4</v>
      </c>
      <c r="O119" s="146">
        <f t="shared" ca="1" si="27"/>
        <v>51940599917.83519</v>
      </c>
      <c r="P119" s="69">
        <f t="shared" ca="1" si="28"/>
        <v>38490657331.952225</v>
      </c>
      <c r="Q119" s="69">
        <f t="shared" ca="1" si="29"/>
        <v>8523583915.5342073</v>
      </c>
      <c r="R119" s="45">
        <f t="shared" ca="1" si="20"/>
        <v>-1.0821300953215261E-2</v>
      </c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x14ac:dyDescent="0.2">
      <c r="A120" s="74">
        <v>-7909.5</v>
      </c>
      <c r="B120" s="74">
        <v>1.1160635040141642E-3</v>
      </c>
      <c r="C120" s="74">
        <v>1</v>
      </c>
      <c r="D120" s="75">
        <f t="shared" si="17"/>
        <v>-0.79095000000000004</v>
      </c>
      <c r="E120" s="75">
        <f t="shared" si="17"/>
        <v>1.1160635040141642E-3</v>
      </c>
      <c r="F120" s="69">
        <f t="shared" si="18"/>
        <v>-0.79095000000000004</v>
      </c>
      <c r="G120" s="69">
        <f t="shared" si="18"/>
        <v>1.1160635040141642E-3</v>
      </c>
      <c r="H120" s="69">
        <f t="shared" si="21"/>
        <v>0.62560190250000003</v>
      </c>
      <c r="I120" s="69">
        <f t="shared" si="22"/>
        <v>-0.49481982478237507</v>
      </c>
      <c r="J120" s="69">
        <f t="shared" si="23"/>
        <v>0.3913777404116196</v>
      </c>
      <c r="K120" s="69">
        <f t="shared" si="24"/>
        <v>-8.8275042850000324E-4</v>
      </c>
      <c r="L120" s="69">
        <f t="shared" si="25"/>
        <v>6.9821145142207758E-4</v>
      </c>
      <c r="M120" s="69">
        <f t="shared" ca="1" si="19"/>
        <v>2.4993141080929043E-3</v>
      </c>
      <c r="N120" s="69">
        <f t="shared" ca="1" si="26"/>
        <v>1.9133822336841993E-6</v>
      </c>
      <c r="O120" s="146">
        <f t="shared" ca="1" si="27"/>
        <v>59432287272.643875</v>
      </c>
      <c r="P120" s="69">
        <f t="shared" ca="1" si="28"/>
        <v>29091485584.147552</v>
      </c>
      <c r="Q120" s="69">
        <f t="shared" ca="1" si="29"/>
        <v>7866672728.1449432</v>
      </c>
      <c r="R120" s="45">
        <f t="shared" ca="1" si="20"/>
        <v>-1.3832506040787401E-3</v>
      </c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x14ac:dyDescent="0.2">
      <c r="A121" s="74">
        <v>-7166</v>
      </c>
      <c r="B121" s="74">
        <v>-3.8921220038901083E-3</v>
      </c>
      <c r="C121" s="74">
        <v>0.1</v>
      </c>
      <c r="D121" s="75">
        <f t="shared" si="17"/>
        <v>-0.71660000000000001</v>
      </c>
      <c r="E121" s="75">
        <f t="shared" si="17"/>
        <v>-3.8921220038901083E-3</v>
      </c>
      <c r="F121" s="69">
        <f t="shared" si="18"/>
        <v>-7.1660000000000001E-2</v>
      </c>
      <c r="G121" s="69">
        <f t="shared" si="18"/>
        <v>-3.8921220038901083E-4</v>
      </c>
      <c r="H121" s="69">
        <f t="shared" si="21"/>
        <v>5.1351556E-2</v>
      </c>
      <c r="I121" s="69">
        <f t="shared" si="22"/>
        <v>-3.6798525029600002E-2</v>
      </c>
      <c r="J121" s="69">
        <f t="shared" si="23"/>
        <v>2.6369823036211361E-2</v>
      </c>
      <c r="K121" s="69">
        <f t="shared" si="24"/>
        <v>2.7890946279876517E-4</v>
      </c>
      <c r="L121" s="69">
        <f t="shared" si="25"/>
        <v>-1.9986652104159511E-4</v>
      </c>
      <c r="M121" s="69">
        <f t="shared" ca="1" si="19"/>
        <v>1.9739776474395248E-3</v>
      </c>
      <c r="N121" s="69">
        <f t="shared" ca="1" si="26"/>
        <v>3.4411125119329646E-6</v>
      </c>
      <c r="O121" s="146">
        <f t="shared" ca="1" si="27"/>
        <v>613688174.335343</v>
      </c>
      <c r="P121" s="69">
        <f t="shared" ca="1" si="28"/>
        <v>257211016.48468658</v>
      </c>
      <c r="Q121" s="69">
        <f t="shared" ca="1" si="29"/>
        <v>74815040.605429009</v>
      </c>
      <c r="R121" s="45">
        <f t="shared" ca="1" si="20"/>
        <v>-5.8660996513296331E-3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x14ac:dyDescent="0.2">
      <c r="A122" s="74">
        <v>-7166</v>
      </c>
      <c r="B122" s="74">
        <v>-3.8921220038901083E-3</v>
      </c>
      <c r="C122" s="74">
        <v>1</v>
      </c>
      <c r="D122" s="75">
        <f t="shared" si="17"/>
        <v>-0.71660000000000001</v>
      </c>
      <c r="E122" s="75">
        <f t="shared" si="17"/>
        <v>-3.8921220038901083E-3</v>
      </c>
      <c r="F122" s="69">
        <f t="shared" si="18"/>
        <v>-0.71660000000000001</v>
      </c>
      <c r="G122" s="69">
        <f t="shared" si="18"/>
        <v>-3.8921220038901083E-3</v>
      </c>
      <c r="H122" s="69">
        <f t="shared" si="21"/>
        <v>0.51351555999999998</v>
      </c>
      <c r="I122" s="69">
        <f t="shared" si="22"/>
        <v>-0.36798525029599999</v>
      </c>
      <c r="J122" s="69">
        <f t="shared" si="23"/>
        <v>0.26369823036211359</v>
      </c>
      <c r="K122" s="69">
        <f t="shared" si="24"/>
        <v>2.7890946279876517E-3</v>
      </c>
      <c r="L122" s="69">
        <f t="shared" si="25"/>
        <v>-1.9986652104159513E-3</v>
      </c>
      <c r="M122" s="69">
        <f t="shared" ca="1" si="19"/>
        <v>1.9739776474395248E-3</v>
      </c>
      <c r="N122" s="69">
        <f t="shared" ca="1" si="26"/>
        <v>3.4411125119329644E-5</v>
      </c>
      <c r="O122" s="146">
        <f t="shared" ca="1" si="27"/>
        <v>61368817433.534294</v>
      </c>
      <c r="P122" s="69">
        <f t="shared" ca="1" si="28"/>
        <v>25721101648.468658</v>
      </c>
      <c r="Q122" s="69">
        <f t="shared" ca="1" si="29"/>
        <v>7481504060.542901</v>
      </c>
      <c r="R122" s="45">
        <f t="shared" ca="1" si="20"/>
        <v>-5.8660996513296331E-3</v>
      </c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x14ac:dyDescent="0.2">
      <c r="A123" s="74">
        <v>-6986.5</v>
      </c>
      <c r="B123" s="74">
        <v>3.1390450749313459E-4</v>
      </c>
      <c r="C123" s="74">
        <v>1</v>
      </c>
      <c r="D123" s="75">
        <f t="shared" si="17"/>
        <v>-0.69864999999999999</v>
      </c>
      <c r="E123" s="75">
        <f t="shared" si="17"/>
        <v>3.1390450749313459E-4</v>
      </c>
      <c r="F123" s="69">
        <f t="shared" si="18"/>
        <v>-0.69864999999999999</v>
      </c>
      <c r="G123" s="69">
        <f t="shared" si="18"/>
        <v>3.1390450749313459E-4</v>
      </c>
      <c r="H123" s="69">
        <f t="shared" si="21"/>
        <v>0.48811182250000001</v>
      </c>
      <c r="I123" s="69">
        <f t="shared" si="22"/>
        <v>-0.34101932478962499</v>
      </c>
      <c r="J123" s="69">
        <f t="shared" si="23"/>
        <v>0.23825315126427149</v>
      </c>
      <c r="K123" s="69">
        <f t="shared" si="24"/>
        <v>-2.1930938416007847E-4</v>
      </c>
      <c r="L123" s="69">
        <f t="shared" si="25"/>
        <v>1.5322050124343882E-4</v>
      </c>
      <c r="M123" s="69">
        <f t="shared" ca="1" si="19"/>
        <v>1.8506725445545441E-3</v>
      </c>
      <c r="N123" s="69">
        <f t="shared" ca="1" si="26"/>
        <v>2.3616559997335775E-6</v>
      </c>
      <c r="O123" s="146">
        <f t="shared" ca="1" si="27"/>
        <v>61808725846.900558</v>
      </c>
      <c r="P123" s="69">
        <f t="shared" ca="1" si="28"/>
        <v>24886667972.24358</v>
      </c>
      <c r="Q123" s="69">
        <f t="shared" ca="1" si="29"/>
        <v>7376834163.7355652</v>
      </c>
      <c r="R123" s="45">
        <f t="shared" ca="1" si="20"/>
        <v>-1.5367680370614095E-3</v>
      </c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x14ac:dyDescent="0.2">
      <c r="A124" s="74">
        <v>-5835</v>
      </c>
      <c r="B124" s="74">
        <v>-3.1094499718165025E-4</v>
      </c>
      <c r="C124" s="74">
        <v>0.1</v>
      </c>
      <c r="D124" s="75">
        <f t="shared" si="17"/>
        <v>-0.58350000000000002</v>
      </c>
      <c r="E124" s="75">
        <f t="shared" si="17"/>
        <v>-3.1094499718165025E-4</v>
      </c>
      <c r="F124" s="69">
        <f t="shared" si="18"/>
        <v>-5.8350000000000006E-2</v>
      </c>
      <c r="G124" s="69">
        <f t="shared" si="18"/>
        <v>-3.1094499718165025E-5</v>
      </c>
      <c r="H124" s="69">
        <f t="shared" si="21"/>
        <v>3.4047225000000007E-2</v>
      </c>
      <c r="I124" s="69">
        <f t="shared" si="22"/>
        <v>-1.9866555787500004E-2</v>
      </c>
      <c r="J124" s="69">
        <f t="shared" si="23"/>
        <v>1.1592135302006253E-2</v>
      </c>
      <c r="K124" s="69">
        <f t="shared" si="24"/>
        <v>1.8143640585549292E-5</v>
      </c>
      <c r="L124" s="69">
        <f t="shared" si="25"/>
        <v>-1.0586814281668013E-5</v>
      </c>
      <c r="M124" s="69">
        <f t="shared" ca="1" si="19"/>
        <v>1.0922704001398841E-3</v>
      </c>
      <c r="N124" s="69">
        <f t="shared" ca="1" si="26"/>
        <v>1.9690134512802316E-7</v>
      </c>
      <c r="O124" s="146">
        <f t="shared" ca="1" si="27"/>
        <v>643631547.59447515</v>
      </c>
      <c r="P124" s="69">
        <f t="shared" ca="1" si="28"/>
        <v>194352572.58294374</v>
      </c>
      <c r="Q124" s="69">
        <f t="shared" ca="1" si="29"/>
        <v>66075157.629170723</v>
      </c>
      <c r="R124" s="45">
        <f t="shared" ca="1" si="20"/>
        <v>-1.4032153973215344E-3</v>
      </c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x14ac:dyDescent="0.2">
      <c r="A125" s="74">
        <v>-5835</v>
      </c>
      <c r="B125" s="74">
        <v>-3.1094499718165025E-4</v>
      </c>
      <c r="C125" s="74">
        <v>1</v>
      </c>
      <c r="D125" s="75">
        <f t="shared" si="17"/>
        <v>-0.58350000000000002</v>
      </c>
      <c r="E125" s="75">
        <f t="shared" si="17"/>
        <v>-3.1094499718165025E-4</v>
      </c>
      <c r="F125" s="69">
        <f t="shared" si="18"/>
        <v>-0.58350000000000002</v>
      </c>
      <c r="G125" s="69">
        <f t="shared" si="18"/>
        <v>-3.1094499718165025E-4</v>
      </c>
      <c r="H125" s="69">
        <f t="shared" si="21"/>
        <v>0.34047225000000003</v>
      </c>
      <c r="I125" s="69">
        <f t="shared" si="22"/>
        <v>-0.19866555787500004</v>
      </c>
      <c r="J125" s="69">
        <f t="shared" si="23"/>
        <v>0.11592135302006253</v>
      </c>
      <c r="K125" s="69">
        <f t="shared" si="24"/>
        <v>1.8143640585549292E-4</v>
      </c>
      <c r="L125" s="69">
        <f t="shared" si="25"/>
        <v>-1.0586814281668012E-4</v>
      </c>
      <c r="M125" s="69">
        <f t="shared" ca="1" si="19"/>
        <v>1.0922704001398841E-3</v>
      </c>
      <c r="N125" s="69">
        <f t="shared" ca="1" si="26"/>
        <v>1.9690134512802314E-6</v>
      </c>
      <c r="O125" s="146">
        <f t="shared" ca="1" si="27"/>
        <v>64363154759.447517</v>
      </c>
      <c r="P125" s="69">
        <f t="shared" ca="1" si="28"/>
        <v>19435257258.294373</v>
      </c>
      <c r="Q125" s="69">
        <f t="shared" ca="1" si="29"/>
        <v>6607515762.9170723</v>
      </c>
      <c r="R125" s="45">
        <f t="shared" ca="1" si="20"/>
        <v>-1.4032153973215344E-3</v>
      </c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x14ac:dyDescent="0.2">
      <c r="A126" s="74">
        <v>-4179</v>
      </c>
      <c r="B126" s="74">
        <v>4.9200699868379161E-4</v>
      </c>
      <c r="C126" s="74">
        <v>1</v>
      </c>
      <c r="D126" s="75">
        <f t="shared" si="17"/>
        <v>-0.41789999999999999</v>
      </c>
      <c r="E126" s="75">
        <f t="shared" si="17"/>
        <v>4.9200699868379161E-4</v>
      </c>
      <c r="F126" s="69">
        <f t="shared" si="18"/>
        <v>-0.41789999999999999</v>
      </c>
      <c r="G126" s="69">
        <f t="shared" si="18"/>
        <v>4.9200699868379161E-4</v>
      </c>
      <c r="H126" s="69">
        <f t="shared" si="21"/>
        <v>0.17464041</v>
      </c>
      <c r="I126" s="69">
        <f t="shared" si="22"/>
        <v>-7.2982227338999991E-2</v>
      </c>
      <c r="J126" s="69">
        <f t="shared" si="23"/>
        <v>3.0499272804968097E-2</v>
      </c>
      <c r="K126" s="69">
        <f t="shared" si="24"/>
        <v>-2.0560972474995652E-4</v>
      </c>
      <c r="L126" s="69">
        <f t="shared" si="25"/>
        <v>8.5924303973006826E-5</v>
      </c>
      <c r="M126" s="69">
        <f t="shared" ca="1" si="19"/>
        <v>1.0050059353081494E-4</v>
      </c>
      <c r="N126" s="69">
        <f t="shared" ca="1" si="26"/>
        <v>1.5327726527580672E-7</v>
      </c>
      <c r="O126" s="146">
        <f t="shared" ca="1" si="27"/>
        <v>67180081892.835625</v>
      </c>
      <c r="P126" s="69">
        <f t="shared" ca="1" si="28"/>
        <v>11755269579.244244</v>
      </c>
      <c r="Q126" s="69">
        <f t="shared" ca="1" si="29"/>
        <v>5259838829.2549562</v>
      </c>
      <c r="R126" s="45">
        <f t="shared" ca="1" si="20"/>
        <v>3.9150640515297667E-4</v>
      </c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x14ac:dyDescent="0.2">
      <c r="A127" s="74">
        <v>-2799</v>
      </c>
      <c r="B127" s="74">
        <v>5.4444670022348873E-3</v>
      </c>
      <c r="C127" s="74">
        <v>0.1</v>
      </c>
      <c r="D127" s="75">
        <f t="shared" si="17"/>
        <v>-0.27989999999999998</v>
      </c>
      <c r="E127" s="75">
        <f t="shared" si="17"/>
        <v>5.4444670022348873E-3</v>
      </c>
      <c r="F127" s="69">
        <f t="shared" si="18"/>
        <v>-2.7990000000000001E-2</v>
      </c>
      <c r="G127" s="69">
        <f t="shared" si="18"/>
        <v>5.4444670022348875E-4</v>
      </c>
      <c r="H127" s="69">
        <f t="shared" si="21"/>
        <v>7.8344009999999995E-3</v>
      </c>
      <c r="I127" s="69">
        <f t="shared" si="22"/>
        <v>-2.1928488398999997E-3</v>
      </c>
      <c r="J127" s="69">
        <f t="shared" si="23"/>
        <v>6.1377839028800985E-4</v>
      </c>
      <c r="K127" s="69">
        <f t="shared" si="24"/>
        <v>-1.523906313925545E-4</v>
      </c>
      <c r="L127" s="69">
        <f t="shared" si="25"/>
        <v>4.2654137726776004E-5</v>
      </c>
      <c r="M127" s="69">
        <f t="shared" ca="1" si="19"/>
        <v>-6.3684375573886873E-4</v>
      </c>
      <c r="N127" s="69">
        <f t="shared" ca="1" si="26"/>
        <v>3.698234053504734E-6</v>
      </c>
      <c r="O127" s="146">
        <f t="shared" ca="1" si="27"/>
        <v>687105681.79761922</v>
      </c>
      <c r="P127" s="69">
        <f t="shared" ca="1" si="28"/>
        <v>61538455.009225592</v>
      </c>
      <c r="Q127" s="69">
        <f t="shared" ca="1" si="29"/>
        <v>40057836.545881793</v>
      </c>
      <c r="R127" s="45">
        <f t="shared" ca="1" si="20"/>
        <v>6.0813107579737562E-3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x14ac:dyDescent="0.2">
      <c r="A128" s="74">
        <v>-2799</v>
      </c>
      <c r="B128" s="74">
        <v>5.64446700445842E-3</v>
      </c>
      <c r="C128" s="74">
        <v>1</v>
      </c>
      <c r="D128" s="75">
        <f t="shared" si="17"/>
        <v>-0.27989999999999998</v>
      </c>
      <c r="E128" s="75">
        <f t="shared" si="17"/>
        <v>5.64446700445842E-3</v>
      </c>
      <c r="F128" s="69">
        <f t="shared" si="18"/>
        <v>-0.27989999999999998</v>
      </c>
      <c r="G128" s="69">
        <f t="shared" si="18"/>
        <v>5.64446700445842E-3</v>
      </c>
      <c r="H128" s="69">
        <f t="shared" si="21"/>
        <v>7.8344009999999992E-2</v>
      </c>
      <c r="I128" s="69">
        <f t="shared" si="22"/>
        <v>-2.1928488398999996E-2</v>
      </c>
      <c r="J128" s="69">
        <f t="shared" si="23"/>
        <v>6.1377839028800988E-3</v>
      </c>
      <c r="K128" s="69">
        <f t="shared" si="24"/>
        <v>-1.5798863145479116E-3</v>
      </c>
      <c r="L128" s="69">
        <f t="shared" si="25"/>
        <v>4.4221017944196043E-4</v>
      </c>
      <c r="M128" s="69">
        <f t="shared" ca="1" si="19"/>
        <v>-6.3684375573886873E-4</v>
      </c>
      <c r="N128" s="69">
        <f t="shared" ca="1" si="26"/>
        <v>3.9454864866170243E-5</v>
      </c>
      <c r="O128" s="146">
        <f t="shared" ca="1" si="27"/>
        <v>68710568179.761917</v>
      </c>
      <c r="P128" s="69">
        <f t="shared" ca="1" si="28"/>
        <v>6153845500.9225569</v>
      </c>
      <c r="Q128" s="69">
        <f t="shared" ca="1" si="29"/>
        <v>4005783654.5881796</v>
      </c>
      <c r="R128" s="45">
        <f t="shared" ca="1" si="20"/>
        <v>6.2813107601972888E-3</v>
      </c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x14ac:dyDescent="0.2">
      <c r="A129" s="74">
        <v>-1092</v>
      </c>
      <c r="B129" s="74">
        <v>1.4828359999228269E-3</v>
      </c>
      <c r="C129" s="74">
        <v>1</v>
      </c>
      <c r="D129" s="75">
        <f t="shared" si="17"/>
        <v>-0.10920000000000001</v>
      </c>
      <c r="E129" s="75">
        <f t="shared" si="17"/>
        <v>1.4828359999228269E-3</v>
      </c>
      <c r="F129" s="69">
        <f t="shared" si="18"/>
        <v>-0.10920000000000001</v>
      </c>
      <c r="G129" s="69">
        <f t="shared" si="18"/>
        <v>1.4828359999228269E-3</v>
      </c>
      <c r="H129" s="69">
        <f t="shared" si="21"/>
        <v>1.1924640000000002E-2</v>
      </c>
      <c r="I129" s="69">
        <f t="shared" si="22"/>
        <v>-1.3021706880000004E-3</v>
      </c>
      <c r="J129" s="69">
        <f t="shared" si="23"/>
        <v>1.4219703912960005E-4</v>
      </c>
      <c r="K129" s="69">
        <f t="shared" si="24"/>
        <v>-1.6192569119157269E-4</v>
      </c>
      <c r="L129" s="69">
        <f t="shared" si="25"/>
        <v>1.7682285478119738E-5</v>
      </c>
      <c r="M129" s="69">
        <f t="shared" ca="1" si="19"/>
        <v>-1.436804082205684E-3</v>
      </c>
      <c r="N129" s="69">
        <f t="shared" ca="1" si="26"/>
        <v>8.5242982091713781E-6</v>
      </c>
      <c r="O129" s="146">
        <f t="shared" ca="1" si="27"/>
        <v>69534744578.334702</v>
      </c>
      <c r="P129" s="69">
        <f t="shared" ca="1" si="28"/>
        <v>1306606071.0887666</v>
      </c>
      <c r="Q129" s="69">
        <f t="shared" ca="1" si="29"/>
        <v>2444313373.3730211</v>
      </c>
      <c r="R129" s="45">
        <f t="shared" ca="1" si="20"/>
        <v>2.9196400821285108E-3</v>
      </c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x14ac:dyDescent="0.2">
      <c r="A130" s="74">
        <v>-1091.5</v>
      </c>
      <c r="B130" s="74">
        <v>1.8488694986444898E-3</v>
      </c>
      <c r="C130" s="74">
        <v>1</v>
      </c>
      <c r="D130" s="75">
        <f t="shared" si="17"/>
        <v>-0.10915</v>
      </c>
      <c r="E130" s="75">
        <f t="shared" si="17"/>
        <v>1.8488694986444898E-3</v>
      </c>
      <c r="F130" s="69">
        <f t="shared" si="18"/>
        <v>-0.10915</v>
      </c>
      <c r="G130" s="69">
        <f t="shared" si="18"/>
        <v>1.8488694986444898E-3</v>
      </c>
      <c r="H130" s="69">
        <f t="shared" si="21"/>
        <v>1.19137225E-2</v>
      </c>
      <c r="I130" s="69">
        <f t="shared" si="22"/>
        <v>-1.3003828108749998E-3</v>
      </c>
      <c r="J130" s="69">
        <f t="shared" si="23"/>
        <v>1.4193678380700623E-4</v>
      </c>
      <c r="K130" s="69">
        <f t="shared" si="24"/>
        <v>-2.0180410577704607E-4</v>
      </c>
      <c r="L130" s="69">
        <f t="shared" si="25"/>
        <v>2.2026918145564577E-5</v>
      </c>
      <c r="M130" s="69">
        <f t="shared" ca="1" si="19"/>
        <v>-1.4370202372953485E-3</v>
      </c>
      <c r="N130" s="69">
        <f t="shared" ca="1" si="26"/>
        <v>1.0797071356754781E-5</v>
      </c>
      <c r="O130" s="146">
        <f t="shared" ca="1" si="27"/>
        <v>69534810344.010925</v>
      </c>
      <c r="P130" s="69">
        <f t="shared" ca="1" si="28"/>
        <v>1305649367.0347443</v>
      </c>
      <c r="Q130" s="69">
        <f t="shared" ca="1" si="29"/>
        <v>2443873291.1327152</v>
      </c>
      <c r="R130" s="45">
        <f t="shared" ca="1" si="20"/>
        <v>3.2858897359398383E-3</v>
      </c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x14ac:dyDescent="0.2">
      <c r="A131" s="74">
        <v>-1055.5</v>
      </c>
      <c r="B131" s="74">
        <v>3.003281497512944E-3</v>
      </c>
      <c r="C131" s="74">
        <v>1</v>
      </c>
      <c r="D131" s="75">
        <f t="shared" si="17"/>
        <v>-0.10555</v>
      </c>
      <c r="E131" s="75">
        <f t="shared" si="17"/>
        <v>3.003281497512944E-3</v>
      </c>
      <c r="F131" s="69">
        <f t="shared" si="18"/>
        <v>-0.10555</v>
      </c>
      <c r="G131" s="69">
        <f t="shared" si="18"/>
        <v>3.003281497512944E-3</v>
      </c>
      <c r="H131" s="69">
        <f t="shared" si="21"/>
        <v>1.1140802500000001E-2</v>
      </c>
      <c r="I131" s="69">
        <f t="shared" si="22"/>
        <v>-1.1759117038750001E-3</v>
      </c>
      <c r="J131" s="69">
        <f t="shared" si="23"/>
        <v>1.2411748034400627E-4</v>
      </c>
      <c r="K131" s="69">
        <f t="shared" si="24"/>
        <v>-3.1699636206249126E-4</v>
      </c>
      <c r="L131" s="69">
        <f t="shared" si="25"/>
        <v>3.3458966015695954E-5</v>
      </c>
      <c r="M131" s="69">
        <f t="shared" ca="1" si="19"/>
        <v>-1.4525554499544332E-3</v>
      </c>
      <c r="N131" s="69">
        <f t="shared" ca="1" si="26"/>
        <v>1.9854482902415395E-5</v>
      </c>
      <c r="O131" s="146">
        <f t="shared" ca="1" si="27"/>
        <v>69539274103.732468</v>
      </c>
      <c r="P131" s="69">
        <f t="shared" ca="1" si="28"/>
        <v>1237595866.2060041</v>
      </c>
      <c r="Q131" s="69">
        <f t="shared" ca="1" si="29"/>
        <v>2412231974.8801885</v>
      </c>
      <c r="R131" s="45">
        <f t="shared" ca="1" si="20"/>
        <v>4.4558369474673775E-3</v>
      </c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x14ac:dyDescent="0.2">
      <c r="A132" s="74">
        <v>-19.5</v>
      </c>
      <c r="B132" s="74">
        <v>2.0246935018803924E-3</v>
      </c>
      <c r="C132" s="74">
        <v>1</v>
      </c>
      <c r="D132" s="75">
        <f t="shared" si="17"/>
        <v>-1.9499999999999999E-3</v>
      </c>
      <c r="E132" s="75">
        <f t="shared" si="17"/>
        <v>2.0246935018803924E-3</v>
      </c>
      <c r="F132" s="69">
        <f t="shared" si="18"/>
        <v>-1.9499999999999999E-3</v>
      </c>
      <c r="G132" s="69">
        <f t="shared" si="18"/>
        <v>2.0246935018803924E-3</v>
      </c>
      <c r="H132" s="69">
        <f t="shared" si="21"/>
        <v>3.8024999999999996E-6</v>
      </c>
      <c r="I132" s="69">
        <f t="shared" si="22"/>
        <v>-7.4148749999999988E-9</v>
      </c>
      <c r="J132" s="69">
        <f t="shared" si="23"/>
        <v>1.4459006249999998E-11</v>
      </c>
      <c r="K132" s="69">
        <f t="shared" si="24"/>
        <v>-3.9481523286667653E-6</v>
      </c>
      <c r="L132" s="69">
        <f t="shared" si="25"/>
        <v>7.6988970409001921E-9</v>
      </c>
      <c r="M132" s="69">
        <f t="shared" ca="1" si="19"/>
        <v>-1.8759978155680132E-3</v>
      </c>
      <c r="N132" s="69">
        <f t="shared" ca="1" si="26"/>
        <v>1.5215392754017379E-5</v>
      </c>
      <c r="O132" s="146">
        <f t="shared" ca="1" si="27"/>
        <v>69438340161.981094</v>
      </c>
      <c r="P132" s="69">
        <f t="shared" ca="1" si="28"/>
        <v>43780781.099818312</v>
      </c>
      <c r="Q132" s="69">
        <f t="shared" ca="1" si="29"/>
        <v>1549424437.94592</v>
      </c>
      <c r="R132" s="45">
        <f t="shared" ca="1" si="20"/>
        <v>3.9006913174484056E-3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x14ac:dyDescent="0.2">
      <c r="A133" s="74">
        <v>0.5</v>
      </c>
      <c r="B133" s="74">
        <v>-3.3966498449444771E-5</v>
      </c>
      <c r="C133" s="74">
        <v>1</v>
      </c>
      <c r="D133" s="75">
        <f t="shared" si="17"/>
        <v>5.0000000000000002E-5</v>
      </c>
      <c r="E133" s="75">
        <f t="shared" si="17"/>
        <v>-3.3966498449444771E-5</v>
      </c>
      <c r="F133" s="69">
        <f t="shared" si="18"/>
        <v>5.0000000000000002E-5</v>
      </c>
      <c r="G133" s="69">
        <f t="shared" si="18"/>
        <v>-3.3966498449444771E-5</v>
      </c>
      <c r="H133" s="69">
        <f t="shared" si="21"/>
        <v>2.5000000000000001E-9</v>
      </c>
      <c r="I133" s="69">
        <f t="shared" si="22"/>
        <v>1.25E-13</v>
      </c>
      <c r="J133" s="69">
        <f t="shared" si="23"/>
        <v>6.2499999999999999E-18</v>
      </c>
      <c r="K133" s="69">
        <f t="shared" si="24"/>
        <v>-1.6983249224722387E-9</v>
      </c>
      <c r="L133" s="69">
        <f t="shared" si="25"/>
        <v>-8.4916246123611942E-14</v>
      </c>
      <c r="M133" s="69">
        <f t="shared" ca="1" si="19"/>
        <v>-1.8837230755757307E-3</v>
      </c>
      <c r="N133" s="69">
        <f t="shared" ca="1" si="26"/>
        <v>3.4215993946219535E-6</v>
      </c>
      <c r="O133" s="146">
        <f t="shared" ca="1" si="27"/>
        <v>69432032609.732758</v>
      </c>
      <c r="P133" s="69">
        <f t="shared" ca="1" si="28"/>
        <v>36534442.928286307</v>
      </c>
      <c r="Q133" s="69">
        <f t="shared" ca="1" si="29"/>
        <v>1533876281.1860297</v>
      </c>
      <c r="R133" s="45">
        <f t="shared" ca="1" si="20"/>
        <v>1.8497565771262859E-3</v>
      </c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x14ac:dyDescent="0.2">
      <c r="A134" s="74">
        <v>208</v>
      </c>
      <c r="B134" s="74">
        <v>-1.3006399967707694E-4</v>
      </c>
      <c r="C134" s="74">
        <v>1</v>
      </c>
      <c r="D134" s="75">
        <f t="shared" si="17"/>
        <v>2.0799999999999999E-2</v>
      </c>
      <c r="E134" s="75">
        <f t="shared" si="17"/>
        <v>-1.3006399967707694E-4</v>
      </c>
      <c r="F134" s="69">
        <f t="shared" si="18"/>
        <v>2.0799999999999999E-2</v>
      </c>
      <c r="G134" s="69">
        <f t="shared" si="18"/>
        <v>-1.3006399967707694E-4</v>
      </c>
      <c r="H134" s="69">
        <f t="shared" si="21"/>
        <v>4.3263999999999998E-4</v>
      </c>
      <c r="I134" s="69">
        <f t="shared" si="22"/>
        <v>8.998911999999999E-6</v>
      </c>
      <c r="J134" s="69">
        <f t="shared" si="23"/>
        <v>1.8717736959999997E-7</v>
      </c>
      <c r="K134" s="69">
        <f t="shared" si="24"/>
        <v>-2.7053311932832001E-6</v>
      </c>
      <c r="L134" s="69">
        <f t="shared" si="25"/>
        <v>-5.6270888820290561E-8</v>
      </c>
      <c r="M134" s="69">
        <f t="shared" ca="1" si="19"/>
        <v>-1.962868390987397E-3</v>
      </c>
      <c r="N134" s="69">
        <f t="shared" ca="1" si="26"/>
        <v>3.3591719368063925E-6</v>
      </c>
      <c r="O134" s="146">
        <f t="shared" ca="1" si="27"/>
        <v>69356869094.853729</v>
      </c>
      <c r="P134" s="69">
        <f t="shared" ca="1" si="28"/>
        <v>3558.7173142848856</v>
      </c>
      <c r="Q134" s="69">
        <f t="shared" ca="1" si="29"/>
        <v>1375575543.8543026</v>
      </c>
      <c r="R134" s="45">
        <f t="shared" ca="1" si="20"/>
        <v>1.83280439131032E-3</v>
      </c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x14ac:dyDescent="0.2">
      <c r="A135" s="74">
        <v>369</v>
      </c>
      <c r="B135" s="74">
        <v>-8.7672769950586371E-3</v>
      </c>
      <c r="C135" s="74">
        <v>0.1</v>
      </c>
      <c r="D135" s="75">
        <f t="shared" si="17"/>
        <v>3.6900000000000002E-2</v>
      </c>
      <c r="E135" s="75">
        <f t="shared" si="17"/>
        <v>-8.7672769950586371E-3</v>
      </c>
      <c r="F135" s="69">
        <f t="shared" si="18"/>
        <v>3.6900000000000006E-3</v>
      </c>
      <c r="G135" s="69">
        <f t="shared" si="18"/>
        <v>-8.7672769950586371E-4</v>
      </c>
      <c r="H135" s="69">
        <f t="shared" si="21"/>
        <v>1.3616100000000004E-4</v>
      </c>
      <c r="I135" s="69">
        <f t="shared" si="22"/>
        <v>5.0243409000000017E-6</v>
      </c>
      <c r="J135" s="69">
        <f t="shared" si="23"/>
        <v>1.8539817921000008E-7</v>
      </c>
      <c r="K135" s="69">
        <f t="shared" si="24"/>
        <v>-3.2351252111766375E-5</v>
      </c>
      <c r="L135" s="69">
        <f t="shared" si="25"/>
        <v>-1.1937612029241794E-6</v>
      </c>
      <c r="M135" s="69">
        <f t="shared" ca="1" si="19"/>
        <v>-2.0230153835747158E-3</v>
      </c>
      <c r="N135" s="69">
        <f t="shared" ca="1" si="26"/>
        <v>4.5485064684135705E-6</v>
      </c>
      <c r="O135" s="146">
        <f t="shared" ca="1" si="27"/>
        <v>692863429.90572095</v>
      </c>
      <c r="P135" s="69">
        <f t="shared" ca="1" si="28"/>
        <v>215546.20168955743</v>
      </c>
      <c r="Q135" s="69">
        <f t="shared" ca="1" si="29"/>
        <v>12567474.799758365</v>
      </c>
      <c r="R135" s="45">
        <f t="shared" ca="1" si="20"/>
        <v>-6.7442616114839213E-3</v>
      </c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x14ac:dyDescent="0.2">
      <c r="A136" s="74">
        <v>369</v>
      </c>
      <c r="B136" s="74">
        <v>2.232723003544379E-3</v>
      </c>
      <c r="C136" s="74">
        <v>0.1</v>
      </c>
      <c r="D136" s="75">
        <f t="shared" si="17"/>
        <v>3.6900000000000002E-2</v>
      </c>
      <c r="E136" s="75">
        <f t="shared" si="17"/>
        <v>2.232723003544379E-3</v>
      </c>
      <c r="F136" s="69">
        <f t="shared" si="18"/>
        <v>3.6900000000000006E-3</v>
      </c>
      <c r="G136" s="69">
        <f t="shared" si="18"/>
        <v>2.2327230035443791E-4</v>
      </c>
      <c r="H136" s="69">
        <f t="shared" si="21"/>
        <v>1.3616100000000004E-4</v>
      </c>
      <c r="I136" s="69">
        <f t="shared" si="22"/>
        <v>5.0243409000000017E-6</v>
      </c>
      <c r="J136" s="69">
        <f t="shared" si="23"/>
        <v>1.8539817921000008E-7</v>
      </c>
      <c r="K136" s="69">
        <f t="shared" si="24"/>
        <v>8.2387478830787594E-6</v>
      </c>
      <c r="L136" s="69">
        <f t="shared" si="25"/>
        <v>3.0400979688560623E-7</v>
      </c>
      <c r="M136" s="69">
        <f t="shared" ca="1" si="19"/>
        <v>-2.0230153835747158E-3</v>
      </c>
      <c r="N136" s="69">
        <f t="shared" ca="1" si="26"/>
        <v>1.8111309219599034E-6</v>
      </c>
      <c r="O136" s="146">
        <f t="shared" ca="1" si="27"/>
        <v>692863429.90572095</v>
      </c>
      <c r="P136" s="69">
        <f t="shared" ca="1" si="28"/>
        <v>215546.20168955743</v>
      </c>
      <c r="Q136" s="69">
        <f t="shared" ca="1" si="29"/>
        <v>12567474.799758365</v>
      </c>
      <c r="R136" s="45">
        <f t="shared" ca="1" si="20"/>
        <v>4.2557383871190948E-3</v>
      </c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x14ac:dyDescent="0.2">
      <c r="A137" s="74">
        <v>369</v>
      </c>
      <c r="B137" s="74">
        <v>-7.7772769946022891E-3</v>
      </c>
      <c r="C137" s="74">
        <v>1</v>
      </c>
      <c r="D137" s="75">
        <f t="shared" si="17"/>
        <v>3.6900000000000002E-2</v>
      </c>
      <c r="E137" s="75">
        <f t="shared" si="17"/>
        <v>-7.7772769946022891E-3</v>
      </c>
      <c r="F137" s="69">
        <f t="shared" si="18"/>
        <v>3.6900000000000002E-2</v>
      </c>
      <c r="G137" s="69">
        <f t="shared" si="18"/>
        <v>-7.7772769946022891E-3</v>
      </c>
      <c r="H137" s="69">
        <f t="shared" si="21"/>
        <v>1.3616100000000001E-3</v>
      </c>
      <c r="I137" s="69">
        <f t="shared" si="22"/>
        <v>5.0243409000000005E-5</v>
      </c>
      <c r="J137" s="69">
        <f t="shared" si="23"/>
        <v>1.8539817921000003E-6</v>
      </c>
      <c r="K137" s="69">
        <f t="shared" si="24"/>
        <v>-2.869815211008245E-4</v>
      </c>
      <c r="L137" s="69">
        <f t="shared" si="25"/>
        <v>-1.0589618128620425E-5</v>
      </c>
      <c r="M137" s="69">
        <f t="shared" ca="1" si="19"/>
        <v>-2.0230153835747158E-3</v>
      </c>
      <c r="N137" s="69">
        <f t="shared" ca="1" si="26"/>
        <v>3.311152668814564E-5</v>
      </c>
      <c r="O137" s="146">
        <f t="shared" ca="1" si="27"/>
        <v>69286342990.572083</v>
      </c>
      <c r="P137" s="69">
        <f t="shared" ca="1" si="28"/>
        <v>21554620.16895574</v>
      </c>
      <c r="Q137" s="69">
        <f t="shared" ca="1" si="29"/>
        <v>1256747479.975837</v>
      </c>
      <c r="R137" s="45">
        <f t="shared" ca="1" si="20"/>
        <v>-5.7542616110275733E-3</v>
      </c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x14ac:dyDescent="0.2">
      <c r="A138" s="74">
        <v>369</v>
      </c>
      <c r="B138" s="74">
        <v>2.6427230041008443E-3</v>
      </c>
      <c r="C138" s="74">
        <v>1</v>
      </c>
      <c r="D138" s="75">
        <f t="shared" si="17"/>
        <v>3.6900000000000002E-2</v>
      </c>
      <c r="E138" s="75">
        <f t="shared" si="17"/>
        <v>2.6427230041008443E-3</v>
      </c>
      <c r="F138" s="69">
        <f t="shared" si="18"/>
        <v>3.6900000000000002E-2</v>
      </c>
      <c r="G138" s="69">
        <f t="shared" si="18"/>
        <v>2.6427230041008443E-3</v>
      </c>
      <c r="H138" s="69">
        <f t="shared" si="21"/>
        <v>1.3616100000000001E-3</v>
      </c>
      <c r="I138" s="69">
        <f t="shared" si="22"/>
        <v>5.0243409000000005E-5</v>
      </c>
      <c r="J138" s="69">
        <f t="shared" si="23"/>
        <v>1.8539817921000003E-6</v>
      </c>
      <c r="K138" s="69">
        <f t="shared" si="24"/>
        <v>9.7516478851321164E-5</v>
      </c>
      <c r="L138" s="69">
        <f t="shared" si="25"/>
        <v>3.5983580696137512E-6</v>
      </c>
      <c r="M138" s="69">
        <f t="shared" ca="1" si="19"/>
        <v>-2.0230153835747158E-3</v>
      </c>
      <c r="N138" s="69">
        <f t="shared" ca="1" si="26"/>
        <v>2.1769114702229334E-5</v>
      </c>
      <c r="O138" s="146">
        <f t="shared" ca="1" si="27"/>
        <v>69286342990.572083</v>
      </c>
      <c r="P138" s="69">
        <f t="shared" ca="1" si="28"/>
        <v>21554620.16895574</v>
      </c>
      <c r="Q138" s="69">
        <f t="shared" ca="1" si="29"/>
        <v>1256747479.975837</v>
      </c>
      <c r="R138" s="45">
        <f t="shared" ca="1" si="20"/>
        <v>4.6657383876755601E-3</v>
      </c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x14ac:dyDescent="0.2">
      <c r="A139" s="74">
        <v>931</v>
      </c>
      <c r="B139" s="74">
        <v>8.5437700181500986E-4</v>
      </c>
      <c r="C139" s="74">
        <v>1</v>
      </c>
      <c r="D139" s="75">
        <f t="shared" si="17"/>
        <v>9.3100000000000002E-2</v>
      </c>
      <c r="E139" s="75">
        <f t="shared" si="17"/>
        <v>8.5437700181500986E-4</v>
      </c>
      <c r="F139" s="69">
        <f t="shared" si="18"/>
        <v>9.3100000000000002E-2</v>
      </c>
      <c r="G139" s="69">
        <f t="shared" si="18"/>
        <v>8.5437700181500986E-4</v>
      </c>
      <c r="H139" s="69">
        <f t="shared" si="21"/>
        <v>8.6676100000000009E-3</v>
      </c>
      <c r="I139" s="69">
        <f t="shared" si="22"/>
        <v>8.0695449100000012E-4</v>
      </c>
      <c r="J139" s="69">
        <f t="shared" si="23"/>
        <v>7.5127463112100007E-5</v>
      </c>
      <c r="K139" s="69">
        <f t="shared" si="24"/>
        <v>7.9542498868977424E-5</v>
      </c>
      <c r="L139" s="69">
        <f t="shared" si="25"/>
        <v>7.4054066447017984E-6</v>
      </c>
      <c r="M139" s="69">
        <f t="shared" ca="1" si="19"/>
        <v>-2.2243253765723472E-3</v>
      </c>
      <c r="N139" s="69">
        <f t="shared" ca="1" si="26"/>
        <v>9.4784083346879683E-6</v>
      </c>
      <c r="O139" s="146">
        <f t="shared" ca="1" si="27"/>
        <v>68956826670.12645</v>
      </c>
      <c r="P139" s="69">
        <f t="shared" ca="1" si="28"/>
        <v>460519681.2915163</v>
      </c>
      <c r="Q139" s="69">
        <f t="shared" ca="1" si="29"/>
        <v>872914202.57651472</v>
      </c>
      <c r="R139" s="45">
        <f t="shared" ca="1" si="20"/>
        <v>3.078702378387357E-3</v>
      </c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x14ac:dyDescent="0.2">
      <c r="A140" s="74">
        <v>1528.5</v>
      </c>
      <c r="B140" s="74">
        <v>3.2644094972056337E-3</v>
      </c>
      <c r="C140" s="74">
        <v>1</v>
      </c>
      <c r="D140" s="75">
        <f t="shared" si="17"/>
        <v>0.15285000000000001</v>
      </c>
      <c r="E140" s="75">
        <f t="shared" si="17"/>
        <v>3.2644094972056337E-3</v>
      </c>
      <c r="F140" s="69">
        <f t="shared" si="18"/>
        <v>0.15285000000000001</v>
      </c>
      <c r="G140" s="69">
        <f t="shared" si="18"/>
        <v>3.2644094972056337E-3</v>
      </c>
      <c r="H140" s="69">
        <f t="shared" si="21"/>
        <v>2.3363122500000003E-2</v>
      </c>
      <c r="I140" s="69">
        <f t="shared" si="22"/>
        <v>3.5710532741250007E-3</v>
      </c>
      <c r="J140" s="69">
        <f t="shared" si="23"/>
        <v>5.4583549295000638E-4</v>
      </c>
      <c r="K140" s="69">
        <f t="shared" si="24"/>
        <v>4.9896499164788118E-4</v>
      </c>
      <c r="L140" s="69">
        <f t="shared" si="25"/>
        <v>7.6266798973378646E-5</v>
      </c>
      <c r="M140" s="69">
        <f t="shared" ca="1" si="19"/>
        <v>-2.4236130425301428E-3</v>
      </c>
      <c r="N140" s="69">
        <f t="shared" ca="1" si="26"/>
        <v>3.2353600412542228E-5</v>
      </c>
      <c r="O140" s="146">
        <f t="shared" ca="1" si="27"/>
        <v>68465271854.541283</v>
      </c>
      <c r="P140" s="69">
        <f t="shared" ca="1" si="28"/>
        <v>1602040857.590776</v>
      </c>
      <c r="Q140" s="69">
        <f t="shared" ca="1" si="29"/>
        <v>526570012.44719887</v>
      </c>
      <c r="R140" s="45">
        <f t="shared" ca="1" si="20"/>
        <v>5.6880225397357761E-3</v>
      </c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x14ac:dyDescent="0.2">
      <c r="A141" s="74">
        <v>1529</v>
      </c>
      <c r="B141" s="74">
        <v>-7.5695569976232946E-3</v>
      </c>
      <c r="C141" s="74">
        <v>1</v>
      </c>
      <c r="D141" s="75">
        <f t="shared" si="17"/>
        <v>0.15290000000000001</v>
      </c>
      <c r="E141" s="75">
        <f t="shared" si="17"/>
        <v>-7.5695569976232946E-3</v>
      </c>
      <c r="F141" s="69">
        <f t="shared" si="18"/>
        <v>0.15290000000000001</v>
      </c>
      <c r="G141" s="69">
        <f t="shared" si="18"/>
        <v>-7.5695569976232946E-3</v>
      </c>
      <c r="H141" s="69">
        <f t="shared" si="21"/>
        <v>2.3378410000000002E-2</v>
      </c>
      <c r="I141" s="69">
        <f t="shared" si="22"/>
        <v>3.5745588890000006E-3</v>
      </c>
      <c r="J141" s="69">
        <f t="shared" si="23"/>
        <v>5.4655005412810014E-4</v>
      </c>
      <c r="K141" s="69">
        <f t="shared" si="24"/>
        <v>-1.1573852649366019E-3</v>
      </c>
      <c r="L141" s="69">
        <f t="shared" si="25"/>
        <v>-1.7696420700880644E-4</v>
      </c>
      <c r="M141" s="69">
        <f t="shared" ca="1" si="19"/>
        <v>-2.4237734495798804E-3</v>
      </c>
      <c r="N141" s="69">
        <f t="shared" ca="1" si="26"/>
        <v>2.6479088323314264E-5</v>
      </c>
      <c r="O141" s="146">
        <f t="shared" ca="1" si="27"/>
        <v>68464799958.542671</v>
      </c>
      <c r="P141" s="69">
        <f t="shared" ca="1" si="28"/>
        <v>1603308514.5514383</v>
      </c>
      <c r="Q141" s="69">
        <f t="shared" ca="1" si="29"/>
        <v>526310319.01006937</v>
      </c>
      <c r="R141" s="45">
        <f t="shared" ca="1" si="20"/>
        <v>-5.1457835480434137E-3</v>
      </c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x14ac:dyDescent="0.2">
      <c r="A142" s="74">
        <v>1588.5</v>
      </c>
      <c r="B142" s="74">
        <v>-1.9281570494058542E-2</v>
      </c>
      <c r="C142" s="74">
        <v>1</v>
      </c>
      <c r="D142" s="75">
        <f t="shared" si="17"/>
        <v>0.15884999999999999</v>
      </c>
      <c r="E142" s="75">
        <f t="shared" si="17"/>
        <v>-1.9281570494058542E-2</v>
      </c>
      <c r="F142" s="69">
        <f t="shared" si="18"/>
        <v>0.15884999999999999</v>
      </c>
      <c r="G142" s="69">
        <f t="shared" si="18"/>
        <v>-1.9281570494058542E-2</v>
      </c>
      <c r="H142" s="69">
        <f t="shared" si="21"/>
        <v>2.5233322499999999E-2</v>
      </c>
      <c r="I142" s="69">
        <f t="shared" si="22"/>
        <v>4.0083132791249995E-3</v>
      </c>
      <c r="J142" s="69">
        <f t="shared" si="23"/>
        <v>6.3672056438900614E-4</v>
      </c>
      <c r="K142" s="69">
        <f t="shared" si="24"/>
        <v>-3.0628774729811992E-3</v>
      </c>
      <c r="L142" s="69">
        <f t="shared" si="25"/>
        <v>-4.8653808658306348E-4</v>
      </c>
      <c r="M142" s="69">
        <f t="shared" ca="1" si="19"/>
        <v>-2.4427859409686119E-3</v>
      </c>
      <c r="N142" s="69">
        <f t="shared" ca="1" si="26"/>
        <v>2.8354466522538004E-4</v>
      </c>
      <c r="O142" s="146">
        <f t="shared" ca="1" si="27"/>
        <v>68407924465.927719</v>
      </c>
      <c r="P142" s="69">
        <f t="shared" ca="1" si="28"/>
        <v>1758035848.9872112</v>
      </c>
      <c r="Q142" s="69">
        <f t="shared" ca="1" si="29"/>
        <v>495790830.67505544</v>
      </c>
      <c r="R142" s="45">
        <f t="shared" ca="1" si="20"/>
        <v>-1.683878455308993E-2</v>
      </c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x14ac:dyDescent="0.2">
      <c r="A143" s="74">
        <v>1860</v>
      </c>
      <c r="B143" s="74">
        <v>-1.8553800036897883E-3</v>
      </c>
      <c r="C143" s="74">
        <v>1</v>
      </c>
      <c r="D143" s="75">
        <f t="shared" si="17"/>
        <v>0.186</v>
      </c>
      <c r="E143" s="75">
        <f t="shared" si="17"/>
        <v>-1.8553800036897883E-3</v>
      </c>
      <c r="F143" s="69">
        <f t="shared" si="18"/>
        <v>0.186</v>
      </c>
      <c r="G143" s="69">
        <f t="shared" si="18"/>
        <v>-1.8553800036897883E-3</v>
      </c>
      <c r="H143" s="69">
        <f t="shared" si="21"/>
        <v>3.4596000000000002E-2</v>
      </c>
      <c r="I143" s="69">
        <f t="shared" si="22"/>
        <v>6.4348560000000001E-3</v>
      </c>
      <c r="J143" s="69">
        <f t="shared" si="23"/>
        <v>1.1968832159999999E-3</v>
      </c>
      <c r="K143" s="69">
        <f t="shared" si="24"/>
        <v>-3.451006806863006E-4</v>
      </c>
      <c r="L143" s="69">
        <f t="shared" si="25"/>
        <v>-6.4188726607651911E-5</v>
      </c>
      <c r="M143" s="69">
        <f t="shared" ca="1" si="19"/>
        <v>-2.5276286149214715E-3</v>
      </c>
      <c r="N143" s="69">
        <f t="shared" ca="1" si="26"/>
        <v>4.5191819530292673E-7</v>
      </c>
      <c r="O143" s="146">
        <f t="shared" ca="1" si="27"/>
        <v>68130323002.873283</v>
      </c>
      <c r="P143" s="69">
        <f t="shared" ca="1" si="28"/>
        <v>2563514684.3898811</v>
      </c>
      <c r="Q143" s="69">
        <f t="shared" ca="1" si="29"/>
        <v>366510158.57540894</v>
      </c>
      <c r="R143" s="45">
        <f t="shared" ca="1" si="20"/>
        <v>6.7224861123168318E-4</v>
      </c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x14ac:dyDescent="0.2">
      <c r="A144" s="74">
        <v>3688</v>
      </c>
      <c r="B144" s="74">
        <v>-9.2369039921322837E-3</v>
      </c>
      <c r="C144" s="74">
        <v>1</v>
      </c>
      <c r="D144" s="75">
        <f t="shared" ref="D144:E187" si="30">A144/A$18</f>
        <v>0.36880000000000002</v>
      </c>
      <c r="E144" s="75">
        <f t="shared" si="30"/>
        <v>-9.2369039921322837E-3</v>
      </c>
      <c r="F144" s="69">
        <f t="shared" ref="F144:G187" si="31">$C144*D144</f>
        <v>0.36880000000000002</v>
      </c>
      <c r="G144" s="69">
        <f t="shared" si="31"/>
        <v>-9.2369039921322837E-3</v>
      </c>
      <c r="H144" s="69">
        <f t="shared" si="21"/>
        <v>0.13601344000000001</v>
      </c>
      <c r="I144" s="69">
        <f t="shared" si="22"/>
        <v>5.0161756672000006E-2</v>
      </c>
      <c r="J144" s="69">
        <f t="shared" si="23"/>
        <v>1.8499655860633603E-2</v>
      </c>
      <c r="K144" s="69">
        <f t="shared" si="24"/>
        <v>-3.4065701922983862E-3</v>
      </c>
      <c r="L144" s="69">
        <f t="shared" si="25"/>
        <v>-1.2563430869196449E-3</v>
      </c>
      <c r="M144" s="69">
        <f t="shared" ca="1" si="19"/>
        <v>-3.0172248818729468E-3</v>
      </c>
      <c r="N144" s="69">
        <f t="shared" ca="1" si="26"/>
        <v>3.868440823459638E-5</v>
      </c>
      <c r="O144" s="146">
        <f t="shared" ca="1" si="27"/>
        <v>65504178705.344025</v>
      </c>
      <c r="P144" s="69">
        <f t="shared" ca="1" si="28"/>
        <v>12774818171.704729</v>
      </c>
      <c r="Q144" s="69">
        <f t="shared" ca="1" si="29"/>
        <v>13285513.200906843</v>
      </c>
      <c r="R144" s="45">
        <f t="shared" ca="1" si="20"/>
        <v>-6.2196791102593369E-3</v>
      </c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x14ac:dyDescent="0.2">
      <c r="A145" s="74">
        <v>4132.5</v>
      </c>
      <c r="B145" s="74">
        <v>-2.6331224944442511E-3</v>
      </c>
      <c r="C145" s="74">
        <v>1</v>
      </c>
      <c r="D145" s="75">
        <f t="shared" si="30"/>
        <v>0.41325000000000001</v>
      </c>
      <c r="E145" s="75">
        <f t="shared" si="30"/>
        <v>-2.6331224944442511E-3</v>
      </c>
      <c r="F145" s="69">
        <f t="shared" si="31"/>
        <v>0.41325000000000001</v>
      </c>
      <c r="G145" s="69">
        <f t="shared" si="31"/>
        <v>-2.6331224944442511E-3</v>
      </c>
      <c r="H145" s="69">
        <f t="shared" si="21"/>
        <v>0.17077556250000001</v>
      </c>
      <c r="I145" s="69">
        <f t="shared" si="22"/>
        <v>7.0573001203124999E-2</v>
      </c>
      <c r="J145" s="69">
        <f t="shared" si="23"/>
        <v>2.9164292747191407E-2</v>
      </c>
      <c r="K145" s="69">
        <f t="shared" si="24"/>
        <v>-1.0881378708290867E-3</v>
      </c>
      <c r="L145" s="69">
        <f t="shared" si="25"/>
        <v>-4.4967297512012009E-4</v>
      </c>
      <c r="M145" s="69">
        <f t="shared" ca="1" si="19"/>
        <v>-3.1147868109675106E-3</v>
      </c>
      <c r="N145" s="69">
        <f t="shared" ca="1" si="26"/>
        <v>2.3200051381181876E-7</v>
      </c>
      <c r="O145" s="146">
        <f t="shared" ca="1" si="27"/>
        <v>64672005095.957123</v>
      </c>
      <c r="P145" s="69">
        <f t="shared" ca="1" si="28"/>
        <v>16692283113.48687</v>
      </c>
      <c r="Q145" s="69">
        <f t="shared" ca="1" si="29"/>
        <v>93165417.401702076</v>
      </c>
      <c r="R145" s="45">
        <f t="shared" ca="1" si="20"/>
        <v>4.8166431652325956E-4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x14ac:dyDescent="0.2">
      <c r="A146" s="74">
        <v>4168</v>
      </c>
      <c r="B146" s="74">
        <v>-2.7447440006653778E-3</v>
      </c>
      <c r="C146" s="74">
        <v>1</v>
      </c>
      <c r="D146" s="75">
        <f t="shared" si="30"/>
        <v>0.4168</v>
      </c>
      <c r="E146" s="75">
        <f t="shared" si="30"/>
        <v>-2.7447440006653778E-3</v>
      </c>
      <c r="F146" s="69">
        <f t="shared" si="31"/>
        <v>0.4168</v>
      </c>
      <c r="G146" s="69">
        <f t="shared" si="31"/>
        <v>-2.7447440006653778E-3</v>
      </c>
      <c r="H146" s="69">
        <f t="shared" si="21"/>
        <v>0.17372224</v>
      </c>
      <c r="I146" s="69">
        <f t="shared" si="22"/>
        <v>7.2407429632000003E-2</v>
      </c>
      <c r="J146" s="69">
        <f t="shared" si="23"/>
        <v>3.01794166706176E-2</v>
      </c>
      <c r="K146" s="69">
        <f t="shared" si="24"/>
        <v>-1.1440092994773295E-3</v>
      </c>
      <c r="L146" s="69">
        <f t="shared" si="25"/>
        <v>-4.7682307602215095E-4</v>
      </c>
      <c r="M146" s="69">
        <f t="shared" ca="1" si="19"/>
        <v>-3.1222160902230033E-3</v>
      </c>
      <c r="N146" s="69">
        <f t="shared" ca="1" si="26"/>
        <v>1.42485178395E-7</v>
      </c>
      <c r="O146" s="146">
        <f t="shared" ca="1" si="27"/>
        <v>64602379971.312256</v>
      </c>
      <c r="P146" s="69">
        <f t="shared" ca="1" si="28"/>
        <v>17032116259.785604</v>
      </c>
      <c r="Q146" s="69">
        <f t="shared" ca="1" si="29"/>
        <v>102816627.53848341</v>
      </c>
      <c r="R146" s="45">
        <f t="shared" ca="1" si="20"/>
        <v>3.7747208955762543E-4</v>
      </c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x14ac:dyDescent="0.2">
      <c r="A147" s="74">
        <v>4168</v>
      </c>
      <c r="B147" s="74">
        <v>-2.7247440011706203E-3</v>
      </c>
      <c r="C147" s="74">
        <v>1</v>
      </c>
      <c r="D147" s="75">
        <f t="shared" si="30"/>
        <v>0.4168</v>
      </c>
      <c r="E147" s="75">
        <f t="shared" si="30"/>
        <v>-2.7247440011706203E-3</v>
      </c>
      <c r="F147" s="69">
        <f t="shared" si="31"/>
        <v>0.4168</v>
      </c>
      <c r="G147" s="69">
        <f t="shared" si="31"/>
        <v>-2.7247440011706203E-3</v>
      </c>
      <c r="H147" s="69">
        <f t="shared" si="21"/>
        <v>0.17372224</v>
      </c>
      <c r="I147" s="69">
        <f t="shared" si="22"/>
        <v>7.2407429632000003E-2</v>
      </c>
      <c r="J147" s="69">
        <f t="shared" si="23"/>
        <v>3.01794166706176E-2</v>
      </c>
      <c r="K147" s="69">
        <f t="shared" si="24"/>
        <v>-1.1356732996879145E-3</v>
      </c>
      <c r="L147" s="69">
        <f t="shared" si="25"/>
        <v>-4.7334863130992275E-4</v>
      </c>
      <c r="M147" s="69">
        <f t="shared" ca="1" si="19"/>
        <v>-3.1222160902230033E-3</v>
      </c>
      <c r="N147" s="69">
        <f t="shared" ca="1" si="26"/>
        <v>1.5798406157566543E-7</v>
      </c>
      <c r="O147" s="146">
        <f t="shared" ca="1" si="27"/>
        <v>64602379971.312256</v>
      </c>
      <c r="P147" s="69">
        <f t="shared" ca="1" si="28"/>
        <v>17032116259.785604</v>
      </c>
      <c r="Q147" s="69">
        <f t="shared" ca="1" si="29"/>
        <v>102816627.53848341</v>
      </c>
      <c r="R147" s="45">
        <f t="shared" ca="1" si="20"/>
        <v>3.9747208905238293E-4</v>
      </c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x14ac:dyDescent="0.2">
      <c r="A148" s="74">
        <v>4279.5</v>
      </c>
      <c r="B148" s="74">
        <v>-2.3192734952317551E-3</v>
      </c>
      <c r="C148" s="74">
        <v>1</v>
      </c>
      <c r="D148" s="75">
        <f t="shared" si="30"/>
        <v>0.42795</v>
      </c>
      <c r="E148" s="75">
        <f t="shared" si="30"/>
        <v>-2.3192734952317551E-3</v>
      </c>
      <c r="F148" s="69">
        <f t="shared" si="31"/>
        <v>0.42795</v>
      </c>
      <c r="G148" s="69">
        <f t="shared" si="31"/>
        <v>-2.3192734952317551E-3</v>
      </c>
      <c r="H148" s="69">
        <f t="shared" si="21"/>
        <v>0.18314120249999999</v>
      </c>
      <c r="I148" s="69">
        <f t="shared" si="22"/>
        <v>7.8375277609874991E-2</v>
      </c>
      <c r="J148" s="69">
        <f t="shared" si="23"/>
        <v>3.3540700053146001E-2</v>
      </c>
      <c r="K148" s="69">
        <f t="shared" si="24"/>
        <v>-9.9253309228442953E-4</v>
      </c>
      <c r="L148" s="69">
        <f t="shared" si="25"/>
        <v>-4.2475453684312161E-4</v>
      </c>
      <c r="M148" s="69">
        <f t="shared" ca="1" si="19"/>
        <v>-3.1452016168363683E-3</v>
      </c>
      <c r="N148" s="69">
        <f t="shared" ca="1" si="26"/>
        <v>6.8215726205732474E-7</v>
      </c>
      <c r="O148" s="146">
        <f t="shared" ca="1" si="27"/>
        <v>64380684059.253044</v>
      </c>
      <c r="P148" s="69">
        <f t="shared" ca="1" si="28"/>
        <v>18126121482.594429</v>
      </c>
      <c r="Q148" s="69">
        <f t="shared" ca="1" si="29"/>
        <v>136398609.88500094</v>
      </c>
      <c r="R148" s="45">
        <f t="shared" ca="1" si="20"/>
        <v>8.2592812160461318E-4</v>
      </c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x14ac:dyDescent="0.2">
      <c r="A149" s="74">
        <v>4280</v>
      </c>
      <c r="B149" s="74">
        <v>-1.5323999832617119E-4</v>
      </c>
      <c r="C149" s="74">
        <v>1</v>
      </c>
      <c r="D149" s="75">
        <f t="shared" si="30"/>
        <v>0.42799999999999999</v>
      </c>
      <c r="E149" s="75">
        <f t="shared" si="30"/>
        <v>-1.5323999832617119E-4</v>
      </c>
      <c r="F149" s="69">
        <f t="shared" si="31"/>
        <v>0.42799999999999999</v>
      </c>
      <c r="G149" s="69">
        <f t="shared" si="31"/>
        <v>-1.5323999832617119E-4</v>
      </c>
      <c r="H149" s="69">
        <f t="shared" si="21"/>
        <v>0.18318399999999999</v>
      </c>
      <c r="I149" s="69">
        <f t="shared" si="22"/>
        <v>7.8402751999999992E-2</v>
      </c>
      <c r="J149" s="69">
        <f t="shared" si="23"/>
        <v>3.3556377855999998E-2</v>
      </c>
      <c r="K149" s="69">
        <f t="shared" si="24"/>
        <v>-6.5586719283601273E-5</v>
      </c>
      <c r="L149" s="69">
        <f t="shared" si="25"/>
        <v>-2.8071115853381345E-5</v>
      </c>
      <c r="M149" s="69">
        <f t="shared" ref="M149:M187" ca="1" si="32">+E$4+E$5*D149+E$6*D149^2</f>
        <v>-3.1453034996129373E-3</v>
      </c>
      <c r="N149" s="69">
        <f t="shared" ca="1" si="26"/>
        <v>8.9524439957324223E-6</v>
      </c>
      <c r="O149" s="146">
        <f t="shared" ca="1" si="27"/>
        <v>64379679634.172112</v>
      </c>
      <c r="P149" s="69">
        <f t="shared" ca="1" si="28"/>
        <v>18131118966.349159</v>
      </c>
      <c r="Q149" s="69">
        <f t="shared" ca="1" si="29"/>
        <v>136560475.82428175</v>
      </c>
      <c r="R149" s="45">
        <f t="shared" ref="R149:R187" ca="1" si="33">+E149-M149</f>
        <v>2.9920635012867661E-3</v>
      </c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x14ac:dyDescent="0.2">
      <c r="A150" s="74">
        <v>5140.5</v>
      </c>
      <c r="B150" s="74">
        <v>-2.8095864981878549E-3</v>
      </c>
      <c r="C150" s="74">
        <v>1</v>
      </c>
      <c r="D150" s="75">
        <f t="shared" si="30"/>
        <v>0.51405000000000001</v>
      </c>
      <c r="E150" s="75">
        <f t="shared" si="30"/>
        <v>-2.8095864981878549E-3</v>
      </c>
      <c r="F150" s="69">
        <f t="shared" si="31"/>
        <v>0.51405000000000001</v>
      </c>
      <c r="G150" s="69">
        <f t="shared" si="31"/>
        <v>-2.8095864981878549E-3</v>
      </c>
      <c r="H150" s="69">
        <f t="shared" ref="H150:H187" si="34">C150*D150*D150</f>
        <v>0.26424740250000001</v>
      </c>
      <c r="I150" s="69">
        <f t="shared" ref="I150:I187" si="35">C150*D150*D150*D150</f>
        <v>0.13583637725512501</v>
      </c>
      <c r="J150" s="69">
        <f t="shared" ref="J150:J187" si="36">C150*D150*D150*D150*D150</f>
        <v>6.9826689727997007E-2</v>
      </c>
      <c r="K150" s="69">
        <f t="shared" ref="K150:K187" si="37">C150*E150*D150</f>
        <v>-1.4442679393934668E-3</v>
      </c>
      <c r="L150" s="69">
        <f t="shared" ref="L150:L187" si="38">C150*E150*D150*D150</f>
        <v>-7.4242593424521158E-4</v>
      </c>
      <c r="M150" s="69">
        <f t="shared" ca="1" si="32"/>
        <v>-3.3048821884731805E-3</v>
      </c>
      <c r="N150" s="69">
        <f t="shared" ref="N150:N187" ca="1" si="39">C150*(M150-E150)^2</f>
        <v>2.4531782081521718E-7</v>
      </c>
      <c r="O150" s="146">
        <f t="shared" ref="O150:O187" ca="1" si="40">(C150*O$1-O$2*F150+O$3*H150)^2</f>
        <v>62517467456.879601</v>
      </c>
      <c r="P150" s="69">
        <f t="shared" ref="P150:P187" ca="1" si="41">(-C150*O$2+O$4*F150-O$5*H150)^2</f>
        <v>27997607545.344604</v>
      </c>
      <c r="Q150" s="69">
        <f t="shared" ref="Q150:Q187" ca="1" si="42">+(C150*O$3-F150*O$5+H150*O$6)^2</f>
        <v>573611516.2592324</v>
      </c>
      <c r="R150" s="45">
        <f t="shared" ca="1" si="33"/>
        <v>4.9529569028532562E-4</v>
      </c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x14ac:dyDescent="0.2">
      <c r="A151" s="74">
        <v>5216.5</v>
      </c>
      <c r="B151" s="74">
        <v>-3.7724944995716214E-3</v>
      </c>
      <c r="C151" s="74">
        <v>1</v>
      </c>
      <c r="D151" s="75">
        <f t="shared" si="30"/>
        <v>0.52164999999999995</v>
      </c>
      <c r="E151" s="75">
        <f t="shared" si="30"/>
        <v>-3.7724944995716214E-3</v>
      </c>
      <c r="F151" s="69">
        <f t="shared" si="31"/>
        <v>0.52164999999999995</v>
      </c>
      <c r="G151" s="69">
        <f t="shared" si="31"/>
        <v>-3.7724944995716214E-3</v>
      </c>
      <c r="H151" s="69">
        <f t="shared" si="34"/>
        <v>0.27211872249999997</v>
      </c>
      <c r="I151" s="69">
        <f t="shared" si="35"/>
        <v>0.14195073159212496</v>
      </c>
      <c r="J151" s="69">
        <f t="shared" si="36"/>
        <v>7.4048599135031978E-2</v>
      </c>
      <c r="K151" s="69">
        <f t="shared" si="37"/>
        <v>-1.9679217557015362E-3</v>
      </c>
      <c r="L151" s="69">
        <f t="shared" si="38"/>
        <v>-1.0265663838617063E-3</v>
      </c>
      <c r="M151" s="69">
        <f t="shared" ca="1" si="32"/>
        <v>-3.3174621542420716E-3</v>
      </c>
      <c r="N151" s="69">
        <f t="shared" ca="1" si="39"/>
        <v>2.0705443529611071E-7</v>
      </c>
      <c r="O151" s="146">
        <f t="shared" ca="1" si="40"/>
        <v>62340386677.143822</v>
      </c>
      <c r="P151" s="69">
        <f t="shared" ca="1" si="41"/>
        <v>28995647726.312237</v>
      </c>
      <c r="Q151" s="69">
        <f t="shared" ca="1" si="42"/>
        <v>628314270.52033615</v>
      </c>
      <c r="R151" s="45">
        <f t="shared" ca="1" si="33"/>
        <v>-4.5503234532954986E-4</v>
      </c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x14ac:dyDescent="0.2">
      <c r="A152" s="156">
        <v>5216.5</v>
      </c>
      <c r="B152" s="156">
        <v>-3.7324945005821064E-3</v>
      </c>
      <c r="C152" s="74">
        <v>1</v>
      </c>
      <c r="D152" s="75">
        <f t="shared" si="30"/>
        <v>0.52164999999999995</v>
      </c>
      <c r="E152" s="75">
        <f t="shared" si="30"/>
        <v>-3.7324945005821064E-3</v>
      </c>
      <c r="F152" s="69">
        <f t="shared" si="31"/>
        <v>0.52164999999999995</v>
      </c>
      <c r="G152" s="69">
        <f t="shared" si="31"/>
        <v>-3.7324945005821064E-3</v>
      </c>
      <c r="H152" s="69">
        <f t="shared" si="34"/>
        <v>0.27211872249999997</v>
      </c>
      <c r="I152" s="69">
        <f t="shared" si="35"/>
        <v>0.14195073159212496</v>
      </c>
      <c r="J152" s="69">
        <f t="shared" si="36"/>
        <v>7.4048599135031978E-2</v>
      </c>
      <c r="K152" s="69">
        <f t="shared" si="37"/>
        <v>-1.9470557562286557E-3</v>
      </c>
      <c r="L152" s="69">
        <f t="shared" si="38"/>
        <v>-1.0156816352366782E-3</v>
      </c>
      <c r="M152" s="69">
        <f t="shared" ca="1" si="32"/>
        <v>-3.3174621542420716E-3</v>
      </c>
      <c r="N152" s="69">
        <f t="shared" ca="1" si="39"/>
        <v>1.7225184850851465E-7</v>
      </c>
      <c r="O152" s="146">
        <f t="shared" ca="1" si="40"/>
        <v>62340386677.143822</v>
      </c>
      <c r="P152" s="69">
        <f t="shared" ca="1" si="41"/>
        <v>28995647726.312237</v>
      </c>
      <c r="Q152" s="69">
        <f t="shared" ca="1" si="42"/>
        <v>628314270.52033615</v>
      </c>
      <c r="R152" s="45">
        <f t="shared" ca="1" si="33"/>
        <v>-4.1503234634003485E-4</v>
      </c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x14ac:dyDescent="0.2">
      <c r="A153" s="156">
        <v>5216.5</v>
      </c>
      <c r="B153" s="156">
        <v>-3.4724944998743013E-3</v>
      </c>
      <c r="C153" s="74">
        <v>1</v>
      </c>
      <c r="D153" s="75">
        <f t="shared" si="30"/>
        <v>0.52164999999999995</v>
      </c>
      <c r="E153" s="75">
        <f t="shared" si="30"/>
        <v>-3.4724944998743013E-3</v>
      </c>
      <c r="F153" s="69">
        <f t="shared" si="31"/>
        <v>0.52164999999999995</v>
      </c>
      <c r="G153" s="69">
        <f t="shared" si="31"/>
        <v>-3.4724944998743013E-3</v>
      </c>
      <c r="H153" s="69">
        <f t="shared" si="34"/>
        <v>0.27211872249999997</v>
      </c>
      <c r="I153" s="69">
        <f t="shared" si="35"/>
        <v>0.14195073159212496</v>
      </c>
      <c r="J153" s="69">
        <f t="shared" si="36"/>
        <v>7.4048599135031978E-2</v>
      </c>
      <c r="K153" s="69">
        <f t="shared" si="37"/>
        <v>-1.811426755859429E-3</v>
      </c>
      <c r="L153" s="69">
        <f t="shared" si="38"/>
        <v>-9.4493076719407104E-4</v>
      </c>
      <c r="M153" s="69">
        <f t="shared" ca="1" si="32"/>
        <v>-3.3174621542420716E-3</v>
      </c>
      <c r="N153" s="69">
        <f t="shared" ca="1" si="39"/>
        <v>2.4035028192231128E-8</v>
      </c>
      <c r="O153" s="146">
        <f t="shared" ca="1" si="40"/>
        <v>62340386677.143822</v>
      </c>
      <c r="P153" s="69">
        <f t="shared" ca="1" si="41"/>
        <v>28995647726.312237</v>
      </c>
      <c r="Q153" s="69">
        <f t="shared" ca="1" si="42"/>
        <v>628314270.52033615</v>
      </c>
      <c r="R153" s="45">
        <f t="shared" ca="1" si="33"/>
        <v>-1.5503234563222969E-4</v>
      </c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x14ac:dyDescent="0.2">
      <c r="A154" s="156">
        <v>5216.5</v>
      </c>
      <c r="B154" s="156">
        <v>-3.4724944998743013E-3</v>
      </c>
      <c r="C154" s="74">
        <v>1</v>
      </c>
      <c r="D154" s="75">
        <f t="shared" si="30"/>
        <v>0.52164999999999995</v>
      </c>
      <c r="E154" s="75">
        <f t="shared" si="30"/>
        <v>-3.4724944998743013E-3</v>
      </c>
      <c r="F154" s="69">
        <f t="shared" si="31"/>
        <v>0.52164999999999995</v>
      </c>
      <c r="G154" s="69">
        <f t="shared" si="31"/>
        <v>-3.4724944998743013E-3</v>
      </c>
      <c r="H154" s="69">
        <f t="shared" si="34"/>
        <v>0.27211872249999997</v>
      </c>
      <c r="I154" s="69">
        <f t="shared" si="35"/>
        <v>0.14195073159212496</v>
      </c>
      <c r="J154" s="69">
        <f t="shared" si="36"/>
        <v>7.4048599135031978E-2</v>
      </c>
      <c r="K154" s="69">
        <f t="shared" si="37"/>
        <v>-1.811426755859429E-3</v>
      </c>
      <c r="L154" s="69">
        <f t="shared" si="38"/>
        <v>-9.4493076719407104E-4</v>
      </c>
      <c r="M154" s="69">
        <f t="shared" ca="1" si="32"/>
        <v>-3.3174621542420716E-3</v>
      </c>
      <c r="N154" s="69">
        <f t="shared" ca="1" si="39"/>
        <v>2.4035028192231128E-8</v>
      </c>
      <c r="O154" s="146">
        <f t="shared" ca="1" si="40"/>
        <v>62340386677.143822</v>
      </c>
      <c r="P154" s="69">
        <f t="shared" ca="1" si="41"/>
        <v>28995647726.312237</v>
      </c>
      <c r="Q154" s="69">
        <f t="shared" ca="1" si="42"/>
        <v>628314270.52033615</v>
      </c>
      <c r="R154" s="45">
        <f t="shared" ca="1" si="33"/>
        <v>-1.5503234563222969E-4</v>
      </c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x14ac:dyDescent="0.2">
      <c r="A155" s="156">
        <v>5216.5</v>
      </c>
      <c r="B155" s="156">
        <v>-3.4324945008847862E-3</v>
      </c>
      <c r="C155" s="74">
        <v>1</v>
      </c>
      <c r="D155" s="75">
        <f t="shared" si="30"/>
        <v>0.52164999999999995</v>
      </c>
      <c r="E155" s="75">
        <f t="shared" si="30"/>
        <v>-3.4324945008847862E-3</v>
      </c>
      <c r="F155" s="69">
        <f t="shared" si="31"/>
        <v>0.52164999999999995</v>
      </c>
      <c r="G155" s="69">
        <f t="shared" si="31"/>
        <v>-3.4324945008847862E-3</v>
      </c>
      <c r="H155" s="69">
        <f t="shared" si="34"/>
        <v>0.27211872249999997</v>
      </c>
      <c r="I155" s="69">
        <f t="shared" si="35"/>
        <v>0.14195073159212496</v>
      </c>
      <c r="J155" s="69">
        <f t="shared" si="36"/>
        <v>7.4048599135031978E-2</v>
      </c>
      <c r="K155" s="69">
        <f t="shared" si="37"/>
        <v>-1.7905607563865485E-3</v>
      </c>
      <c r="L155" s="69">
        <f t="shared" si="38"/>
        <v>-9.340460185690429E-4</v>
      </c>
      <c r="M155" s="69">
        <f t="shared" ca="1" si="32"/>
        <v>-3.3174621542420716E-3</v>
      </c>
      <c r="N155" s="69">
        <f t="shared" ca="1" si="39"/>
        <v>1.3232440774129674E-8</v>
      </c>
      <c r="O155" s="146">
        <f t="shared" ca="1" si="40"/>
        <v>62340386677.143822</v>
      </c>
      <c r="P155" s="69">
        <f t="shared" ca="1" si="41"/>
        <v>28995647726.312237</v>
      </c>
      <c r="Q155" s="69">
        <f t="shared" ca="1" si="42"/>
        <v>628314270.52033615</v>
      </c>
      <c r="R155" s="45">
        <f t="shared" ca="1" si="33"/>
        <v>-1.1503234664271469E-4</v>
      </c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x14ac:dyDescent="0.2">
      <c r="A156" s="156">
        <v>5216.5</v>
      </c>
      <c r="B156" s="156">
        <v>-3.4324945008847862E-3</v>
      </c>
      <c r="C156" s="74">
        <v>1</v>
      </c>
      <c r="D156" s="75">
        <f t="shared" si="30"/>
        <v>0.52164999999999995</v>
      </c>
      <c r="E156" s="75">
        <f t="shared" si="30"/>
        <v>-3.4324945008847862E-3</v>
      </c>
      <c r="F156" s="69">
        <f t="shared" si="31"/>
        <v>0.52164999999999995</v>
      </c>
      <c r="G156" s="69">
        <f t="shared" si="31"/>
        <v>-3.4324945008847862E-3</v>
      </c>
      <c r="H156" s="69">
        <f t="shared" si="34"/>
        <v>0.27211872249999997</v>
      </c>
      <c r="I156" s="69">
        <f t="shared" si="35"/>
        <v>0.14195073159212496</v>
      </c>
      <c r="J156" s="69">
        <f t="shared" si="36"/>
        <v>7.4048599135031978E-2</v>
      </c>
      <c r="K156" s="69">
        <f t="shared" si="37"/>
        <v>-1.7905607563865485E-3</v>
      </c>
      <c r="L156" s="69">
        <f t="shared" si="38"/>
        <v>-9.340460185690429E-4</v>
      </c>
      <c r="M156" s="69">
        <f t="shared" ca="1" si="32"/>
        <v>-3.3174621542420716E-3</v>
      </c>
      <c r="N156" s="69">
        <f t="shared" ca="1" si="39"/>
        <v>1.3232440774129674E-8</v>
      </c>
      <c r="O156" s="146">
        <f t="shared" ca="1" si="40"/>
        <v>62340386677.143822</v>
      </c>
      <c r="P156" s="69">
        <f t="shared" ca="1" si="41"/>
        <v>28995647726.312237</v>
      </c>
      <c r="Q156" s="69">
        <f t="shared" ca="1" si="42"/>
        <v>628314270.52033615</v>
      </c>
      <c r="R156" s="45">
        <f t="shared" ca="1" si="33"/>
        <v>-1.1503234664271469E-4</v>
      </c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x14ac:dyDescent="0.2">
      <c r="A157" s="156">
        <v>5269</v>
      </c>
      <c r="B157" s="156">
        <v>-4.3389769998611882E-3</v>
      </c>
      <c r="C157" s="74">
        <v>1</v>
      </c>
      <c r="D157" s="75">
        <f t="shared" si="30"/>
        <v>0.52690000000000003</v>
      </c>
      <c r="E157" s="75">
        <f t="shared" si="30"/>
        <v>-4.3389769998611882E-3</v>
      </c>
      <c r="F157" s="69">
        <f t="shared" si="31"/>
        <v>0.52690000000000003</v>
      </c>
      <c r="G157" s="69">
        <f t="shared" si="31"/>
        <v>-4.3389769998611882E-3</v>
      </c>
      <c r="H157" s="69">
        <f t="shared" si="34"/>
        <v>0.27762361000000002</v>
      </c>
      <c r="I157" s="69">
        <f t="shared" si="35"/>
        <v>0.14627988010900003</v>
      </c>
      <c r="J157" s="69">
        <f t="shared" si="36"/>
        <v>7.7074868829432125E-2</v>
      </c>
      <c r="K157" s="69">
        <f t="shared" si="37"/>
        <v>-2.2862069812268604E-3</v>
      </c>
      <c r="L157" s="69">
        <f t="shared" si="38"/>
        <v>-1.2046024584084329E-3</v>
      </c>
      <c r="M157" s="69">
        <f t="shared" ca="1" si="32"/>
        <v>-3.326008743680213E-3</v>
      </c>
      <c r="N157" s="69">
        <f t="shared" ca="1" si="39"/>
        <v>1.026104688030326E-6</v>
      </c>
      <c r="O157" s="146">
        <f t="shared" ca="1" si="40"/>
        <v>62216889551.894478</v>
      </c>
      <c r="P157" s="69">
        <f t="shared" ca="1" si="41"/>
        <v>29697594544.181652</v>
      </c>
      <c r="Q157" s="69">
        <f t="shared" ca="1" si="42"/>
        <v>667717806.66986883</v>
      </c>
      <c r="R157" s="45">
        <f t="shared" ca="1" si="33"/>
        <v>-1.0129682561809752E-3</v>
      </c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x14ac:dyDescent="0.2">
      <c r="A158" s="156">
        <v>6112</v>
      </c>
      <c r="B158" s="156">
        <v>-5.3064959938637912E-3</v>
      </c>
      <c r="C158" s="74">
        <v>1</v>
      </c>
      <c r="D158" s="75">
        <f t="shared" si="30"/>
        <v>0.61119999999999997</v>
      </c>
      <c r="E158" s="75">
        <f t="shared" si="30"/>
        <v>-5.3064959938637912E-3</v>
      </c>
      <c r="F158" s="69">
        <f t="shared" si="31"/>
        <v>0.61119999999999997</v>
      </c>
      <c r="G158" s="69">
        <f t="shared" si="31"/>
        <v>-5.3064959938637912E-3</v>
      </c>
      <c r="H158" s="69">
        <f t="shared" si="34"/>
        <v>0.37356543999999997</v>
      </c>
      <c r="I158" s="69">
        <f t="shared" si="35"/>
        <v>0.22832319692799996</v>
      </c>
      <c r="J158" s="69">
        <f t="shared" si="36"/>
        <v>0.13955113796239357</v>
      </c>
      <c r="K158" s="69">
        <f t="shared" si="37"/>
        <v>-3.2433303514495491E-3</v>
      </c>
      <c r="L158" s="69">
        <f t="shared" si="38"/>
        <v>-1.9823235108059642E-3</v>
      </c>
      <c r="M158" s="69">
        <f t="shared" ca="1" si="32"/>
        <v>-3.447182807782675E-3</v>
      </c>
      <c r="N158" s="69">
        <f t="shared" ca="1" si="39"/>
        <v>3.4570455239351118E-6</v>
      </c>
      <c r="O158" s="146">
        <f t="shared" ca="1" si="40"/>
        <v>60105571920.340622</v>
      </c>
      <c r="P158" s="69">
        <f t="shared" ca="1" si="41"/>
        <v>42426126800.278488</v>
      </c>
      <c r="Q158" s="69">
        <f t="shared" ca="1" si="42"/>
        <v>1491286550.5662854</v>
      </c>
      <c r="R158" s="45">
        <f t="shared" ca="1" si="33"/>
        <v>-1.8593131860811163E-3</v>
      </c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x14ac:dyDescent="0.2">
      <c r="A159" s="156">
        <v>6299.5</v>
      </c>
      <c r="B159" s="156">
        <v>-4.7439334957743995E-3</v>
      </c>
      <c r="C159" s="74">
        <v>1</v>
      </c>
      <c r="D159" s="75">
        <f t="shared" si="30"/>
        <v>0.62995000000000001</v>
      </c>
      <c r="E159" s="75">
        <f t="shared" si="30"/>
        <v>-4.7439334957743995E-3</v>
      </c>
      <c r="F159" s="69">
        <f t="shared" si="31"/>
        <v>0.62995000000000001</v>
      </c>
      <c r="G159" s="69">
        <f t="shared" si="31"/>
        <v>-4.7439334957743995E-3</v>
      </c>
      <c r="H159" s="69">
        <f t="shared" si="34"/>
        <v>0.39683700250000004</v>
      </c>
      <c r="I159" s="69">
        <f t="shared" si="35"/>
        <v>0.24998746972487504</v>
      </c>
      <c r="J159" s="69">
        <f t="shared" si="36"/>
        <v>0.15747960655318502</v>
      </c>
      <c r="K159" s="69">
        <f t="shared" si="37"/>
        <v>-2.9884409056630829E-3</v>
      </c>
      <c r="L159" s="69">
        <f t="shared" si="38"/>
        <v>-1.8825683485224592E-3</v>
      </c>
      <c r="M159" s="69">
        <f t="shared" ca="1" si="32"/>
        <v>-3.4700238339846388E-3</v>
      </c>
      <c r="N159" s="69">
        <f t="shared" ca="1" si="39"/>
        <v>1.6228458264013026E-6</v>
      </c>
      <c r="O159" s="146">
        <f t="shared" ca="1" si="40"/>
        <v>59603967079.940865</v>
      </c>
      <c r="P159" s="69">
        <f t="shared" ca="1" si="41"/>
        <v>45646774454.977524</v>
      </c>
      <c r="Q159" s="69">
        <f t="shared" ca="1" si="42"/>
        <v>1726246448.5822799</v>
      </c>
      <c r="R159" s="45">
        <f t="shared" ca="1" si="33"/>
        <v>-1.2739096617897607E-3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x14ac:dyDescent="0.2">
      <c r="A160" s="156">
        <v>6299.5</v>
      </c>
      <c r="B160" s="156">
        <v>-4.7139334928942844E-3</v>
      </c>
      <c r="C160" s="74">
        <v>1</v>
      </c>
      <c r="D160" s="75">
        <f t="shared" si="30"/>
        <v>0.62995000000000001</v>
      </c>
      <c r="E160" s="75">
        <f t="shared" si="30"/>
        <v>-4.7139334928942844E-3</v>
      </c>
      <c r="F160" s="69">
        <f t="shared" si="31"/>
        <v>0.62995000000000001</v>
      </c>
      <c r="G160" s="69">
        <f t="shared" si="31"/>
        <v>-4.7139334928942844E-3</v>
      </c>
      <c r="H160" s="69">
        <f t="shared" si="34"/>
        <v>0.39683700250000004</v>
      </c>
      <c r="I160" s="69">
        <f t="shared" si="35"/>
        <v>0.24998746972487504</v>
      </c>
      <c r="J160" s="69">
        <f t="shared" si="36"/>
        <v>0.15747960655318502</v>
      </c>
      <c r="K160" s="69">
        <f t="shared" si="37"/>
        <v>-2.9695424038487547E-3</v>
      </c>
      <c r="L160" s="69">
        <f t="shared" si="38"/>
        <v>-1.8706632373045231E-3</v>
      </c>
      <c r="M160" s="69">
        <f t="shared" ca="1" si="32"/>
        <v>-3.4700238339846388E-3</v>
      </c>
      <c r="N160" s="69">
        <f t="shared" ca="1" si="39"/>
        <v>1.547311239528711E-6</v>
      </c>
      <c r="O160" s="146">
        <f t="shared" ca="1" si="40"/>
        <v>59603967079.940865</v>
      </c>
      <c r="P160" s="69">
        <f t="shared" ca="1" si="41"/>
        <v>45646774454.977524</v>
      </c>
      <c r="Q160" s="69">
        <f t="shared" ca="1" si="42"/>
        <v>1726246448.5822799</v>
      </c>
      <c r="R160" s="45">
        <f t="shared" ca="1" si="33"/>
        <v>-1.2439096589096457E-3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x14ac:dyDescent="0.2">
      <c r="A161" s="156">
        <v>6353.5</v>
      </c>
      <c r="B161" s="156">
        <v>-1.332315499894321E-3</v>
      </c>
      <c r="C161" s="74">
        <v>1</v>
      </c>
      <c r="D161" s="75">
        <f t="shared" si="30"/>
        <v>0.63534999999999997</v>
      </c>
      <c r="E161" s="75">
        <f t="shared" si="30"/>
        <v>-1.332315499894321E-3</v>
      </c>
      <c r="F161" s="69">
        <f t="shared" si="31"/>
        <v>0.63534999999999997</v>
      </c>
      <c r="G161" s="69">
        <f t="shared" si="31"/>
        <v>-1.332315499894321E-3</v>
      </c>
      <c r="H161" s="69">
        <f t="shared" si="34"/>
        <v>0.40366962249999994</v>
      </c>
      <c r="I161" s="69">
        <f t="shared" si="35"/>
        <v>0.25647149465537494</v>
      </c>
      <c r="J161" s="69">
        <f t="shared" si="36"/>
        <v>0.16294916412929247</v>
      </c>
      <c r="K161" s="69">
        <f t="shared" si="37"/>
        <v>-8.4648665285785678E-4</v>
      </c>
      <c r="L161" s="69">
        <f t="shared" si="38"/>
        <v>-5.3781529489323925E-4</v>
      </c>
      <c r="M161" s="69">
        <f t="shared" ca="1" si="32"/>
        <v>-3.4763246176709728E-3</v>
      </c>
      <c r="N161" s="69">
        <f t="shared" ca="1" si="39"/>
        <v>4.5967750971094167E-6</v>
      </c>
      <c r="O161" s="146">
        <f t="shared" ca="1" si="40"/>
        <v>59457403573.464828</v>
      </c>
      <c r="P161" s="69">
        <f t="shared" ca="1" si="41"/>
        <v>46601750596.319023</v>
      </c>
      <c r="Q161" s="69">
        <f t="shared" ca="1" si="42"/>
        <v>1797611343.2510183</v>
      </c>
      <c r="R161" s="45">
        <f t="shared" ca="1" si="33"/>
        <v>2.1440091177766518E-3</v>
      </c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x14ac:dyDescent="0.2">
      <c r="A162" s="156">
        <v>6371</v>
      </c>
      <c r="B162" s="156">
        <v>-4.3411430015112273E-3</v>
      </c>
      <c r="C162" s="74">
        <v>1</v>
      </c>
      <c r="D162" s="75">
        <f t="shared" si="30"/>
        <v>0.6371</v>
      </c>
      <c r="E162" s="75">
        <f t="shared" si="30"/>
        <v>-4.3411430015112273E-3</v>
      </c>
      <c r="F162" s="69">
        <f t="shared" si="31"/>
        <v>0.6371</v>
      </c>
      <c r="G162" s="69">
        <f t="shared" si="31"/>
        <v>-4.3411430015112273E-3</v>
      </c>
      <c r="H162" s="69">
        <f t="shared" si="34"/>
        <v>0.40589640999999999</v>
      </c>
      <c r="I162" s="69">
        <f t="shared" si="35"/>
        <v>0.258596602811</v>
      </c>
      <c r="J162" s="69">
        <f t="shared" si="36"/>
        <v>0.1647518956508881</v>
      </c>
      <c r="K162" s="69">
        <f t="shared" si="37"/>
        <v>-2.7657422062628031E-3</v>
      </c>
      <c r="L162" s="69">
        <f t="shared" si="38"/>
        <v>-1.762054359610032E-3</v>
      </c>
      <c r="M162" s="69">
        <f t="shared" ca="1" si="32"/>
        <v>-3.4783399194453584E-3</v>
      </c>
      <c r="N162" s="69">
        <f t="shared" ca="1" si="39"/>
        <v>7.4442915842236262E-7</v>
      </c>
      <c r="O162" s="146">
        <f t="shared" ca="1" si="40"/>
        <v>59409705928.967827</v>
      </c>
      <c r="P162" s="69">
        <f t="shared" ca="1" si="41"/>
        <v>46913891793.377274</v>
      </c>
      <c r="Q162" s="69">
        <f t="shared" ca="1" si="42"/>
        <v>1821098213.0010183</v>
      </c>
      <c r="R162" s="45">
        <f t="shared" ca="1" si="33"/>
        <v>-8.6280308206586895E-4</v>
      </c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x14ac:dyDescent="0.2">
      <c r="A163" s="156">
        <v>6804.5</v>
      </c>
      <c r="B163" s="156">
        <v>-3.6500985006568953E-3</v>
      </c>
      <c r="C163" s="74">
        <v>1</v>
      </c>
      <c r="D163" s="75">
        <f t="shared" si="30"/>
        <v>0.68045</v>
      </c>
      <c r="E163" s="75">
        <f t="shared" si="30"/>
        <v>-3.6500985006568953E-3</v>
      </c>
      <c r="F163" s="69">
        <f t="shared" si="31"/>
        <v>0.68045</v>
      </c>
      <c r="G163" s="69">
        <f t="shared" si="31"/>
        <v>-3.6500985006568953E-3</v>
      </c>
      <c r="H163" s="69">
        <f t="shared" si="34"/>
        <v>0.46301220250000003</v>
      </c>
      <c r="I163" s="69">
        <f t="shared" si="35"/>
        <v>0.31505665319112502</v>
      </c>
      <c r="J163" s="69">
        <f t="shared" si="36"/>
        <v>0.21438029966390101</v>
      </c>
      <c r="K163" s="69">
        <f t="shared" si="37"/>
        <v>-2.4837095247719843E-3</v>
      </c>
      <c r="L163" s="69">
        <f t="shared" si="38"/>
        <v>-1.6900401461310967E-3</v>
      </c>
      <c r="M163" s="69">
        <f t="shared" ca="1" si="32"/>
        <v>-3.5241026111635532E-3</v>
      </c>
      <c r="N163" s="69">
        <f t="shared" ca="1" si="39"/>
        <v>1.5874964169218475E-8</v>
      </c>
      <c r="O163" s="146">
        <f t="shared" ca="1" si="40"/>
        <v>58197322038.17939</v>
      </c>
      <c r="P163" s="69">
        <f t="shared" ca="1" si="41"/>
        <v>55069524984.970886</v>
      </c>
      <c r="Q163" s="69">
        <f t="shared" ca="1" si="42"/>
        <v>2460495773.3519311</v>
      </c>
      <c r="R163" s="45">
        <f t="shared" ca="1" si="33"/>
        <v>-1.259958894933421E-4</v>
      </c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x14ac:dyDescent="0.2">
      <c r="A164" s="156">
        <v>6833</v>
      </c>
      <c r="B164" s="156">
        <v>-5.0861889976658858E-3</v>
      </c>
      <c r="C164" s="74">
        <v>1</v>
      </c>
      <c r="D164" s="75">
        <f t="shared" si="30"/>
        <v>0.68330000000000002</v>
      </c>
      <c r="E164" s="75">
        <f t="shared" si="30"/>
        <v>-5.0861889976658858E-3</v>
      </c>
      <c r="F164" s="69">
        <f t="shared" si="31"/>
        <v>0.68330000000000002</v>
      </c>
      <c r="G164" s="69">
        <f t="shared" si="31"/>
        <v>-5.0861889976658858E-3</v>
      </c>
      <c r="H164" s="69">
        <f t="shared" si="34"/>
        <v>0.46689889000000001</v>
      </c>
      <c r="I164" s="69">
        <f t="shared" si="35"/>
        <v>0.319032011537</v>
      </c>
      <c r="J164" s="69">
        <f t="shared" si="36"/>
        <v>0.21799457348323212</v>
      </c>
      <c r="K164" s="69">
        <f t="shared" si="37"/>
        <v>-3.4753929421051E-3</v>
      </c>
      <c r="L164" s="69">
        <f t="shared" si="38"/>
        <v>-2.3747359973404149E-3</v>
      </c>
      <c r="M164" s="69">
        <f t="shared" ca="1" si="32"/>
        <v>-3.5268311186734073E-3</v>
      </c>
      <c r="N164" s="69">
        <f t="shared" ca="1" si="39"/>
        <v>2.4315969947759216E-6</v>
      </c>
      <c r="O164" s="146">
        <f t="shared" ca="1" si="40"/>
        <v>58115566332.685997</v>
      </c>
      <c r="P164" s="69">
        <f t="shared" ca="1" si="41"/>
        <v>55634748437.8479</v>
      </c>
      <c r="Q164" s="69">
        <f t="shared" ca="1" si="42"/>
        <v>2506504199.2908249</v>
      </c>
      <c r="R164" s="45">
        <f t="shared" ca="1" si="33"/>
        <v>-1.5593578789924786E-3</v>
      </c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x14ac:dyDescent="0.2">
      <c r="A165" s="156">
        <v>7199</v>
      </c>
      <c r="B165" s="156">
        <v>-5.149666998477187E-3</v>
      </c>
      <c r="C165" s="74">
        <v>1</v>
      </c>
      <c r="D165" s="75">
        <f t="shared" si="30"/>
        <v>0.71989999999999998</v>
      </c>
      <c r="E165" s="75">
        <f t="shared" si="30"/>
        <v>-5.149666998477187E-3</v>
      </c>
      <c r="F165" s="69">
        <f t="shared" si="31"/>
        <v>0.71989999999999998</v>
      </c>
      <c r="G165" s="69">
        <f t="shared" si="31"/>
        <v>-5.149666998477187E-3</v>
      </c>
      <c r="H165" s="69">
        <f t="shared" si="34"/>
        <v>0.51825600999999999</v>
      </c>
      <c r="I165" s="69">
        <f t="shared" si="35"/>
        <v>0.37309250159899998</v>
      </c>
      <c r="J165" s="69">
        <f t="shared" si="36"/>
        <v>0.26858929190112008</v>
      </c>
      <c r="K165" s="69">
        <f t="shared" si="37"/>
        <v>-3.7072452722037266E-3</v>
      </c>
      <c r="L165" s="69">
        <f t="shared" si="38"/>
        <v>-2.6688458714594627E-3</v>
      </c>
      <c r="M165" s="69">
        <f t="shared" ca="1" si="32"/>
        <v>-3.5587992365745257E-3</v>
      </c>
      <c r="N165" s="69">
        <f t="shared" ca="1" si="39"/>
        <v>2.5308602358611827E-6</v>
      </c>
      <c r="O165" s="146">
        <f t="shared" ca="1" si="40"/>
        <v>57043739907.846565</v>
      </c>
      <c r="P165" s="69">
        <f t="shared" ca="1" si="41"/>
        <v>63221832351.125267</v>
      </c>
      <c r="Q165" s="69">
        <f t="shared" ca="1" si="42"/>
        <v>3142688570.8428755</v>
      </c>
      <c r="R165" s="45">
        <f t="shared" ca="1" si="33"/>
        <v>-1.5908677619026613E-3</v>
      </c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x14ac:dyDescent="0.2">
      <c r="A166" s="156">
        <v>7199</v>
      </c>
      <c r="B166" s="156">
        <v>-5.0996669961023144E-3</v>
      </c>
      <c r="C166" s="74">
        <v>1</v>
      </c>
      <c r="D166" s="75">
        <f t="shared" si="30"/>
        <v>0.71989999999999998</v>
      </c>
      <c r="E166" s="75">
        <f t="shared" si="30"/>
        <v>-5.0996669961023144E-3</v>
      </c>
      <c r="F166" s="69">
        <f t="shared" si="31"/>
        <v>0.71989999999999998</v>
      </c>
      <c r="G166" s="69">
        <f t="shared" si="31"/>
        <v>-5.0996669961023144E-3</v>
      </c>
      <c r="H166" s="69">
        <f t="shared" si="34"/>
        <v>0.51825600999999999</v>
      </c>
      <c r="I166" s="69">
        <f t="shared" si="35"/>
        <v>0.37309250159899998</v>
      </c>
      <c r="J166" s="69">
        <f t="shared" si="36"/>
        <v>0.26858929190112008</v>
      </c>
      <c r="K166" s="69">
        <f t="shared" si="37"/>
        <v>-3.671250270494056E-3</v>
      </c>
      <c r="L166" s="69">
        <f t="shared" si="38"/>
        <v>-2.6429330697286708E-3</v>
      </c>
      <c r="M166" s="69">
        <f t="shared" ca="1" si="32"/>
        <v>-3.5587992365745257E-3</v>
      </c>
      <c r="N166" s="69">
        <f t="shared" ca="1" si="39"/>
        <v>2.3742734523521875E-6</v>
      </c>
      <c r="O166" s="146">
        <f t="shared" ca="1" si="40"/>
        <v>57043739907.846565</v>
      </c>
      <c r="P166" s="69">
        <f t="shared" ca="1" si="41"/>
        <v>63221832351.125267</v>
      </c>
      <c r="Q166" s="69">
        <f t="shared" ca="1" si="42"/>
        <v>3142688570.8428755</v>
      </c>
      <c r="R166" s="45">
        <f t="shared" ca="1" si="33"/>
        <v>-1.5408677595277888E-3</v>
      </c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x14ac:dyDescent="0.2">
      <c r="A167" s="156">
        <v>7327.5</v>
      </c>
      <c r="B167" s="156">
        <v>-1.1090574989793822E-3</v>
      </c>
      <c r="C167" s="74">
        <v>1</v>
      </c>
      <c r="D167" s="75">
        <f t="shared" si="30"/>
        <v>0.73275000000000001</v>
      </c>
      <c r="E167" s="75">
        <f t="shared" si="30"/>
        <v>-1.1090574989793822E-3</v>
      </c>
      <c r="F167" s="69">
        <f t="shared" si="31"/>
        <v>0.73275000000000001</v>
      </c>
      <c r="G167" s="69">
        <f t="shared" si="31"/>
        <v>-1.1090574989793822E-3</v>
      </c>
      <c r="H167" s="69">
        <f t="shared" si="34"/>
        <v>0.53692256250000003</v>
      </c>
      <c r="I167" s="69">
        <f t="shared" si="35"/>
        <v>0.39343000767187503</v>
      </c>
      <c r="J167" s="69">
        <f t="shared" si="36"/>
        <v>0.28828583812156644</v>
      </c>
      <c r="K167" s="69">
        <f t="shared" si="37"/>
        <v>-8.1266188237714239E-4</v>
      </c>
      <c r="L167" s="69">
        <f t="shared" si="38"/>
        <v>-5.9547799431185113E-4</v>
      </c>
      <c r="M167" s="69">
        <f t="shared" ca="1" si="32"/>
        <v>-3.5686712081415043E-3</v>
      </c>
      <c r="N167" s="69">
        <f t="shared" ca="1" si="39"/>
        <v>6.0496995982982516E-6</v>
      </c>
      <c r="O167" s="146">
        <f t="shared" ca="1" si="40"/>
        <v>56657945811.630646</v>
      </c>
      <c r="P167" s="69">
        <f t="shared" ca="1" si="41"/>
        <v>66032944876.700294</v>
      </c>
      <c r="Q167" s="69">
        <f t="shared" ca="1" si="42"/>
        <v>3386504455.0599384</v>
      </c>
      <c r="R167" s="45">
        <f t="shared" ca="1" si="33"/>
        <v>2.4596137091621221E-3</v>
      </c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x14ac:dyDescent="0.2">
      <c r="A168" s="156">
        <v>8173.5</v>
      </c>
      <c r="B168" s="156">
        <v>-3.880375501466915E-3</v>
      </c>
      <c r="C168" s="74">
        <v>1</v>
      </c>
      <c r="D168" s="75">
        <f t="shared" si="30"/>
        <v>0.81735000000000002</v>
      </c>
      <c r="E168" s="75">
        <f t="shared" si="30"/>
        <v>-3.880375501466915E-3</v>
      </c>
      <c r="F168" s="69">
        <f t="shared" si="31"/>
        <v>0.81735000000000002</v>
      </c>
      <c r="G168" s="69">
        <f t="shared" si="31"/>
        <v>-3.880375501466915E-3</v>
      </c>
      <c r="H168" s="69">
        <f t="shared" si="34"/>
        <v>0.66806102249999999</v>
      </c>
      <c r="I168" s="69">
        <f t="shared" si="35"/>
        <v>0.54603967674037501</v>
      </c>
      <c r="J168" s="69">
        <f t="shared" si="36"/>
        <v>0.44630552978374555</v>
      </c>
      <c r="K168" s="69">
        <f t="shared" si="37"/>
        <v>-3.1716249161239832E-3</v>
      </c>
      <c r="L168" s="69">
        <f t="shared" si="38"/>
        <v>-2.5923276251939376E-3</v>
      </c>
      <c r="M168" s="69">
        <f t="shared" ca="1" si="32"/>
        <v>-3.6161261787448925E-3</v>
      </c>
      <c r="N168" s="69">
        <f t="shared" ca="1" si="39"/>
        <v>6.9827704559047615E-8</v>
      </c>
      <c r="O168" s="146">
        <f t="shared" ca="1" si="40"/>
        <v>54000500857.837883</v>
      </c>
      <c r="P168" s="69">
        <f t="shared" ca="1" si="41"/>
        <v>86546749990.489655</v>
      </c>
      <c r="Q168" s="69">
        <f t="shared" ca="1" si="42"/>
        <v>5274145742.849555</v>
      </c>
      <c r="R168" s="45">
        <f t="shared" ca="1" si="33"/>
        <v>-2.6424932272202254E-4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x14ac:dyDescent="0.2">
      <c r="A169" s="156">
        <v>8173.5</v>
      </c>
      <c r="B169" s="156">
        <v>-3.7803754967171699E-3</v>
      </c>
      <c r="C169" s="74">
        <v>1</v>
      </c>
      <c r="D169" s="75">
        <f t="shared" si="30"/>
        <v>0.81735000000000002</v>
      </c>
      <c r="E169" s="75">
        <f t="shared" si="30"/>
        <v>-3.7803754967171699E-3</v>
      </c>
      <c r="F169" s="69">
        <f t="shared" si="31"/>
        <v>0.81735000000000002</v>
      </c>
      <c r="G169" s="69">
        <f t="shared" si="31"/>
        <v>-3.7803754967171699E-3</v>
      </c>
      <c r="H169" s="69">
        <f t="shared" si="34"/>
        <v>0.66806102249999999</v>
      </c>
      <c r="I169" s="69">
        <f t="shared" si="35"/>
        <v>0.54603967674037501</v>
      </c>
      <c r="J169" s="69">
        <f t="shared" si="36"/>
        <v>0.44630552978374555</v>
      </c>
      <c r="K169" s="69">
        <f t="shared" si="37"/>
        <v>-3.0898899122417788E-3</v>
      </c>
      <c r="L169" s="69">
        <f t="shared" si="38"/>
        <v>-2.5255215197708182E-3</v>
      </c>
      <c r="M169" s="69">
        <f t="shared" ca="1" si="32"/>
        <v>-3.6161261787448925E-3</v>
      </c>
      <c r="N169" s="69">
        <f t="shared" ca="1" si="39"/>
        <v>2.697783845435829E-8</v>
      </c>
      <c r="O169" s="146">
        <f t="shared" ca="1" si="40"/>
        <v>54000500857.837883</v>
      </c>
      <c r="P169" s="69">
        <f t="shared" ca="1" si="41"/>
        <v>86546749990.489655</v>
      </c>
      <c r="Q169" s="69">
        <f t="shared" ca="1" si="42"/>
        <v>5274145742.849555</v>
      </c>
      <c r="R169" s="45">
        <f t="shared" ca="1" si="33"/>
        <v>-1.6424931797227741E-4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x14ac:dyDescent="0.2">
      <c r="A170" s="156">
        <v>8173.5</v>
      </c>
      <c r="B170" s="156">
        <v>-3.6803754992433824E-3</v>
      </c>
      <c r="C170" s="74">
        <v>1</v>
      </c>
      <c r="D170" s="75">
        <f t="shared" si="30"/>
        <v>0.81735000000000002</v>
      </c>
      <c r="E170" s="75">
        <f t="shared" si="30"/>
        <v>-3.6803754992433824E-3</v>
      </c>
      <c r="F170" s="69">
        <f t="shared" si="31"/>
        <v>0.81735000000000002</v>
      </c>
      <c r="G170" s="69">
        <f t="shared" si="31"/>
        <v>-3.6803754992433824E-3</v>
      </c>
      <c r="H170" s="69">
        <f t="shared" si="34"/>
        <v>0.66806102249999999</v>
      </c>
      <c r="I170" s="69">
        <f t="shared" si="35"/>
        <v>0.54603967674037501</v>
      </c>
      <c r="J170" s="69">
        <f t="shared" si="36"/>
        <v>0.44630552978374555</v>
      </c>
      <c r="K170" s="69">
        <f t="shared" si="37"/>
        <v>-3.0081549143065787E-3</v>
      </c>
      <c r="L170" s="69">
        <f t="shared" si="38"/>
        <v>-2.4587154192084819E-3</v>
      </c>
      <c r="M170" s="69">
        <f t="shared" ca="1" si="32"/>
        <v>-3.6161261787448925E-3</v>
      </c>
      <c r="N170" s="69">
        <f t="shared" ca="1" si="39"/>
        <v>4.1279751845176731E-9</v>
      </c>
      <c r="O170" s="146">
        <f t="shared" ca="1" si="40"/>
        <v>54000500857.837883</v>
      </c>
      <c r="P170" s="69">
        <f t="shared" ca="1" si="41"/>
        <v>86546749990.489655</v>
      </c>
      <c r="Q170" s="69">
        <f t="shared" ca="1" si="42"/>
        <v>5274145742.849555</v>
      </c>
      <c r="R170" s="45">
        <f t="shared" ca="1" si="33"/>
        <v>-6.424932049848989E-5</v>
      </c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x14ac:dyDescent="0.2">
      <c r="A171" s="156">
        <v>8173.5</v>
      </c>
      <c r="B171" s="156">
        <v>-3.4803754970198497E-3</v>
      </c>
      <c r="C171" s="74">
        <v>1</v>
      </c>
      <c r="D171" s="75">
        <f t="shared" si="30"/>
        <v>0.81735000000000002</v>
      </c>
      <c r="E171" s="75">
        <f t="shared" si="30"/>
        <v>-3.4803754970198497E-3</v>
      </c>
      <c r="F171" s="69">
        <f t="shared" si="31"/>
        <v>0.81735000000000002</v>
      </c>
      <c r="G171" s="69">
        <f t="shared" si="31"/>
        <v>-3.4803754970198497E-3</v>
      </c>
      <c r="H171" s="69">
        <f t="shared" si="34"/>
        <v>0.66806102249999999</v>
      </c>
      <c r="I171" s="69">
        <f t="shared" si="35"/>
        <v>0.54603967674037501</v>
      </c>
      <c r="J171" s="69">
        <f t="shared" si="36"/>
        <v>0.44630552978374555</v>
      </c>
      <c r="K171" s="69">
        <f t="shared" si="37"/>
        <v>-2.8446849124891742E-3</v>
      </c>
      <c r="L171" s="69">
        <f t="shared" si="38"/>
        <v>-2.3251032132230267E-3</v>
      </c>
      <c r="M171" s="69">
        <f t="shared" ca="1" si="32"/>
        <v>-3.6161261787448925E-3</v>
      </c>
      <c r="N171" s="69">
        <f t="shared" ca="1" si="39"/>
        <v>1.8428247588813859E-8</v>
      </c>
      <c r="O171" s="146">
        <f t="shared" ca="1" si="40"/>
        <v>54000500857.837883</v>
      </c>
      <c r="P171" s="69">
        <f t="shared" ca="1" si="41"/>
        <v>86546749990.489655</v>
      </c>
      <c r="Q171" s="69">
        <f t="shared" ca="1" si="42"/>
        <v>5274145742.849555</v>
      </c>
      <c r="R171" s="45">
        <f t="shared" ca="1" si="33"/>
        <v>1.3575068172504276E-4</v>
      </c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x14ac:dyDescent="0.2">
      <c r="A172" s="156">
        <v>8174</v>
      </c>
      <c r="B172" s="156">
        <v>-4.8143419990083203E-3</v>
      </c>
      <c r="C172" s="74">
        <v>1</v>
      </c>
      <c r="D172" s="75">
        <f t="shared" si="30"/>
        <v>0.81740000000000002</v>
      </c>
      <c r="E172" s="75">
        <f t="shared" si="30"/>
        <v>-4.8143419990083203E-3</v>
      </c>
      <c r="F172" s="69">
        <f t="shared" si="31"/>
        <v>0.81740000000000002</v>
      </c>
      <c r="G172" s="69">
        <f t="shared" si="31"/>
        <v>-4.8143419990083203E-3</v>
      </c>
      <c r="H172" s="69">
        <f t="shared" si="34"/>
        <v>0.66814276000000006</v>
      </c>
      <c r="I172" s="69">
        <f t="shared" si="35"/>
        <v>0.54613989202400004</v>
      </c>
      <c r="J172" s="69">
        <f t="shared" si="36"/>
        <v>0.44641474774041762</v>
      </c>
      <c r="K172" s="69">
        <f t="shared" si="37"/>
        <v>-3.9352431499894008E-3</v>
      </c>
      <c r="L172" s="69">
        <f t="shared" si="38"/>
        <v>-3.2166677508013363E-3</v>
      </c>
      <c r="M172" s="69">
        <f t="shared" ca="1" si="32"/>
        <v>-3.6161452212743802E-3</v>
      </c>
      <c r="N172" s="69">
        <f t="shared" ca="1" si="39"/>
        <v>1.435675518171997E-6</v>
      </c>
      <c r="O172" s="146">
        <f t="shared" ca="1" si="40"/>
        <v>53998872087.088837</v>
      </c>
      <c r="P172" s="69">
        <f t="shared" ca="1" si="41"/>
        <v>86559939976.33223</v>
      </c>
      <c r="Q172" s="69">
        <f t="shared" ca="1" si="42"/>
        <v>5275412851.5465384</v>
      </c>
      <c r="R172" s="45">
        <f t="shared" ca="1" si="33"/>
        <v>-1.1981967777339401E-3</v>
      </c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x14ac:dyDescent="0.2">
      <c r="A173" s="156">
        <v>8174</v>
      </c>
      <c r="B173" s="156">
        <v>-4.2143419996136799E-3</v>
      </c>
      <c r="C173" s="74">
        <v>1</v>
      </c>
      <c r="D173" s="75">
        <f t="shared" si="30"/>
        <v>0.81740000000000002</v>
      </c>
      <c r="E173" s="75">
        <f t="shared" si="30"/>
        <v>-4.2143419996136799E-3</v>
      </c>
      <c r="F173" s="69">
        <f t="shared" si="31"/>
        <v>0.81740000000000002</v>
      </c>
      <c r="G173" s="69">
        <f t="shared" si="31"/>
        <v>-4.2143419996136799E-3</v>
      </c>
      <c r="H173" s="69">
        <f t="shared" si="34"/>
        <v>0.66814276000000006</v>
      </c>
      <c r="I173" s="69">
        <f t="shared" si="35"/>
        <v>0.54613989202400004</v>
      </c>
      <c r="J173" s="69">
        <f t="shared" si="36"/>
        <v>0.44641474774041762</v>
      </c>
      <c r="K173" s="69">
        <f t="shared" si="37"/>
        <v>-3.4448031504842221E-3</v>
      </c>
      <c r="L173" s="69">
        <f t="shared" si="38"/>
        <v>-2.8157820952058031E-3</v>
      </c>
      <c r="M173" s="69">
        <f t="shared" ca="1" si="32"/>
        <v>-3.6161452212743802E-3</v>
      </c>
      <c r="N173" s="69">
        <f t="shared" ca="1" si="39"/>
        <v>3.5783938561551732E-7</v>
      </c>
      <c r="O173" s="146">
        <f t="shared" ca="1" si="40"/>
        <v>53998872087.088837</v>
      </c>
      <c r="P173" s="69">
        <f t="shared" ca="1" si="41"/>
        <v>86559939976.33223</v>
      </c>
      <c r="Q173" s="69">
        <f t="shared" ca="1" si="42"/>
        <v>5275412851.5465384</v>
      </c>
      <c r="R173" s="45">
        <f t="shared" ca="1" si="33"/>
        <v>-5.9819677833929975E-4</v>
      </c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x14ac:dyDescent="0.2">
      <c r="A174" s="156">
        <v>8265</v>
      </c>
      <c r="B174" s="156">
        <v>-6.3962450003600679E-3</v>
      </c>
      <c r="C174" s="74">
        <v>1</v>
      </c>
      <c r="D174" s="75">
        <f t="shared" si="30"/>
        <v>0.82650000000000001</v>
      </c>
      <c r="E174" s="75">
        <f t="shared" si="30"/>
        <v>-6.3962450003600679E-3</v>
      </c>
      <c r="F174" s="69">
        <f t="shared" si="31"/>
        <v>0.82650000000000001</v>
      </c>
      <c r="G174" s="69">
        <f t="shared" si="31"/>
        <v>-6.3962450003600679E-3</v>
      </c>
      <c r="H174" s="69">
        <f t="shared" si="34"/>
        <v>0.68310225000000002</v>
      </c>
      <c r="I174" s="69">
        <f t="shared" si="35"/>
        <v>0.56458400962499999</v>
      </c>
      <c r="J174" s="69">
        <f t="shared" si="36"/>
        <v>0.46662868395506252</v>
      </c>
      <c r="K174" s="69">
        <f t="shared" si="37"/>
        <v>-5.286496492797596E-3</v>
      </c>
      <c r="L174" s="69">
        <f t="shared" si="38"/>
        <v>-4.3692893512972128E-3</v>
      </c>
      <c r="M174" s="69">
        <f t="shared" ca="1" si="32"/>
        <v>-3.6194338251960487E-3</v>
      </c>
      <c r="N174" s="69">
        <f t="shared" ca="1" si="39"/>
        <v>7.7106803025157817E-6</v>
      </c>
      <c r="O174" s="146">
        <f t="shared" ca="1" si="40"/>
        <v>53701333270.186333</v>
      </c>
      <c r="P174" s="69">
        <f t="shared" ca="1" si="41"/>
        <v>88982176091.304382</v>
      </c>
      <c r="Q174" s="69">
        <f t="shared" ca="1" si="42"/>
        <v>5509131039.3907213</v>
      </c>
      <c r="R174" s="45">
        <f t="shared" ca="1" si="33"/>
        <v>-2.7768111751640193E-3</v>
      </c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x14ac:dyDescent="0.2">
      <c r="A175" s="156">
        <v>8290</v>
      </c>
      <c r="B175" s="156">
        <v>-7.6645699955406599E-3</v>
      </c>
      <c r="C175" s="74">
        <v>1</v>
      </c>
      <c r="D175" s="75">
        <f t="shared" si="30"/>
        <v>0.82899999999999996</v>
      </c>
      <c r="E175" s="75">
        <f t="shared" si="30"/>
        <v>-7.6645699955406599E-3</v>
      </c>
      <c r="F175" s="69">
        <f t="shared" si="31"/>
        <v>0.82899999999999996</v>
      </c>
      <c r="G175" s="69">
        <f t="shared" si="31"/>
        <v>-7.6645699955406599E-3</v>
      </c>
      <c r="H175" s="69">
        <f t="shared" si="34"/>
        <v>0.68724099999999988</v>
      </c>
      <c r="I175" s="69">
        <f t="shared" si="35"/>
        <v>0.56972278899999984</v>
      </c>
      <c r="J175" s="69">
        <f t="shared" si="36"/>
        <v>0.47230019208099983</v>
      </c>
      <c r="K175" s="69">
        <f t="shared" si="37"/>
        <v>-6.3539285263032068E-3</v>
      </c>
      <c r="L175" s="69">
        <f t="shared" si="38"/>
        <v>-5.2674067483053583E-3</v>
      </c>
      <c r="M175" s="69">
        <f t="shared" ca="1" si="32"/>
        <v>-3.6202755937398494E-3</v>
      </c>
      <c r="N175" s="69">
        <f t="shared" ca="1" si="39"/>
        <v>1.6356317208437371E-5</v>
      </c>
      <c r="O175" s="146">
        <f t="shared" ca="1" si="40"/>
        <v>53619209703.831696</v>
      </c>
      <c r="P175" s="69">
        <f t="shared" ca="1" si="41"/>
        <v>89655199069.589752</v>
      </c>
      <c r="Q175" s="69">
        <f t="shared" ca="1" si="42"/>
        <v>5574426003.1244555</v>
      </c>
      <c r="R175" s="45">
        <f t="shared" ca="1" si="33"/>
        <v>-4.04429440180081E-3</v>
      </c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x14ac:dyDescent="0.2">
      <c r="A176" s="156">
        <v>8290.5</v>
      </c>
      <c r="B176" s="156">
        <v>-3.0985365010565147E-3</v>
      </c>
      <c r="C176" s="74">
        <v>1</v>
      </c>
      <c r="D176" s="75">
        <f t="shared" si="30"/>
        <v>0.82904999999999995</v>
      </c>
      <c r="E176" s="75">
        <f t="shared" si="30"/>
        <v>-3.0985365010565147E-3</v>
      </c>
      <c r="F176" s="69">
        <f t="shared" si="31"/>
        <v>0.82904999999999995</v>
      </c>
      <c r="G176" s="69">
        <f t="shared" si="31"/>
        <v>-3.0985365010565147E-3</v>
      </c>
      <c r="H176" s="69">
        <f t="shared" si="34"/>
        <v>0.68732390249999997</v>
      </c>
      <c r="I176" s="69">
        <f t="shared" si="35"/>
        <v>0.56982588136762491</v>
      </c>
      <c r="J176" s="69">
        <f t="shared" si="36"/>
        <v>0.47241414694782941</v>
      </c>
      <c r="K176" s="69">
        <f t="shared" si="37"/>
        <v>-2.5688416862009035E-3</v>
      </c>
      <c r="L176" s="69">
        <f t="shared" si="38"/>
        <v>-2.129698199944859E-3</v>
      </c>
      <c r="M176" s="69">
        <f t="shared" ca="1" si="32"/>
        <v>-3.6202921578695462E-3</v>
      </c>
      <c r="N176" s="69">
        <f t="shared" ca="1" si="39"/>
        <v>2.7222896541639796E-7</v>
      </c>
      <c r="O176" s="146">
        <f t="shared" ca="1" si="40"/>
        <v>53617565560.666512</v>
      </c>
      <c r="P176" s="69">
        <f t="shared" ca="1" si="41"/>
        <v>89668692958.867722</v>
      </c>
      <c r="Q176" s="69">
        <f t="shared" ca="1" si="42"/>
        <v>5575736704.003437</v>
      </c>
      <c r="R176" s="45">
        <f t="shared" ca="1" si="33"/>
        <v>5.2175565681303153E-4</v>
      </c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x14ac:dyDescent="0.2">
      <c r="A177" s="156">
        <v>8307.5</v>
      </c>
      <c r="B177" s="156">
        <v>-3.0533975004800595E-3</v>
      </c>
      <c r="C177" s="74">
        <v>1</v>
      </c>
      <c r="D177" s="75">
        <f t="shared" si="30"/>
        <v>0.83074999999999999</v>
      </c>
      <c r="E177" s="75">
        <f t="shared" si="30"/>
        <v>-3.0533975004800595E-3</v>
      </c>
      <c r="F177" s="69">
        <f t="shared" si="31"/>
        <v>0.83074999999999999</v>
      </c>
      <c r="G177" s="69">
        <f t="shared" si="31"/>
        <v>-3.0533975004800595E-3</v>
      </c>
      <c r="H177" s="69">
        <f t="shared" si="34"/>
        <v>0.69014556250000003</v>
      </c>
      <c r="I177" s="69">
        <f t="shared" si="35"/>
        <v>0.57333842604687502</v>
      </c>
      <c r="J177" s="69">
        <f t="shared" si="36"/>
        <v>0.4763008974384414</v>
      </c>
      <c r="K177" s="69">
        <f t="shared" si="37"/>
        <v>-2.5366099735238093E-3</v>
      </c>
      <c r="L177" s="69">
        <f t="shared" si="38"/>
        <v>-2.1072887355049045E-3</v>
      </c>
      <c r="M177" s="69">
        <f t="shared" ca="1" si="32"/>
        <v>-3.6208490093184121E-3</v>
      </c>
      <c r="N177" s="69">
        <f t="shared" ca="1" si="39"/>
        <v>3.2200121488292296E-7</v>
      </c>
      <c r="O177" s="146">
        <f t="shared" ca="1" si="40"/>
        <v>53561625753.80851</v>
      </c>
      <c r="P177" s="69">
        <f t="shared" ca="1" si="41"/>
        <v>90128266349.985291</v>
      </c>
      <c r="Q177" s="69">
        <f t="shared" ca="1" si="42"/>
        <v>5620412775.9888802</v>
      </c>
      <c r="R177" s="45">
        <f t="shared" ca="1" si="33"/>
        <v>5.674515088383526E-4</v>
      </c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x14ac:dyDescent="0.2">
      <c r="A178" s="156">
        <v>8308</v>
      </c>
      <c r="B178" s="156">
        <v>-3.7873640030738898E-3</v>
      </c>
      <c r="C178" s="74">
        <v>1</v>
      </c>
      <c r="D178" s="75">
        <f t="shared" si="30"/>
        <v>0.83079999999999998</v>
      </c>
      <c r="E178" s="75">
        <f t="shared" si="30"/>
        <v>-3.7873640030738898E-3</v>
      </c>
      <c r="F178" s="69">
        <f t="shared" si="31"/>
        <v>0.83079999999999998</v>
      </c>
      <c r="G178" s="69">
        <f t="shared" si="31"/>
        <v>-3.7873640030738898E-3</v>
      </c>
      <c r="H178" s="69">
        <f t="shared" si="34"/>
        <v>0.69022863999999995</v>
      </c>
      <c r="I178" s="69">
        <f t="shared" si="35"/>
        <v>0.57344195411199994</v>
      </c>
      <c r="J178" s="69">
        <f t="shared" si="36"/>
        <v>0.47641557547624952</v>
      </c>
      <c r="K178" s="69">
        <f t="shared" si="37"/>
        <v>-3.1465420137537876E-3</v>
      </c>
      <c r="L178" s="69">
        <f t="shared" si="38"/>
        <v>-2.6141471050266465E-3</v>
      </c>
      <c r="M178" s="69">
        <f t="shared" ca="1" si="32"/>
        <v>-3.6208652011562948E-3</v>
      </c>
      <c r="N178" s="69">
        <f t="shared" ca="1" si="39"/>
        <v>2.7721851039994534E-8</v>
      </c>
      <c r="O178" s="146">
        <f t="shared" ca="1" si="40"/>
        <v>53559979320.976639</v>
      </c>
      <c r="P178" s="69">
        <f t="shared" ca="1" si="41"/>
        <v>90141806203.66748</v>
      </c>
      <c r="Q178" s="69">
        <f t="shared" ca="1" si="42"/>
        <v>5621730081.8952484</v>
      </c>
      <c r="R178" s="45">
        <f t="shared" ca="1" si="33"/>
        <v>-1.6649880191759499E-4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x14ac:dyDescent="0.2">
      <c r="A179" s="156">
        <v>8733</v>
      </c>
      <c r="B179" s="156">
        <v>1.5041111000755336E-2</v>
      </c>
      <c r="C179" s="74">
        <v>1</v>
      </c>
      <c r="D179" s="75">
        <f t="shared" si="30"/>
        <v>0.87329999999999997</v>
      </c>
      <c r="E179" s="75">
        <f t="shared" si="30"/>
        <v>1.5041111000755336E-2</v>
      </c>
      <c r="F179" s="69">
        <f t="shared" si="31"/>
        <v>0.87329999999999997</v>
      </c>
      <c r="G179" s="69">
        <f t="shared" si="31"/>
        <v>1.5041111000755336E-2</v>
      </c>
      <c r="H179" s="69">
        <f t="shared" si="34"/>
        <v>0.76265288999999992</v>
      </c>
      <c r="I179" s="69">
        <f t="shared" si="35"/>
        <v>0.6660247688369999</v>
      </c>
      <c r="J179" s="69">
        <f t="shared" si="36"/>
        <v>0.58163943062535195</v>
      </c>
      <c r="K179" s="69">
        <f t="shared" si="37"/>
        <v>1.3135402236959635E-2</v>
      </c>
      <c r="L179" s="69">
        <f t="shared" si="38"/>
        <v>1.1471146773536849E-2</v>
      </c>
      <c r="M179" s="69">
        <f t="shared" ca="1" si="32"/>
        <v>-3.6307811593041892E-3</v>
      </c>
      <c r="N179" s="69">
        <f t="shared" ca="1" si="39"/>
        <v>3.4863955683689228E-4</v>
      </c>
      <c r="O179" s="146">
        <f t="shared" ca="1" si="40"/>
        <v>52137311017.087585</v>
      </c>
      <c r="P179" s="69">
        <f t="shared" ca="1" si="41"/>
        <v>102132987464.17325</v>
      </c>
      <c r="Q179" s="69">
        <f t="shared" ca="1" si="42"/>
        <v>6811023558.7317648</v>
      </c>
      <c r="R179" s="45">
        <f t="shared" ca="1" si="33"/>
        <v>1.8671892160059524E-2</v>
      </c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  <row r="180" spans="1:35" x14ac:dyDescent="0.2">
      <c r="A180" s="156">
        <v>8821.5</v>
      </c>
      <c r="B180" s="156">
        <v>4.9290405004285276E-3</v>
      </c>
      <c r="C180" s="74">
        <v>1</v>
      </c>
      <c r="D180" s="75">
        <f t="shared" si="30"/>
        <v>0.88214999999999999</v>
      </c>
      <c r="E180" s="75">
        <f t="shared" si="30"/>
        <v>4.9290405004285276E-3</v>
      </c>
      <c r="F180" s="69">
        <f t="shared" si="31"/>
        <v>0.88214999999999999</v>
      </c>
      <c r="G180" s="69">
        <f t="shared" si="31"/>
        <v>4.9290405004285276E-3</v>
      </c>
      <c r="H180" s="69">
        <f t="shared" si="34"/>
        <v>0.77818862249999998</v>
      </c>
      <c r="I180" s="69">
        <f t="shared" si="35"/>
        <v>0.68647909333837498</v>
      </c>
      <c r="J180" s="69">
        <f t="shared" si="36"/>
        <v>0.60557753218844745</v>
      </c>
      <c r="K180" s="69">
        <f t="shared" si="37"/>
        <v>4.3481530774530253E-3</v>
      </c>
      <c r="L180" s="69">
        <f t="shared" si="38"/>
        <v>3.8357232372751861E-3</v>
      </c>
      <c r="M180" s="69">
        <f t="shared" ca="1" si="32"/>
        <v>-3.631879228427482E-3</v>
      </c>
      <c r="N180" s="69">
        <f t="shared" ca="1" si="39"/>
        <v>7.3289346603916069E-5</v>
      </c>
      <c r="O180" s="146">
        <f t="shared" ca="1" si="40"/>
        <v>51835364514.11525</v>
      </c>
      <c r="P180" s="69">
        <f t="shared" ca="1" si="41"/>
        <v>104753287963.27005</v>
      </c>
      <c r="Q180" s="69">
        <f t="shared" ca="1" si="42"/>
        <v>7076546028.5778599</v>
      </c>
      <c r="R180" s="45">
        <f t="shared" ca="1" si="33"/>
        <v>8.5609197288560104E-3</v>
      </c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</row>
    <row r="181" spans="1:35" x14ac:dyDescent="0.2">
      <c r="A181" s="156">
        <v>9401.5</v>
      </c>
      <c r="B181" s="156">
        <v>-5.2099501772318035E-5</v>
      </c>
      <c r="C181" s="74">
        <v>1</v>
      </c>
      <c r="D181" s="75">
        <f t="shared" si="30"/>
        <v>0.94015000000000004</v>
      </c>
      <c r="E181" s="75">
        <f t="shared" si="30"/>
        <v>-5.2099501772318035E-5</v>
      </c>
      <c r="F181" s="69">
        <f t="shared" si="31"/>
        <v>0.94015000000000004</v>
      </c>
      <c r="G181" s="69">
        <f t="shared" si="31"/>
        <v>-5.2099501772318035E-5</v>
      </c>
      <c r="H181" s="69">
        <f t="shared" si="34"/>
        <v>0.88388202250000003</v>
      </c>
      <c r="I181" s="69">
        <f t="shared" si="35"/>
        <v>0.83098168345337509</v>
      </c>
      <c r="J181" s="69">
        <f t="shared" si="36"/>
        <v>0.78124742969869065</v>
      </c>
      <c r="K181" s="69">
        <f t="shared" si="37"/>
        <v>-4.8981346591244803E-5</v>
      </c>
      <c r="L181" s="69">
        <f t="shared" si="38"/>
        <v>-4.6049812997758801E-5</v>
      </c>
      <c r="M181" s="69">
        <f t="shared" ca="1" si="32"/>
        <v>-3.6308271162101484E-3</v>
      </c>
      <c r="N181" s="69">
        <f t="shared" ca="1" si="39"/>
        <v>1.2807291338339885E-5</v>
      </c>
      <c r="O181" s="146">
        <f t="shared" ca="1" si="40"/>
        <v>49810397146.310104</v>
      </c>
      <c r="P181" s="69">
        <f t="shared" ca="1" si="41"/>
        <v>123016714826.32037</v>
      </c>
      <c r="Q181" s="69">
        <f t="shared" ca="1" si="42"/>
        <v>8976208220.3012829</v>
      </c>
      <c r="R181" s="45">
        <f t="shared" ca="1" si="33"/>
        <v>3.5787276144378303E-3</v>
      </c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</row>
    <row r="182" spans="1:35" x14ac:dyDescent="0.2">
      <c r="A182" s="156">
        <v>9402</v>
      </c>
      <c r="B182" s="156">
        <v>-3.4560659987619147E-3</v>
      </c>
      <c r="C182" s="74">
        <v>1</v>
      </c>
      <c r="D182" s="75">
        <f t="shared" si="30"/>
        <v>0.94020000000000004</v>
      </c>
      <c r="E182" s="75">
        <f t="shared" si="30"/>
        <v>-3.4560659987619147E-3</v>
      </c>
      <c r="F182" s="69">
        <f t="shared" si="31"/>
        <v>0.94020000000000004</v>
      </c>
      <c r="G182" s="69">
        <f t="shared" si="31"/>
        <v>-3.4560659987619147E-3</v>
      </c>
      <c r="H182" s="69">
        <f t="shared" si="34"/>
        <v>0.88397604000000007</v>
      </c>
      <c r="I182" s="69">
        <f t="shared" si="35"/>
        <v>0.8311142728080001</v>
      </c>
      <c r="J182" s="69">
        <f t="shared" si="36"/>
        <v>0.7814136392940817</v>
      </c>
      <c r="K182" s="69">
        <f t="shared" si="37"/>
        <v>-3.2493932520359522E-3</v>
      </c>
      <c r="L182" s="69">
        <f t="shared" si="38"/>
        <v>-3.0550795355642024E-3</v>
      </c>
      <c r="M182" s="69">
        <f t="shared" ca="1" si="32"/>
        <v>-3.6308200344911988E-3</v>
      </c>
      <c r="N182" s="69">
        <f t="shared" ca="1" si="39"/>
        <v>3.0538973003671929E-8</v>
      </c>
      <c r="O182" s="146">
        <f t="shared" ca="1" si="40"/>
        <v>49808618143.535156</v>
      </c>
      <c r="P182" s="69">
        <f t="shared" ca="1" si="41"/>
        <v>123033293696.94594</v>
      </c>
      <c r="Q182" s="69">
        <f t="shared" ca="1" si="42"/>
        <v>8977968546.5756168</v>
      </c>
      <c r="R182" s="45">
        <f t="shared" ca="1" si="33"/>
        <v>1.7475403572928417E-4</v>
      </c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</row>
    <row r="183" spans="1:35" x14ac:dyDescent="0.2">
      <c r="A183" s="156">
        <v>9453</v>
      </c>
      <c r="B183" s="156">
        <v>-8.7706490012351424E-3</v>
      </c>
      <c r="C183" s="74">
        <v>1</v>
      </c>
      <c r="D183" s="75">
        <f t="shared" si="30"/>
        <v>0.94530000000000003</v>
      </c>
      <c r="E183" s="75">
        <f t="shared" si="30"/>
        <v>-8.7706490012351424E-3</v>
      </c>
      <c r="F183" s="69">
        <f t="shared" si="31"/>
        <v>0.94530000000000003</v>
      </c>
      <c r="G183" s="69">
        <f t="shared" si="31"/>
        <v>-8.7706490012351424E-3</v>
      </c>
      <c r="H183" s="69">
        <f t="shared" si="34"/>
        <v>0.89359209000000006</v>
      </c>
      <c r="I183" s="69">
        <f t="shared" si="35"/>
        <v>0.8447126026770001</v>
      </c>
      <c r="J183" s="69">
        <f t="shared" si="36"/>
        <v>0.79850682331056821</v>
      </c>
      <c r="K183" s="69">
        <f t="shared" si="37"/>
        <v>-8.2908945008675801E-3</v>
      </c>
      <c r="L183" s="69">
        <f t="shared" si="38"/>
        <v>-7.8373825716701231E-3</v>
      </c>
      <c r="M183" s="69">
        <f t="shared" ca="1" si="32"/>
        <v>-3.6300418234755071E-3</v>
      </c>
      <c r="N183" s="69">
        <f t="shared" ca="1" si="39"/>
        <v>2.6425842156033883E-5</v>
      </c>
      <c r="O183" s="146">
        <f t="shared" ca="1" si="40"/>
        <v>49626868375.118683</v>
      </c>
      <c r="P183" s="69">
        <f t="shared" ca="1" si="41"/>
        <v>124732044809.56749</v>
      </c>
      <c r="Q183" s="69">
        <f t="shared" ca="1" si="42"/>
        <v>9158660260.7948895</v>
      </c>
      <c r="R183" s="45">
        <f t="shared" ca="1" si="33"/>
        <v>-5.1406071777596353E-3</v>
      </c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</row>
    <row r="184" spans="1:35" x14ac:dyDescent="0.2">
      <c r="A184" s="156">
        <v>10145</v>
      </c>
      <c r="B184" s="156">
        <v>-2.8102849973947741E-3</v>
      </c>
      <c r="C184" s="74">
        <v>1</v>
      </c>
      <c r="D184" s="75">
        <f t="shared" si="30"/>
        <v>1.0145</v>
      </c>
      <c r="E184" s="75">
        <f t="shared" si="30"/>
        <v>-2.8102849973947741E-3</v>
      </c>
      <c r="F184" s="69">
        <f t="shared" si="31"/>
        <v>1.0145</v>
      </c>
      <c r="G184" s="69">
        <f t="shared" si="31"/>
        <v>-2.8102849973947741E-3</v>
      </c>
      <c r="H184" s="69">
        <f t="shared" si="34"/>
        <v>1.02921025</v>
      </c>
      <c r="I184" s="69">
        <f t="shared" si="35"/>
        <v>1.0441337986249999</v>
      </c>
      <c r="J184" s="69">
        <f t="shared" si="36"/>
        <v>1.0592737387050624</v>
      </c>
      <c r="K184" s="69">
        <f t="shared" si="37"/>
        <v>-2.8510341298569981E-3</v>
      </c>
      <c r="L184" s="69">
        <f t="shared" si="38"/>
        <v>-2.8923741247399246E-3</v>
      </c>
      <c r="M184" s="69">
        <f t="shared" ca="1" si="32"/>
        <v>-3.6085445069855941E-3</v>
      </c>
      <c r="N184" s="69">
        <f t="shared" ca="1" si="39"/>
        <v>6.3721824465217643E-7</v>
      </c>
      <c r="O184" s="146">
        <f t="shared" ca="1" si="40"/>
        <v>47106146880.110016</v>
      </c>
      <c r="P184" s="69">
        <f t="shared" ca="1" si="41"/>
        <v>149326436211.93713</v>
      </c>
      <c r="Q184" s="69">
        <f t="shared" ca="1" si="42"/>
        <v>11839869936.218597</v>
      </c>
      <c r="R184" s="45">
        <f t="shared" ca="1" si="33"/>
        <v>7.9825950959082001E-4</v>
      </c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</row>
    <row r="185" spans="1:35" x14ac:dyDescent="0.2">
      <c r="A185" s="156">
        <v>10162</v>
      </c>
      <c r="B185" s="156">
        <v>-1.304514599905815E-2</v>
      </c>
      <c r="C185" s="74">
        <v>1</v>
      </c>
      <c r="D185" s="75">
        <f t="shared" si="30"/>
        <v>1.0162</v>
      </c>
      <c r="E185" s="75">
        <f t="shared" si="30"/>
        <v>-1.304514599905815E-2</v>
      </c>
      <c r="F185" s="69">
        <f t="shared" si="31"/>
        <v>1.0162</v>
      </c>
      <c r="G185" s="69">
        <f t="shared" si="31"/>
        <v>-1.304514599905815E-2</v>
      </c>
      <c r="H185" s="69">
        <f t="shared" si="34"/>
        <v>1.03266244</v>
      </c>
      <c r="I185" s="69">
        <f t="shared" si="35"/>
        <v>1.049391571528</v>
      </c>
      <c r="J185" s="69">
        <f t="shared" si="36"/>
        <v>1.0663917149867537</v>
      </c>
      <c r="K185" s="69">
        <f t="shared" si="37"/>
        <v>-1.3256477364242892E-2</v>
      </c>
      <c r="L185" s="69">
        <f t="shared" si="38"/>
        <v>-1.3471232297543627E-2</v>
      </c>
      <c r="M185" s="69">
        <f t="shared" ca="1" si="32"/>
        <v>-3.6077599803915231E-3</v>
      </c>
      <c r="N185" s="69">
        <f t="shared" ca="1" si="39"/>
        <v>8.906425486532432E-5</v>
      </c>
      <c r="O185" s="146">
        <f t="shared" ca="1" si="40"/>
        <v>47043000455.082321</v>
      </c>
      <c r="P185" s="69">
        <f t="shared" ca="1" si="41"/>
        <v>149967716345.39618</v>
      </c>
      <c r="Q185" s="69">
        <f t="shared" ca="1" si="42"/>
        <v>11911277117.787392</v>
      </c>
      <c r="R185" s="45">
        <f t="shared" ca="1" si="33"/>
        <v>-9.4373860186666263E-3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</row>
    <row r="186" spans="1:35" x14ac:dyDescent="0.2">
      <c r="A186" s="157">
        <v>10441</v>
      </c>
      <c r="B186" s="157">
        <v>4.2815470005734824E-3</v>
      </c>
      <c r="C186" s="74">
        <v>1</v>
      </c>
      <c r="D186" s="75">
        <f t="shared" si="30"/>
        <v>1.0441</v>
      </c>
      <c r="E186" s="75">
        <f t="shared" si="30"/>
        <v>4.2815470005734824E-3</v>
      </c>
      <c r="F186" s="69">
        <f t="shared" si="31"/>
        <v>1.0441</v>
      </c>
      <c r="G186" s="69">
        <f t="shared" si="31"/>
        <v>4.2815470005734824E-3</v>
      </c>
      <c r="H186" s="69">
        <f t="shared" si="34"/>
        <v>1.09014481</v>
      </c>
      <c r="I186" s="69">
        <f t="shared" si="35"/>
        <v>1.1382201961209999</v>
      </c>
      <c r="J186" s="69">
        <f t="shared" si="36"/>
        <v>1.1884157067699361</v>
      </c>
      <c r="K186" s="69">
        <f t="shared" si="37"/>
        <v>4.4703632232987733E-3</v>
      </c>
      <c r="L186" s="69">
        <f t="shared" si="38"/>
        <v>4.6675062414462494E-3</v>
      </c>
      <c r="M186" s="69">
        <f t="shared" ca="1" si="32"/>
        <v>-3.5931276375428763E-3</v>
      </c>
      <c r="N186" s="69">
        <f t="shared" ca="1" si="39"/>
        <v>6.2010500656193001E-5</v>
      </c>
      <c r="O186" s="146">
        <f t="shared" ca="1" si="40"/>
        <v>45998830922.797394</v>
      </c>
      <c r="P186" s="69">
        <f t="shared" ca="1" si="41"/>
        <v>160754186263.46057</v>
      </c>
      <c r="Q186" s="69">
        <f t="shared" ca="1" si="42"/>
        <v>13122591939.664967</v>
      </c>
      <c r="R186" s="45">
        <f t="shared" ca="1" si="33"/>
        <v>7.8746746381163583E-3</v>
      </c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</row>
    <row r="187" spans="1:35" x14ac:dyDescent="0.2">
      <c r="A187" s="157">
        <v>10441.5</v>
      </c>
      <c r="B187" s="157">
        <v>-4.5424194977385923E-3</v>
      </c>
      <c r="C187" s="74">
        <v>1</v>
      </c>
      <c r="D187" s="75">
        <f t="shared" si="30"/>
        <v>1.0441499999999999</v>
      </c>
      <c r="E187" s="75">
        <f t="shared" si="30"/>
        <v>-4.5424194977385923E-3</v>
      </c>
      <c r="F187" s="69">
        <f t="shared" si="31"/>
        <v>1.0441499999999999</v>
      </c>
      <c r="G187" s="69">
        <f t="shared" si="31"/>
        <v>-4.5424194977385923E-3</v>
      </c>
      <c r="H187" s="69">
        <f t="shared" si="34"/>
        <v>1.0902492224999998</v>
      </c>
      <c r="I187" s="69">
        <f t="shared" si="35"/>
        <v>1.1383837256733746</v>
      </c>
      <c r="J187" s="69">
        <f t="shared" si="36"/>
        <v>1.1886433671618541</v>
      </c>
      <c r="K187" s="69">
        <f t="shared" si="37"/>
        <v>-4.7429673185637507E-3</v>
      </c>
      <c r="L187" s="69">
        <f t="shared" si="38"/>
        <v>-4.9523693256783401E-3</v>
      </c>
      <c r="M187" s="69">
        <f t="shared" ca="1" si="32"/>
        <v>-3.5930984416901721E-3</v>
      </c>
      <c r="N187" s="69">
        <f t="shared" ca="1" si="39"/>
        <v>9.0121046745688767E-7</v>
      </c>
      <c r="O187" s="146">
        <f t="shared" ca="1" si="40"/>
        <v>45996946690.719498</v>
      </c>
      <c r="P187" s="69">
        <f t="shared" ca="1" si="41"/>
        <v>160773964126.11728</v>
      </c>
      <c r="Q187" s="69">
        <f t="shared" ca="1" si="42"/>
        <v>13124830164.472374</v>
      </c>
      <c r="R187" s="45">
        <f t="shared" ca="1" si="33"/>
        <v>-9.4932105604842018E-4</v>
      </c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</row>
    <row r="188" spans="1:35" x14ac:dyDescent="0.2">
      <c r="A188" s="74"/>
      <c r="B188" s="74"/>
      <c r="C188" s="74"/>
      <c r="D188" s="75"/>
      <c r="E188" s="75"/>
      <c r="F188" s="69"/>
      <c r="G188" s="69"/>
      <c r="H188" s="69"/>
      <c r="I188" s="69"/>
      <c r="J188" s="69"/>
      <c r="K188" s="69"/>
      <c r="L188" s="69"/>
      <c r="M188" s="69"/>
      <c r="N188" s="69"/>
      <c r="O188" s="146"/>
      <c r="P188" s="69"/>
      <c r="Q188" s="69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</row>
    <row r="189" spans="1:35" x14ac:dyDescent="0.2">
      <c r="A189" s="74"/>
      <c r="B189" s="74"/>
      <c r="C189" s="74"/>
      <c r="D189" s="75"/>
      <c r="E189" s="75"/>
      <c r="F189" s="69"/>
      <c r="G189" s="69"/>
      <c r="H189" s="69"/>
      <c r="I189" s="69"/>
      <c r="J189" s="69"/>
      <c r="K189" s="69"/>
      <c r="L189" s="69"/>
      <c r="M189" s="69"/>
      <c r="N189" s="69"/>
      <c r="O189" s="146"/>
      <c r="P189" s="69"/>
      <c r="Q189" s="69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</row>
    <row r="190" spans="1:35" x14ac:dyDescent="0.2">
      <c r="A190" s="74"/>
      <c r="B190" s="74"/>
      <c r="C190" s="74"/>
      <c r="D190" s="75"/>
      <c r="E190" s="75"/>
      <c r="F190" s="69"/>
      <c r="G190" s="69"/>
      <c r="H190" s="69"/>
      <c r="I190" s="69"/>
      <c r="J190" s="69"/>
      <c r="K190" s="69"/>
      <c r="L190" s="69"/>
      <c r="M190" s="69"/>
      <c r="N190" s="69"/>
      <c r="O190" s="146"/>
      <c r="P190" s="69"/>
      <c r="Q190" s="69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</row>
    <row r="191" spans="1:35" x14ac:dyDescent="0.2">
      <c r="A191" s="74"/>
      <c r="B191" s="74"/>
      <c r="C191" s="74"/>
      <c r="D191" s="75"/>
      <c r="E191" s="75"/>
      <c r="F191" s="69"/>
      <c r="G191" s="69"/>
      <c r="H191" s="69"/>
      <c r="I191" s="69"/>
      <c r="J191" s="69"/>
      <c r="K191" s="69"/>
      <c r="L191" s="69"/>
      <c r="M191" s="69"/>
      <c r="N191" s="69"/>
      <c r="O191" s="146"/>
      <c r="P191" s="69"/>
      <c r="Q191" s="69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</row>
    <row r="192" spans="1:35" x14ac:dyDescent="0.2">
      <c r="A192" s="74"/>
      <c r="B192" s="74"/>
      <c r="C192" s="74"/>
      <c r="D192" s="75"/>
      <c r="E192" s="75"/>
      <c r="F192" s="69"/>
      <c r="G192" s="69"/>
      <c r="H192" s="69"/>
      <c r="I192" s="69"/>
      <c r="J192" s="69"/>
      <c r="K192" s="69"/>
      <c r="L192" s="69"/>
      <c r="M192" s="69"/>
      <c r="N192" s="69"/>
      <c r="O192" s="146"/>
      <c r="P192" s="69"/>
      <c r="Q192" s="69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</row>
    <row r="193" spans="1:35" x14ac:dyDescent="0.2">
      <c r="A193" s="74"/>
      <c r="B193" s="74"/>
      <c r="C193" s="74"/>
      <c r="D193" s="75"/>
      <c r="E193" s="75"/>
      <c r="F193" s="69"/>
      <c r="G193" s="69"/>
      <c r="H193" s="69"/>
      <c r="I193" s="69"/>
      <c r="J193" s="69"/>
      <c r="K193" s="69"/>
      <c r="L193" s="69"/>
      <c r="M193" s="69"/>
      <c r="N193" s="69"/>
      <c r="O193" s="146"/>
      <c r="P193" s="69"/>
      <c r="Q193" s="69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</row>
    <row r="194" spans="1:35" x14ac:dyDescent="0.2">
      <c r="A194" s="74"/>
      <c r="B194" s="74"/>
      <c r="C194" s="74"/>
      <c r="D194" s="75"/>
      <c r="E194" s="75"/>
      <c r="F194" s="69"/>
      <c r="G194" s="69"/>
      <c r="H194" s="69"/>
      <c r="I194" s="69"/>
      <c r="J194" s="69"/>
      <c r="K194" s="69"/>
      <c r="L194" s="69"/>
      <c r="M194" s="69"/>
      <c r="N194" s="69"/>
      <c r="O194" s="146"/>
      <c r="P194" s="69"/>
      <c r="Q194" s="69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</row>
    <row r="195" spans="1:35" x14ac:dyDescent="0.2">
      <c r="A195" s="74"/>
      <c r="B195" s="74"/>
      <c r="C195" s="74"/>
      <c r="D195" s="75"/>
      <c r="E195" s="75"/>
      <c r="F195" s="69"/>
      <c r="G195" s="69"/>
      <c r="H195" s="69"/>
      <c r="I195" s="69"/>
      <c r="J195" s="69"/>
      <c r="K195" s="69"/>
      <c r="L195" s="69"/>
      <c r="M195" s="69"/>
      <c r="N195" s="69"/>
      <c r="O195" s="146"/>
      <c r="P195" s="69"/>
      <c r="Q195" s="69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</row>
    <row r="196" spans="1:35" x14ac:dyDescent="0.2">
      <c r="A196" s="74"/>
      <c r="B196" s="74"/>
      <c r="C196" s="74"/>
      <c r="D196" s="75"/>
      <c r="E196" s="75"/>
      <c r="F196" s="69"/>
      <c r="G196" s="69"/>
      <c r="H196" s="69"/>
      <c r="I196" s="69"/>
      <c r="J196" s="69"/>
      <c r="K196" s="69"/>
      <c r="L196" s="69"/>
      <c r="M196" s="69"/>
      <c r="N196" s="69"/>
      <c r="O196" s="146"/>
      <c r="P196" s="69"/>
      <c r="Q196" s="69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</row>
    <row r="197" spans="1:35" x14ac:dyDescent="0.2">
      <c r="A197" s="74"/>
      <c r="B197" s="74"/>
      <c r="C197" s="74"/>
      <c r="D197" s="75"/>
      <c r="E197" s="75"/>
      <c r="F197" s="69"/>
      <c r="G197" s="69"/>
      <c r="H197" s="69"/>
      <c r="I197" s="69"/>
      <c r="J197" s="69"/>
      <c r="K197" s="69"/>
      <c r="L197" s="69"/>
      <c r="M197" s="69"/>
      <c r="N197" s="69"/>
      <c r="O197" s="146"/>
      <c r="P197" s="69"/>
      <c r="Q197" s="69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</row>
    <row r="198" spans="1:35" x14ac:dyDescent="0.2">
      <c r="A198" s="74"/>
      <c r="B198" s="74"/>
      <c r="C198" s="74"/>
      <c r="D198" s="75"/>
      <c r="E198" s="75"/>
      <c r="F198" s="69"/>
      <c r="G198" s="69"/>
      <c r="H198" s="69"/>
      <c r="I198" s="69"/>
      <c r="J198" s="69"/>
      <c r="K198" s="69"/>
      <c r="L198" s="69"/>
      <c r="M198" s="69"/>
      <c r="N198" s="69"/>
      <c r="O198" s="146"/>
      <c r="P198" s="69"/>
      <c r="Q198" s="69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</row>
    <row r="199" spans="1:35" x14ac:dyDescent="0.2">
      <c r="A199" s="157"/>
      <c r="B199" s="157"/>
      <c r="C199" s="74"/>
      <c r="D199" s="75"/>
      <c r="E199" s="75"/>
      <c r="F199" s="69"/>
      <c r="G199" s="69"/>
      <c r="H199" s="69"/>
      <c r="I199" s="69"/>
      <c r="J199" s="69"/>
      <c r="K199" s="69"/>
      <c r="L199" s="69"/>
      <c r="M199" s="69"/>
      <c r="N199" s="69"/>
      <c r="O199" s="146"/>
      <c r="P199" s="69"/>
      <c r="Q199" s="69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</row>
    <row r="200" spans="1:35" x14ac:dyDescent="0.2">
      <c r="A200" s="157"/>
      <c r="B200" s="157"/>
      <c r="C200" s="74"/>
      <c r="D200" s="75"/>
      <c r="E200" s="75"/>
      <c r="F200" s="69"/>
      <c r="G200" s="69"/>
      <c r="H200" s="69"/>
      <c r="I200" s="69"/>
      <c r="J200" s="69"/>
      <c r="K200" s="69"/>
      <c r="L200" s="69"/>
      <c r="M200" s="69"/>
      <c r="N200" s="69"/>
      <c r="O200" s="146"/>
      <c r="P200" s="69"/>
      <c r="Q200" s="69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</row>
    <row r="201" spans="1:35" x14ac:dyDescent="0.2">
      <c r="A201" s="157"/>
      <c r="B201" s="157"/>
      <c r="C201" s="74"/>
      <c r="D201" s="75"/>
      <c r="E201" s="75"/>
      <c r="F201" s="69"/>
      <c r="G201" s="69"/>
      <c r="H201" s="69"/>
      <c r="I201" s="69"/>
      <c r="J201" s="69"/>
      <c r="K201" s="69"/>
      <c r="L201" s="69"/>
      <c r="M201" s="69"/>
      <c r="N201" s="69"/>
      <c r="O201" s="146"/>
      <c r="P201" s="69"/>
      <c r="Q201" s="69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</row>
    <row r="202" spans="1:35" x14ac:dyDescent="0.2">
      <c r="A202" s="157"/>
      <c r="B202" s="157"/>
      <c r="C202" s="74"/>
      <c r="D202" s="75"/>
      <c r="E202" s="75"/>
      <c r="F202" s="69"/>
      <c r="G202" s="69"/>
      <c r="H202" s="69"/>
      <c r="I202" s="69"/>
      <c r="J202" s="69"/>
      <c r="K202" s="69"/>
      <c r="L202" s="69"/>
      <c r="M202" s="69"/>
      <c r="N202" s="69"/>
      <c r="O202" s="146"/>
      <c r="P202" s="69"/>
      <c r="Q202" s="69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</row>
    <row r="203" spans="1:35" x14ac:dyDescent="0.2">
      <c r="A203" s="157"/>
      <c r="B203" s="157"/>
      <c r="C203" s="74"/>
      <c r="D203" s="75"/>
      <c r="E203" s="75"/>
      <c r="F203" s="69"/>
      <c r="G203" s="69"/>
      <c r="H203" s="69"/>
      <c r="I203" s="69"/>
      <c r="J203" s="69"/>
      <c r="K203" s="69"/>
      <c r="L203" s="69"/>
      <c r="M203" s="69"/>
      <c r="N203" s="69"/>
      <c r="O203" s="146"/>
      <c r="P203" s="69"/>
      <c r="Q203" s="69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</row>
    <row r="204" spans="1:35" x14ac:dyDescent="0.2">
      <c r="A204" s="157"/>
      <c r="B204" s="157"/>
      <c r="C204" s="74"/>
      <c r="D204" s="75"/>
      <c r="E204" s="75"/>
      <c r="F204" s="69"/>
      <c r="G204" s="69"/>
      <c r="H204" s="69"/>
      <c r="I204" s="69"/>
      <c r="J204" s="69"/>
      <c r="K204" s="69"/>
      <c r="L204" s="69"/>
      <c r="M204" s="69"/>
      <c r="N204" s="69"/>
      <c r="O204" s="146"/>
      <c r="P204" s="69"/>
      <c r="Q204" s="69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</row>
    <row r="205" spans="1:35" x14ac:dyDescent="0.2">
      <c r="A205" s="157"/>
      <c r="B205" s="157"/>
      <c r="C205" s="74"/>
      <c r="D205" s="75"/>
      <c r="E205" s="75"/>
      <c r="F205" s="69"/>
      <c r="G205" s="69"/>
      <c r="H205" s="69"/>
      <c r="I205" s="69"/>
      <c r="J205" s="69"/>
      <c r="K205" s="69"/>
      <c r="L205" s="69"/>
      <c r="M205" s="69"/>
      <c r="N205" s="69"/>
      <c r="O205" s="146"/>
      <c r="P205" s="69"/>
      <c r="Q205" s="69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</row>
    <row r="206" spans="1:35" x14ac:dyDescent="0.2">
      <c r="A206" s="157"/>
      <c r="B206" s="157"/>
      <c r="C206" s="74"/>
      <c r="D206" s="75"/>
      <c r="E206" s="75"/>
      <c r="F206" s="69"/>
      <c r="G206" s="69"/>
      <c r="H206" s="69"/>
      <c r="I206" s="69"/>
      <c r="J206" s="69"/>
      <c r="K206" s="69"/>
      <c r="L206" s="69"/>
      <c r="M206" s="69"/>
      <c r="N206" s="69"/>
      <c r="O206" s="146"/>
      <c r="P206" s="69"/>
      <c r="Q206" s="69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</row>
    <row r="207" spans="1:35" x14ac:dyDescent="0.2">
      <c r="A207" s="157"/>
      <c r="B207" s="157"/>
      <c r="C207" s="74"/>
      <c r="D207" s="75"/>
      <c r="E207" s="75"/>
      <c r="F207" s="69"/>
      <c r="G207" s="69"/>
      <c r="H207" s="69"/>
      <c r="I207" s="69"/>
      <c r="J207" s="69"/>
      <c r="K207" s="69"/>
      <c r="L207" s="69"/>
      <c r="M207" s="69"/>
      <c r="N207" s="69"/>
      <c r="O207" s="146"/>
      <c r="P207" s="69"/>
      <c r="Q207" s="69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</row>
    <row r="208" spans="1:35" x14ac:dyDescent="0.2">
      <c r="A208" s="157"/>
      <c r="B208" s="157"/>
      <c r="C208" s="74"/>
      <c r="D208" s="75"/>
      <c r="E208" s="75"/>
      <c r="F208" s="69"/>
      <c r="G208" s="69"/>
      <c r="H208" s="69"/>
      <c r="I208" s="69"/>
      <c r="J208" s="69"/>
      <c r="K208" s="69"/>
      <c r="L208" s="69"/>
      <c r="M208" s="69"/>
      <c r="N208" s="69"/>
      <c r="O208" s="146"/>
      <c r="P208" s="69"/>
      <c r="Q208" s="69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</row>
    <row r="209" spans="1:35" x14ac:dyDescent="0.2">
      <c r="A209" s="157"/>
      <c r="B209" s="157"/>
      <c r="C209" s="74"/>
      <c r="D209" s="75"/>
      <c r="E209" s="75"/>
      <c r="F209" s="69"/>
      <c r="G209" s="69"/>
      <c r="H209" s="69"/>
      <c r="I209" s="69"/>
      <c r="J209" s="69"/>
      <c r="K209" s="69"/>
      <c r="L209" s="69"/>
      <c r="M209" s="69"/>
      <c r="N209" s="69"/>
      <c r="O209" s="146"/>
      <c r="P209" s="69"/>
      <c r="Q209" s="69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</row>
    <row r="210" spans="1:35" x14ac:dyDescent="0.2">
      <c r="A210" s="157"/>
      <c r="B210" s="157"/>
      <c r="C210" s="74"/>
      <c r="D210" s="75"/>
      <c r="E210" s="75"/>
      <c r="F210" s="69"/>
      <c r="G210" s="69"/>
      <c r="H210" s="69"/>
      <c r="I210" s="69"/>
      <c r="J210" s="69"/>
      <c r="K210" s="69"/>
      <c r="L210" s="69"/>
      <c r="M210" s="69"/>
      <c r="N210" s="69"/>
      <c r="O210" s="146"/>
      <c r="P210" s="69"/>
      <c r="Q210" s="69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</row>
    <row r="211" spans="1:35" x14ac:dyDescent="0.2">
      <c r="A211" s="157"/>
      <c r="B211" s="157"/>
      <c r="C211" s="74"/>
      <c r="D211" s="75"/>
      <c r="E211" s="75"/>
      <c r="F211" s="69"/>
      <c r="G211" s="69"/>
      <c r="H211" s="69"/>
      <c r="I211" s="69"/>
      <c r="J211" s="69"/>
      <c r="K211" s="69"/>
      <c r="L211" s="69"/>
      <c r="M211" s="69"/>
      <c r="N211" s="69"/>
      <c r="O211" s="146"/>
      <c r="P211" s="69"/>
      <c r="Q211" s="69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</row>
    <row r="212" spans="1:35" x14ac:dyDescent="0.2">
      <c r="A212" s="157"/>
      <c r="B212" s="157"/>
      <c r="C212" s="74"/>
      <c r="D212" s="75"/>
      <c r="E212" s="75"/>
      <c r="F212" s="69"/>
      <c r="G212" s="69"/>
      <c r="H212" s="69"/>
      <c r="I212" s="69"/>
      <c r="J212" s="69"/>
      <c r="K212" s="69"/>
      <c r="L212" s="69"/>
      <c r="M212" s="69"/>
      <c r="N212" s="69"/>
      <c r="O212" s="146"/>
      <c r="P212" s="69"/>
      <c r="Q212" s="69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  <row r="213" spans="1:35" x14ac:dyDescent="0.2">
      <c r="A213" s="157"/>
      <c r="B213" s="157"/>
      <c r="C213" s="74"/>
      <c r="D213" s="75"/>
      <c r="E213" s="75"/>
      <c r="F213" s="69"/>
      <c r="G213" s="69"/>
      <c r="H213" s="69"/>
      <c r="I213" s="69"/>
      <c r="J213" s="69"/>
      <c r="K213" s="69"/>
      <c r="L213" s="69"/>
      <c r="M213" s="69"/>
      <c r="N213" s="69"/>
      <c r="O213" s="146"/>
      <c r="P213" s="69"/>
      <c r="Q213" s="69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</row>
    <row r="214" spans="1:35" x14ac:dyDescent="0.2">
      <c r="A214" s="157"/>
      <c r="B214" s="157"/>
      <c r="C214" s="74"/>
      <c r="D214" s="75"/>
      <c r="E214" s="75"/>
      <c r="F214" s="69"/>
      <c r="G214" s="69"/>
      <c r="H214" s="69"/>
      <c r="I214" s="69"/>
      <c r="J214" s="69"/>
      <c r="K214" s="69"/>
      <c r="L214" s="69"/>
      <c r="M214" s="69"/>
      <c r="N214" s="69"/>
      <c r="O214" s="146"/>
      <c r="P214" s="69"/>
      <c r="Q214" s="69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</row>
    <row r="215" spans="1:35" x14ac:dyDescent="0.2">
      <c r="A215" s="157"/>
      <c r="B215" s="157"/>
      <c r="C215" s="74"/>
      <c r="D215" s="75"/>
      <c r="E215" s="75"/>
      <c r="F215" s="69"/>
      <c r="G215" s="69"/>
      <c r="H215" s="69"/>
      <c r="I215" s="69"/>
      <c r="J215" s="69"/>
      <c r="K215" s="69"/>
      <c r="L215" s="69"/>
      <c r="M215" s="69"/>
      <c r="N215" s="69"/>
      <c r="O215" s="146"/>
      <c r="P215" s="69"/>
      <c r="Q215" s="69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:35" x14ac:dyDescent="0.2">
      <c r="A216" s="157"/>
      <c r="B216" s="157"/>
      <c r="C216" s="74"/>
      <c r="D216" s="75"/>
      <c r="E216" s="75"/>
      <c r="F216" s="69"/>
      <c r="G216" s="69"/>
      <c r="H216" s="69"/>
      <c r="I216" s="69"/>
      <c r="J216" s="69"/>
      <c r="K216" s="69"/>
      <c r="L216" s="69"/>
      <c r="M216" s="69"/>
      <c r="N216" s="69"/>
      <c r="O216" s="146"/>
      <c r="P216" s="69"/>
      <c r="Q216" s="69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</row>
    <row r="217" spans="1:35" x14ac:dyDescent="0.2">
      <c r="A217" s="157"/>
      <c r="B217" s="157"/>
      <c r="C217" s="74"/>
      <c r="D217" s="75"/>
      <c r="E217" s="75"/>
      <c r="F217" s="69"/>
      <c r="G217" s="69"/>
      <c r="H217" s="69"/>
      <c r="I217" s="69"/>
      <c r="J217" s="69"/>
      <c r="K217" s="69"/>
      <c r="L217" s="69"/>
      <c r="M217" s="69"/>
      <c r="N217" s="69"/>
      <c r="O217" s="146"/>
      <c r="P217" s="69"/>
      <c r="Q217" s="69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</row>
    <row r="218" spans="1:35" x14ac:dyDescent="0.2">
      <c r="A218" s="157"/>
      <c r="B218" s="157"/>
      <c r="C218" s="74"/>
      <c r="D218" s="75"/>
      <c r="E218" s="75"/>
      <c r="F218" s="69"/>
      <c r="G218" s="69"/>
      <c r="H218" s="69"/>
      <c r="I218" s="69"/>
      <c r="J218" s="69"/>
      <c r="K218" s="69"/>
      <c r="L218" s="69"/>
      <c r="M218" s="69"/>
      <c r="N218" s="69"/>
      <c r="O218" s="146"/>
      <c r="P218" s="69"/>
      <c r="Q218" s="69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  <row r="219" spans="1:35" x14ac:dyDescent="0.2">
      <c r="A219" s="157"/>
      <c r="B219" s="157"/>
      <c r="C219" s="74"/>
      <c r="D219" s="75"/>
      <c r="E219" s="75"/>
      <c r="F219" s="69"/>
      <c r="G219" s="69"/>
      <c r="H219" s="69"/>
      <c r="I219" s="69"/>
      <c r="J219" s="69"/>
      <c r="K219" s="69"/>
      <c r="L219" s="69"/>
      <c r="M219" s="69"/>
      <c r="N219" s="69"/>
      <c r="O219" s="146"/>
      <c r="P219" s="69"/>
      <c r="Q219" s="69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</row>
    <row r="220" spans="1:35" x14ac:dyDescent="0.2">
      <c r="A220" s="157"/>
      <c r="B220" s="157"/>
      <c r="C220" s="74"/>
      <c r="D220" s="75"/>
      <c r="E220" s="75"/>
      <c r="F220" s="69"/>
      <c r="G220" s="69"/>
      <c r="H220" s="69"/>
      <c r="I220" s="69"/>
      <c r="J220" s="69"/>
      <c r="K220" s="69"/>
      <c r="L220" s="69"/>
      <c r="M220" s="69"/>
      <c r="N220" s="69"/>
      <c r="O220" s="146"/>
      <c r="P220" s="69"/>
      <c r="Q220" s="69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:35" x14ac:dyDescent="0.2">
      <c r="A221" s="157"/>
      <c r="B221" s="157"/>
      <c r="C221" s="74"/>
      <c r="D221" s="75"/>
      <c r="E221" s="75"/>
      <c r="F221" s="69"/>
      <c r="G221" s="69"/>
      <c r="H221" s="69"/>
      <c r="I221" s="69"/>
      <c r="J221" s="69"/>
      <c r="K221" s="69"/>
      <c r="L221" s="69"/>
      <c r="M221" s="69"/>
      <c r="N221" s="69"/>
      <c r="O221" s="146"/>
      <c r="P221" s="69"/>
      <c r="Q221" s="69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:35" x14ac:dyDescent="0.2">
      <c r="A222" s="157"/>
      <c r="B222" s="157"/>
      <c r="C222" s="74"/>
      <c r="D222" s="75"/>
      <c r="E222" s="75"/>
      <c r="F222" s="69"/>
      <c r="G222" s="69"/>
      <c r="H222" s="69"/>
      <c r="I222" s="69"/>
      <c r="J222" s="69"/>
      <c r="K222" s="69"/>
      <c r="L222" s="69"/>
      <c r="M222" s="69"/>
      <c r="N222" s="69"/>
      <c r="O222" s="146"/>
      <c r="P222" s="69"/>
      <c r="Q222" s="69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:35" x14ac:dyDescent="0.2">
      <c r="A223" s="157"/>
      <c r="B223" s="157"/>
      <c r="C223" s="74"/>
      <c r="D223" s="75"/>
      <c r="E223" s="75"/>
      <c r="F223" s="69"/>
      <c r="G223" s="69"/>
      <c r="H223" s="69"/>
      <c r="I223" s="69"/>
      <c r="J223" s="69"/>
      <c r="K223" s="69"/>
      <c r="L223" s="69"/>
      <c r="M223" s="69"/>
      <c r="N223" s="69"/>
      <c r="O223" s="146"/>
      <c r="P223" s="69"/>
      <c r="Q223" s="69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</row>
    <row r="224" spans="1:35" x14ac:dyDescent="0.2">
      <c r="A224" s="157"/>
      <c r="B224" s="157"/>
      <c r="C224" s="74"/>
      <c r="D224" s="75"/>
      <c r="E224" s="75"/>
      <c r="F224" s="69"/>
      <c r="G224" s="69"/>
      <c r="H224" s="69"/>
      <c r="I224" s="69"/>
      <c r="J224" s="69"/>
      <c r="K224" s="69"/>
      <c r="L224" s="69"/>
      <c r="M224" s="69"/>
      <c r="N224" s="69"/>
      <c r="O224" s="146"/>
      <c r="P224" s="69"/>
      <c r="Q224" s="69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</row>
    <row r="225" spans="1:35" x14ac:dyDescent="0.2">
      <c r="A225" s="157"/>
      <c r="B225" s="157"/>
      <c r="C225" s="157"/>
      <c r="D225" s="75"/>
      <c r="E225" s="75"/>
      <c r="F225" s="69"/>
      <c r="G225" s="69"/>
      <c r="H225" s="69"/>
      <c r="I225" s="69"/>
      <c r="J225" s="69"/>
      <c r="K225" s="69"/>
      <c r="L225" s="69"/>
      <c r="M225" s="69"/>
      <c r="N225" s="69"/>
      <c r="O225" s="146"/>
      <c r="P225" s="69"/>
      <c r="Q225" s="69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</row>
    <row r="226" spans="1:35" x14ac:dyDescent="0.2">
      <c r="A226" s="157"/>
      <c r="B226" s="157"/>
      <c r="C226" s="157"/>
      <c r="D226" s="75"/>
      <c r="E226" s="75"/>
      <c r="F226" s="69"/>
      <c r="G226" s="69"/>
      <c r="H226" s="69"/>
      <c r="I226" s="69"/>
      <c r="J226" s="69"/>
      <c r="K226" s="69"/>
      <c r="L226" s="69"/>
      <c r="M226" s="69"/>
      <c r="N226" s="69"/>
      <c r="O226" s="146"/>
      <c r="P226" s="69"/>
      <c r="Q226" s="69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</row>
    <row r="227" spans="1:35" x14ac:dyDescent="0.2">
      <c r="A227" s="157"/>
      <c r="B227" s="157"/>
      <c r="C227" s="157"/>
      <c r="D227" s="75"/>
      <c r="E227" s="75"/>
      <c r="F227" s="69"/>
      <c r="G227" s="69"/>
      <c r="H227" s="69"/>
      <c r="I227" s="69"/>
      <c r="J227" s="69"/>
      <c r="K227" s="69"/>
      <c r="L227" s="69"/>
      <c r="M227" s="69"/>
      <c r="N227" s="69"/>
      <c r="O227" s="146"/>
      <c r="P227" s="69"/>
      <c r="Q227" s="69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</row>
    <row r="228" spans="1:35" x14ac:dyDescent="0.2">
      <c r="A228" s="157"/>
      <c r="B228" s="157"/>
      <c r="C228" s="157"/>
      <c r="D228" s="75"/>
      <c r="E228" s="75"/>
      <c r="F228" s="69"/>
      <c r="G228" s="69"/>
      <c r="H228" s="69"/>
      <c r="I228" s="69"/>
      <c r="J228" s="69"/>
      <c r="K228" s="69"/>
      <c r="L228" s="69"/>
      <c r="M228" s="69"/>
      <c r="N228" s="69"/>
      <c r="O228" s="146"/>
      <c r="P228" s="69"/>
      <c r="Q228" s="69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</row>
    <row r="229" spans="1:35" x14ac:dyDescent="0.2">
      <c r="A229" s="157"/>
      <c r="B229" s="157"/>
      <c r="C229" s="157"/>
      <c r="D229" s="75"/>
      <c r="E229" s="75"/>
      <c r="F229" s="69"/>
      <c r="G229" s="69"/>
      <c r="H229" s="69"/>
      <c r="I229" s="69"/>
      <c r="J229" s="69"/>
      <c r="K229" s="69"/>
      <c r="L229" s="69"/>
      <c r="M229" s="69"/>
      <c r="N229" s="69"/>
      <c r="O229" s="146"/>
      <c r="P229" s="69"/>
      <c r="Q229" s="69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</row>
    <row r="230" spans="1:35" x14ac:dyDescent="0.2">
      <c r="A230" s="157"/>
      <c r="B230" s="157"/>
      <c r="C230" s="157"/>
      <c r="D230" s="75"/>
      <c r="E230" s="75"/>
      <c r="F230" s="69"/>
      <c r="G230" s="69"/>
      <c r="H230" s="69"/>
      <c r="I230" s="69"/>
      <c r="J230" s="69"/>
      <c r="K230" s="69"/>
      <c r="L230" s="69"/>
      <c r="M230" s="69"/>
      <c r="N230" s="69"/>
      <c r="O230" s="146"/>
      <c r="P230" s="69"/>
      <c r="Q230" s="69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</row>
    <row r="231" spans="1:35" x14ac:dyDescent="0.2">
      <c r="A231" s="157"/>
      <c r="B231" s="157"/>
      <c r="C231" s="157"/>
      <c r="D231" s="75"/>
      <c r="E231" s="75"/>
      <c r="F231" s="69"/>
      <c r="G231" s="69"/>
      <c r="H231" s="69"/>
      <c r="I231" s="69"/>
      <c r="J231" s="69"/>
      <c r="K231" s="69"/>
      <c r="L231" s="69"/>
      <c r="M231" s="69"/>
      <c r="N231" s="69"/>
      <c r="O231" s="146"/>
      <c r="P231" s="69"/>
      <c r="Q231" s="69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</row>
    <row r="232" spans="1:35" x14ac:dyDescent="0.2">
      <c r="A232" s="157"/>
      <c r="B232" s="157"/>
      <c r="C232" s="157"/>
      <c r="D232" s="75"/>
      <c r="E232" s="75"/>
      <c r="F232" s="69"/>
      <c r="G232" s="69"/>
      <c r="H232" s="69"/>
      <c r="I232" s="69"/>
      <c r="J232" s="69"/>
      <c r="K232" s="69"/>
      <c r="L232" s="69"/>
      <c r="M232" s="69"/>
      <c r="N232" s="69"/>
      <c r="O232" s="146"/>
      <c r="P232" s="69"/>
      <c r="Q232" s="69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</row>
    <row r="233" spans="1:35" x14ac:dyDescent="0.2">
      <c r="A233" s="157"/>
      <c r="B233" s="157"/>
      <c r="C233" s="157"/>
      <c r="D233" s="75"/>
      <c r="E233" s="75"/>
      <c r="F233" s="69"/>
      <c r="G233" s="69"/>
      <c r="H233" s="69"/>
      <c r="I233" s="69"/>
      <c r="J233" s="69"/>
      <c r="K233" s="69"/>
      <c r="L233" s="69"/>
      <c r="M233" s="69"/>
      <c r="N233" s="69"/>
      <c r="O233" s="146"/>
      <c r="P233" s="69"/>
      <c r="Q233" s="69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</row>
    <row r="234" spans="1:35" x14ac:dyDescent="0.2">
      <c r="A234" s="157"/>
      <c r="B234" s="157"/>
      <c r="C234" s="157"/>
      <c r="D234" s="75"/>
      <c r="E234" s="75"/>
      <c r="F234" s="69"/>
      <c r="G234" s="69"/>
      <c r="H234" s="69"/>
      <c r="I234" s="69"/>
      <c r="J234" s="69"/>
      <c r="K234" s="69"/>
      <c r="L234" s="69"/>
      <c r="M234" s="69"/>
      <c r="N234" s="69"/>
      <c r="O234" s="146"/>
      <c r="P234" s="69"/>
      <c r="Q234" s="69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</row>
    <row r="235" spans="1:35" x14ac:dyDescent="0.2">
      <c r="A235" s="157"/>
      <c r="B235" s="157"/>
      <c r="C235" s="157"/>
      <c r="D235" s="75"/>
      <c r="E235" s="75"/>
      <c r="F235" s="69"/>
      <c r="G235" s="69"/>
      <c r="H235" s="69"/>
      <c r="I235" s="69"/>
      <c r="J235" s="69"/>
      <c r="K235" s="69"/>
      <c r="L235" s="69"/>
      <c r="M235" s="69"/>
      <c r="N235" s="69"/>
      <c r="O235" s="146"/>
      <c r="P235" s="69"/>
      <c r="Q235" s="69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</row>
    <row r="236" spans="1:35" x14ac:dyDescent="0.2">
      <c r="A236" s="157"/>
      <c r="B236" s="157"/>
      <c r="C236" s="157"/>
      <c r="D236" s="75"/>
      <c r="E236" s="75"/>
      <c r="F236" s="69"/>
      <c r="G236" s="69"/>
      <c r="H236" s="69"/>
      <c r="I236" s="69"/>
      <c r="J236" s="69"/>
      <c r="K236" s="69"/>
      <c r="L236" s="69"/>
      <c r="M236" s="69"/>
      <c r="N236" s="69"/>
      <c r="O236" s="146"/>
      <c r="P236" s="69"/>
      <c r="Q236" s="69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</row>
    <row r="237" spans="1:35" x14ac:dyDescent="0.2">
      <c r="A237" s="157"/>
      <c r="B237" s="157"/>
      <c r="C237" s="157"/>
      <c r="D237" s="75"/>
      <c r="E237" s="75"/>
      <c r="F237" s="69"/>
      <c r="G237" s="69"/>
      <c r="H237" s="69"/>
      <c r="I237" s="69"/>
      <c r="J237" s="69"/>
      <c r="K237" s="69"/>
      <c r="L237" s="69"/>
      <c r="M237" s="69"/>
      <c r="N237" s="69"/>
      <c r="O237" s="146"/>
      <c r="P237" s="69"/>
      <c r="Q237" s="69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</row>
    <row r="238" spans="1:35" x14ac:dyDescent="0.2">
      <c r="A238" s="157"/>
      <c r="B238" s="157"/>
      <c r="C238" s="157"/>
      <c r="D238" s="75"/>
      <c r="E238" s="75"/>
      <c r="F238" s="69"/>
      <c r="G238" s="69"/>
      <c r="H238" s="69"/>
      <c r="I238" s="69"/>
      <c r="J238" s="69"/>
      <c r="K238" s="69"/>
      <c r="L238" s="69"/>
      <c r="M238" s="69"/>
      <c r="N238" s="69"/>
      <c r="O238" s="146"/>
      <c r="P238" s="69"/>
      <c r="Q238" s="69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</row>
    <row r="239" spans="1:35" x14ac:dyDescent="0.2">
      <c r="A239" s="157"/>
      <c r="B239" s="157"/>
      <c r="C239" s="157"/>
      <c r="D239" s="75"/>
      <c r="E239" s="75"/>
      <c r="F239" s="69"/>
      <c r="G239" s="69"/>
      <c r="H239" s="69"/>
      <c r="I239" s="69"/>
      <c r="J239" s="69"/>
      <c r="K239" s="69"/>
      <c r="L239" s="69"/>
      <c r="M239" s="69"/>
      <c r="N239" s="69"/>
      <c r="O239" s="146"/>
      <c r="P239" s="69"/>
      <c r="Q239" s="69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</row>
    <row r="240" spans="1:35" x14ac:dyDescent="0.2">
      <c r="A240" s="157"/>
      <c r="B240" s="157"/>
      <c r="C240" s="157"/>
      <c r="D240" s="75"/>
      <c r="E240" s="75"/>
      <c r="F240" s="69"/>
      <c r="G240" s="69"/>
      <c r="H240" s="69"/>
      <c r="I240" s="69"/>
      <c r="J240" s="69"/>
      <c r="K240" s="69"/>
      <c r="L240" s="69"/>
      <c r="M240" s="69"/>
      <c r="N240" s="69"/>
      <c r="O240" s="146"/>
      <c r="P240" s="69"/>
      <c r="Q240" s="69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</row>
    <row r="241" spans="1:35" x14ac:dyDescent="0.2">
      <c r="A241" s="157"/>
      <c r="B241" s="157"/>
      <c r="C241" s="157"/>
      <c r="D241" s="75"/>
      <c r="E241" s="75"/>
      <c r="F241" s="69"/>
      <c r="G241" s="69"/>
      <c r="H241" s="69"/>
      <c r="I241" s="69"/>
      <c r="J241" s="69"/>
      <c r="K241" s="69"/>
      <c r="L241" s="69"/>
      <c r="M241" s="69"/>
      <c r="N241" s="69"/>
      <c r="O241" s="146"/>
      <c r="P241" s="69"/>
      <c r="Q241" s="69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</row>
    <row r="242" spans="1:35" x14ac:dyDescent="0.2">
      <c r="A242" s="157"/>
      <c r="B242" s="157"/>
      <c r="C242" s="157"/>
      <c r="D242" s="75"/>
      <c r="E242" s="75"/>
      <c r="F242" s="69"/>
      <c r="G242" s="69"/>
      <c r="H242" s="69"/>
      <c r="I242" s="69"/>
      <c r="J242" s="69"/>
      <c r="K242" s="69"/>
      <c r="L242" s="69"/>
      <c r="M242" s="69"/>
      <c r="N242" s="69"/>
      <c r="O242" s="146"/>
      <c r="P242" s="69"/>
      <c r="Q242" s="69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</row>
    <row r="243" spans="1:35" x14ac:dyDescent="0.2">
      <c r="A243" s="157"/>
      <c r="B243" s="157"/>
      <c r="C243" s="157"/>
      <c r="D243" s="75"/>
      <c r="E243" s="75"/>
      <c r="F243" s="69"/>
      <c r="G243" s="69"/>
      <c r="H243" s="69"/>
      <c r="I243" s="69"/>
      <c r="J243" s="69"/>
      <c r="K243" s="69"/>
      <c r="L243" s="69"/>
      <c r="M243" s="69"/>
      <c r="N243" s="69"/>
      <c r="O243" s="146"/>
      <c r="P243" s="69"/>
      <c r="Q243" s="69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</row>
    <row r="244" spans="1:35" x14ac:dyDescent="0.2">
      <c r="A244" s="157"/>
      <c r="B244" s="157"/>
      <c r="C244" s="157"/>
      <c r="D244" s="75"/>
      <c r="E244" s="75"/>
      <c r="F244" s="69"/>
      <c r="G244" s="69"/>
      <c r="H244" s="69"/>
      <c r="I244" s="69"/>
      <c r="J244" s="69"/>
      <c r="K244" s="69"/>
      <c r="L244" s="69"/>
      <c r="M244" s="69"/>
      <c r="N244" s="69"/>
      <c r="O244" s="146"/>
      <c r="P244" s="69"/>
      <c r="Q244" s="69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</row>
    <row r="245" spans="1:35" x14ac:dyDescent="0.2">
      <c r="A245" s="157"/>
      <c r="B245" s="157"/>
      <c r="C245" s="157"/>
      <c r="D245" s="75"/>
      <c r="E245" s="75"/>
      <c r="F245" s="69"/>
      <c r="G245" s="69"/>
      <c r="H245" s="69"/>
      <c r="I245" s="69"/>
      <c r="J245" s="69"/>
      <c r="K245" s="69"/>
      <c r="L245" s="69"/>
      <c r="M245" s="69"/>
      <c r="N245" s="69"/>
      <c r="O245" s="146"/>
      <c r="P245" s="69"/>
      <c r="Q245" s="69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</row>
    <row r="246" spans="1:35" x14ac:dyDescent="0.2">
      <c r="A246" s="157"/>
      <c r="B246" s="157"/>
      <c r="C246" s="157"/>
      <c r="D246" s="75"/>
      <c r="E246" s="75"/>
      <c r="F246" s="69"/>
      <c r="G246" s="69"/>
      <c r="H246" s="69"/>
      <c r="I246" s="69"/>
      <c r="J246" s="69"/>
      <c r="K246" s="69"/>
      <c r="L246" s="69"/>
      <c r="M246" s="69"/>
      <c r="N246" s="69"/>
      <c r="O246" s="146"/>
      <c r="P246" s="69"/>
      <c r="Q246" s="69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</row>
    <row r="247" spans="1:35" x14ac:dyDescent="0.2">
      <c r="A247" s="157"/>
      <c r="B247" s="157"/>
      <c r="C247" s="157"/>
      <c r="D247" s="75"/>
      <c r="E247" s="75"/>
      <c r="F247" s="69"/>
      <c r="G247" s="69"/>
      <c r="H247" s="69"/>
      <c r="I247" s="69"/>
      <c r="J247" s="69"/>
      <c r="K247" s="69"/>
      <c r="L247" s="69"/>
      <c r="M247" s="69"/>
      <c r="N247" s="69"/>
      <c r="O247" s="146"/>
      <c r="P247" s="69"/>
      <c r="Q247" s="69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</row>
    <row r="248" spans="1:35" x14ac:dyDescent="0.2">
      <c r="A248" s="157"/>
      <c r="B248" s="157"/>
      <c r="C248" s="157"/>
      <c r="D248" s="75"/>
      <c r="E248" s="75"/>
      <c r="F248" s="69"/>
      <c r="G248" s="69"/>
      <c r="H248" s="69"/>
      <c r="I248" s="69"/>
      <c r="J248" s="69"/>
      <c r="K248" s="69"/>
      <c r="L248" s="69"/>
      <c r="M248" s="69"/>
      <c r="N248" s="69"/>
      <c r="O248" s="146"/>
      <c r="P248" s="69"/>
      <c r="Q248" s="69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</row>
    <row r="249" spans="1:35" x14ac:dyDescent="0.2">
      <c r="A249" s="157"/>
      <c r="B249" s="157"/>
      <c r="C249" s="157"/>
      <c r="D249" s="75"/>
      <c r="E249" s="75"/>
      <c r="F249" s="69"/>
      <c r="G249" s="69"/>
      <c r="H249" s="69"/>
      <c r="I249" s="69"/>
      <c r="J249" s="69"/>
      <c r="K249" s="69"/>
      <c r="L249" s="69"/>
      <c r="M249" s="69"/>
      <c r="N249" s="69"/>
      <c r="O249" s="146"/>
      <c r="P249" s="69"/>
      <c r="Q249" s="69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</row>
    <row r="250" spans="1:35" x14ac:dyDescent="0.2">
      <c r="A250" s="157"/>
      <c r="B250" s="157"/>
      <c r="C250" s="157"/>
      <c r="D250" s="75"/>
      <c r="E250" s="75"/>
      <c r="F250" s="69"/>
      <c r="G250" s="69"/>
      <c r="H250" s="69"/>
      <c r="I250" s="69"/>
      <c r="J250" s="69"/>
      <c r="K250" s="69"/>
      <c r="L250" s="69"/>
      <c r="M250" s="69"/>
      <c r="N250" s="69"/>
      <c r="O250" s="146"/>
      <c r="P250" s="69"/>
      <c r="Q250" s="69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</row>
    <row r="251" spans="1:35" x14ac:dyDescent="0.2">
      <c r="A251" s="157"/>
      <c r="B251" s="157"/>
      <c r="C251" s="157"/>
      <c r="D251" s="75"/>
      <c r="E251" s="75"/>
      <c r="F251" s="69"/>
      <c r="G251" s="69"/>
      <c r="H251" s="69"/>
      <c r="I251" s="69"/>
      <c r="J251" s="69"/>
      <c r="K251" s="69"/>
      <c r="L251" s="69"/>
      <c r="M251" s="69"/>
      <c r="N251" s="69"/>
      <c r="O251" s="146"/>
      <c r="P251" s="69"/>
      <c r="Q251" s="69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</row>
    <row r="252" spans="1:35" x14ac:dyDescent="0.2">
      <c r="A252" s="157"/>
      <c r="B252" s="157"/>
      <c r="C252" s="157"/>
      <c r="D252" s="75"/>
      <c r="E252" s="75"/>
      <c r="F252" s="69"/>
      <c r="G252" s="69"/>
      <c r="H252" s="69"/>
      <c r="I252" s="69"/>
      <c r="J252" s="69"/>
      <c r="K252" s="69"/>
      <c r="L252" s="69"/>
      <c r="M252" s="69"/>
      <c r="N252" s="69"/>
      <c r="O252" s="146"/>
      <c r="P252" s="69"/>
      <c r="Q252" s="69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</row>
    <row r="253" spans="1:35" x14ac:dyDescent="0.2">
      <c r="A253" s="157"/>
      <c r="B253" s="157"/>
      <c r="C253" s="157"/>
      <c r="D253" s="75"/>
      <c r="E253" s="75"/>
      <c r="F253" s="69"/>
      <c r="G253" s="69"/>
      <c r="H253" s="69"/>
      <c r="I253" s="69"/>
      <c r="J253" s="69"/>
      <c r="K253" s="69"/>
      <c r="L253" s="69"/>
      <c r="M253" s="69"/>
      <c r="N253" s="69"/>
      <c r="O253" s="146"/>
      <c r="P253" s="69"/>
      <c r="Q253" s="69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</row>
    <row r="254" spans="1:35" x14ac:dyDescent="0.2">
      <c r="A254" s="157"/>
      <c r="B254" s="157"/>
      <c r="C254" s="157"/>
      <c r="D254" s="75"/>
      <c r="E254" s="75"/>
      <c r="F254" s="69"/>
      <c r="G254" s="69"/>
      <c r="H254" s="69"/>
      <c r="I254" s="69"/>
      <c r="J254" s="69"/>
      <c r="K254" s="69"/>
      <c r="L254" s="69"/>
      <c r="M254" s="69"/>
      <c r="N254" s="69"/>
      <c r="O254" s="146"/>
      <c r="P254" s="69"/>
      <c r="Q254" s="69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</row>
    <row r="255" spans="1:35" x14ac:dyDescent="0.2">
      <c r="A255" s="157"/>
      <c r="B255" s="157"/>
      <c r="C255" s="157"/>
      <c r="D255" s="75"/>
      <c r="E255" s="75"/>
      <c r="F255" s="69"/>
      <c r="G255" s="69"/>
      <c r="H255" s="69"/>
      <c r="I255" s="69"/>
      <c r="J255" s="69"/>
      <c r="K255" s="69"/>
      <c r="L255" s="69"/>
      <c r="M255" s="69"/>
      <c r="N255" s="69"/>
      <c r="O255" s="146"/>
      <c r="P255" s="69"/>
      <c r="Q255" s="69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</row>
    <row r="256" spans="1:35" x14ac:dyDescent="0.2">
      <c r="A256" s="157"/>
      <c r="B256" s="157"/>
      <c r="C256" s="157"/>
      <c r="D256" s="75"/>
      <c r="E256" s="75"/>
      <c r="F256" s="69"/>
      <c r="G256" s="69"/>
      <c r="H256" s="69"/>
      <c r="I256" s="69"/>
      <c r="J256" s="69"/>
      <c r="K256" s="69"/>
      <c r="L256" s="69"/>
      <c r="M256" s="69"/>
      <c r="N256" s="69"/>
      <c r="O256" s="146"/>
      <c r="P256" s="69"/>
      <c r="Q256" s="69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</row>
    <row r="257" spans="1:35" x14ac:dyDescent="0.2">
      <c r="A257" s="157"/>
      <c r="B257" s="157"/>
      <c r="C257" s="157"/>
      <c r="D257" s="75"/>
      <c r="E257" s="75"/>
      <c r="F257" s="69"/>
      <c r="G257" s="69"/>
      <c r="H257" s="69"/>
      <c r="I257" s="69"/>
      <c r="J257" s="69"/>
      <c r="K257" s="69"/>
      <c r="L257" s="69"/>
      <c r="M257" s="69"/>
      <c r="N257" s="69"/>
      <c r="O257" s="146"/>
      <c r="P257" s="69"/>
      <c r="Q257" s="69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</row>
    <row r="258" spans="1:35" x14ac:dyDescent="0.2">
      <c r="A258" s="157"/>
      <c r="B258" s="157"/>
      <c r="C258" s="157"/>
      <c r="D258" s="75"/>
      <c r="E258" s="75"/>
      <c r="F258" s="69"/>
      <c r="G258" s="69"/>
      <c r="H258" s="69"/>
      <c r="I258" s="69"/>
      <c r="J258" s="69"/>
      <c r="K258" s="69"/>
      <c r="L258" s="69"/>
      <c r="M258" s="69"/>
      <c r="N258" s="69"/>
      <c r="O258" s="146"/>
      <c r="P258" s="69"/>
      <c r="Q258" s="69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</row>
    <row r="259" spans="1:35" x14ac:dyDescent="0.2">
      <c r="A259" s="157"/>
      <c r="B259" s="157"/>
      <c r="C259" s="157"/>
      <c r="D259" s="75"/>
      <c r="E259" s="75"/>
      <c r="F259" s="69"/>
      <c r="G259" s="69"/>
      <c r="H259" s="69"/>
      <c r="I259" s="69"/>
      <c r="J259" s="69"/>
      <c r="K259" s="69"/>
      <c r="L259" s="69"/>
      <c r="M259" s="69"/>
      <c r="N259" s="69"/>
      <c r="O259" s="146"/>
      <c r="P259" s="69"/>
      <c r="Q259" s="69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</row>
    <row r="260" spans="1:35" x14ac:dyDescent="0.2">
      <c r="A260" s="157"/>
      <c r="B260" s="157"/>
      <c r="C260" s="157"/>
      <c r="D260" s="75"/>
      <c r="E260" s="75"/>
      <c r="F260" s="69"/>
      <c r="G260" s="69"/>
      <c r="H260" s="69"/>
      <c r="I260" s="69"/>
      <c r="J260" s="69"/>
      <c r="K260" s="69"/>
      <c r="L260" s="69"/>
      <c r="M260" s="69"/>
      <c r="N260" s="69"/>
      <c r="O260" s="146"/>
      <c r="P260" s="69"/>
      <c r="Q260" s="69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</row>
    <row r="261" spans="1:35" x14ac:dyDescent="0.2">
      <c r="A261" s="157"/>
      <c r="B261" s="157"/>
      <c r="C261" s="157"/>
      <c r="D261" s="75"/>
      <c r="E261" s="75"/>
      <c r="F261" s="69"/>
      <c r="G261" s="69"/>
      <c r="H261" s="69"/>
      <c r="I261" s="69"/>
      <c r="J261" s="69"/>
      <c r="K261" s="69"/>
      <c r="L261" s="69"/>
      <c r="M261" s="69"/>
      <c r="N261" s="69"/>
      <c r="O261" s="146"/>
      <c r="P261" s="69"/>
      <c r="Q261" s="69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</row>
    <row r="262" spans="1:35" x14ac:dyDescent="0.2">
      <c r="A262" s="157"/>
      <c r="B262" s="157"/>
      <c r="C262" s="157"/>
      <c r="D262" s="75"/>
      <c r="E262" s="75"/>
      <c r="F262" s="69"/>
      <c r="G262" s="69"/>
      <c r="H262" s="69"/>
      <c r="I262" s="69"/>
      <c r="J262" s="69"/>
      <c r="K262" s="69"/>
      <c r="L262" s="69"/>
      <c r="M262" s="69"/>
      <c r="N262" s="69"/>
      <c r="O262" s="146"/>
      <c r="P262" s="69"/>
      <c r="Q262" s="69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</row>
    <row r="263" spans="1:35" x14ac:dyDescent="0.2">
      <c r="A263" s="157"/>
      <c r="B263" s="157"/>
      <c r="C263" s="157"/>
      <c r="D263" s="75"/>
      <c r="E263" s="75"/>
      <c r="F263" s="69"/>
      <c r="G263" s="69"/>
      <c r="H263" s="69"/>
      <c r="I263" s="69"/>
      <c r="J263" s="69"/>
      <c r="K263" s="69"/>
      <c r="L263" s="69"/>
      <c r="M263" s="69"/>
      <c r="N263" s="69"/>
      <c r="O263" s="146"/>
      <c r="P263" s="69"/>
      <c r="Q263" s="69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</row>
    <row r="264" spans="1:35" x14ac:dyDescent="0.2">
      <c r="A264" s="157"/>
      <c r="B264" s="157"/>
      <c r="C264" s="157"/>
      <c r="D264" s="75"/>
      <c r="E264" s="75"/>
      <c r="F264" s="69"/>
      <c r="G264" s="69"/>
      <c r="H264" s="69"/>
      <c r="I264" s="69"/>
      <c r="J264" s="69"/>
      <c r="K264" s="69"/>
      <c r="L264" s="69"/>
      <c r="M264" s="69"/>
      <c r="N264" s="69"/>
      <c r="O264" s="146"/>
      <c r="P264" s="69"/>
      <c r="Q264" s="69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</row>
    <row r="265" spans="1:35" x14ac:dyDescent="0.2">
      <c r="A265" s="157"/>
      <c r="B265" s="157"/>
      <c r="C265" s="157"/>
      <c r="D265" s="75"/>
      <c r="E265" s="75"/>
      <c r="F265" s="69"/>
      <c r="G265" s="69"/>
      <c r="H265" s="69"/>
      <c r="I265" s="69"/>
      <c r="J265" s="69"/>
      <c r="K265" s="69"/>
      <c r="L265" s="69"/>
      <c r="M265" s="69"/>
      <c r="N265" s="69"/>
      <c r="O265" s="146"/>
      <c r="P265" s="69"/>
      <c r="Q265" s="69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</row>
    <row r="266" spans="1:35" x14ac:dyDescent="0.2">
      <c r="A266" s="157"/>
      <c r="B266" s="157"/>
      <c r="C266" s="157"/>
      <c r="D266" s="75"/>
      <c r="E266" s="75"/>
      <c r="F266" s="69"/>
      <c r="G266" s="69"/>
      <c r="H266" s="69"/>
      <c r="I266" s="69"/>
      <c r="J266" s="69"/>
      <c r="K266" s="69"/>
      <c r="L266" s="69"/>
      <c r="M266" s="69"/>
      <c r="N266" s="69"/>
      <c r="O266" s="146"/>
      <c r="P266" s="69"/>
      <c r="Q266" s="69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</row>
    <row r="267" spans="1:35" x14ac:dyDescent="0.2">
      <c r="A267" s="157"/>
      <c r="B267" s="157"/>
      <c r="C267" s="157"/>
      <c r="D267" s="75"/>
      <c r="E267" s="75"/>
      <c r="F267" s="69"/>
      <c r="G267" s="69"/>
      <c r="H267" s="69"/>
      <c r="I267" s="69"/>
      <c r="J267" s="69"/>
      <c r="K267" s="69"/>
      <c r="L267" s="69"/>
      <c r="M267" s="69"/>
      <c r="N267" s="69"/>
      <c r="O267" s="146"/>
      <c r="P267" s="69"/>
      <c r="Q267" s="69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</row>
    <row r="268" spans="1:35" x14ac:dyDescent="0.2">
      <c r="A268" s="157"/>
      <c r="B268" s="157"/>
      <c r="C268" s="157"/>
      <c r="D268" s="75"/>
      <c r="E268" s="75"/>
      <c r="F268" s="69"/>
      <c r="G268" s="69"/>
      <c r="H268" s="69"/>
      <c r="I268" s="69"/>
      <c r="J268" s="69"/>
      <c r="K268" s="69"/>
      <c r="L268" s="69"/>
      <c r="M268" s="69"/>
      <c r="N268" s="69"/>
      <c r="O268" s="146"/>
      <c r="P268" s="69"/>
      <c r="Q268" s="69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</row>
    <row r="269" spans="1:35" x14ac:dyDescent="0.2">
      <c r="A269" s="157"/>
      <c r="B269" s="157"/>
      <c r="C269" s="157"/>
      <c r="D269" s="75"/>
      <c r="E269" s="75"/>
      <c r="F269" s="69"/>
      <c r="G269" s="69"/>
      <c r="H269" s="69"/>
      <c r="I269" s="69"/>
      <c r="J269" s="69"/>
      <c r="K269" s="69"/>
      <c r="L269" s="69"/>
      <c r="M269" s="69"/>
      <c r="N269" s="69"/>
      <c r="O269" s="146"/>
      <c r="P269" s="69"/>
      <c r="Q269" s="69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</row>
    <row r="270" spans="1:35" x14ac:dyDescent="0.2">
      <c r="A270" s="157"/>
      <c r="B270" s="157"/>
      <c r="C270" s="157"/>
      <c r="D270" s="75"/>
      <c r="E270" s="75"/>
      <c r="F270" s="69"/>
      <c r="G270" s="69"/>
      <c r="H270" s="69"/>
      <c r="I270" s="69"/>
      <c r="J270" s="69"/>
      <c r="K270" s="69"/>
      <c r="L270" s="69"/>
      <c r="M270" s="69"/>
      <c r="N270" s="69"/>
      <c r="O270" s="146"/>
      <c r="P270" s="69"/>
      <c r="Q270" s="69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</row>
    <row r="271" spans="1:35" x14ac:dyDescent="0.2">
      <c r="A271" s="157"/>
      <c r="B271" s="157"/>
      <c r="C271" s="157"/>
      <c r="D271" s="75"/>
      <c r="E271" s="75"/>
      <c r="F271" s="69"/>
      <c r="G271" s="69"/>
      <c r="H271" s="69"/>
      <c r="I271" s="69"/>
      <c r="J271" s="69"/>
      <c r="K271" s="69"/>
      <c r="L271" s="69"/>
      <c r="M271" s="69"/>
      <c r="N271" s="69"/>
      <c r="O271" s="146"/>
      <c r="P271" s="69"/>
      <c r="Q271" s="69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</row>
    <row r="272" spans="1:35" x14ac:dyDescent="0.2">
      <c r="A272" s="157"/>
      <c r="B272" s="157"/>
      <c r="C272" s="157"/>
      <c r="D272" s="75"/>
      <c r="E272" s="75"/>
      <c r="F272" s="69"/>
      <c r="G272" s="69"/>
      <c r="H272" s="69"/>
      <c r="I272" s="69"/>
      <c r="J272" s="69"/>
      <c r="K272" s="69"/>
      <c r="L272" s="69"/>
      <c r="M272" s="69"/>
      <c r="N272" s="69"/>
      <c r="O272" s="146"/>
      <c r="P272" s="69"/>
      <c r="Q272" s="69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</row>
    <row r="273" spans="1:35" x14ac:dyDescent="0.2">
      <c r="A273" s="157"/>
      <c r="B273" s="157"/>
      <c r="C273" s="157"/>
      <c r="D273" s="75"/>
      <c r="E273" s="75"/>
      <c r="F273" s="69"/>
      <c r="G273" s="69"/>
      <c r="H273" s="69"/>
      <c r="I273" s="69"/>
      <c r="J273" s="69"/>
      <c r="K273" s="69"/>
      <c r="L273" s="69"/>
      <c r="M273" s="69"/>
      <c r="N273" s="69"/>
      <c r="O273" s="146"/>
      <c r="P273" s="69"/>
      <c r="Q273" s="69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</row>
    <row r="274" spans="1:35" x14ac:dyDescent="0.2">
      <c r="A274" s="157"/>
      <c r="B274" s="157"/>
      <c r="C274" s="157"/>
      <c r="D274" s="75"/>
      <c r="E274" s="75"/>
      <c r="F274" s="69"/>
      <c r="G274" s="69"/>
      <c r="H274" s="69"/>
      <c r="I274" s="69"/>
      <c r="J274" s="69"/>
      <c r="K274" s="69"/>
      <c r="L274" s="69"/>
      <c r="M274" s="69"/>
      <c r="N274" s="69"/>
      <c r="O274" s="146"/>
      <c r="P274" s="69"/>
      <c r="Q274" s="69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</row>
    <row r="275" spans="1:35" x14ac:dyDescent="0.2">
      <c r="A275" s="157"/>
      <c r="B275" s="157"/>
      <c r="C275" s="157"/>
      <c r="D275" s="75"/>
      <c r="E275" s="75"/>
      <c r="F275" s="69"/>
      <c r="G275" s="69"/>
      <c r="H275" s="69"/>
      <c r="I275" s="69"/>
      <c r="J275" s="69"/>
      <c r="K275" s="69"/>
      <c r="L275" s="69"/>
      <c r="M275" s="69"/>
      <c r="N275" s="69"/>
      <c r="O275" s="146"/>
      <c r="P275" s="69"/>
      <c r="Q275" s="69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</row>
    <row r="276" spans="1:35" x14ac:dyDescent="0.2">
      <c r="A276" s="157"/>
      <c r="B276" s="157"/>
      <c r="C276" s="157"/>
      <c r="D276" s="75"/>
      <c r="E276" s="75"/>
      <c r="F276" s="69"/>
      <c r="G276" s="69"/>
      <c r="H276" s="69"/>
      <c r="I276" s="69"/>
      <c r="J276" s="69"/>
      <c r="K276" s="69"/>
      <c r="L276" s="69"/>
      <c r="M276" s="69"/>
      <c r="N276" s="69"/>
      <c r="O276" s="146"/>
      <c r="P276" s="69"/>
      <c r="Q276" s="69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</row>
    <row r="277" spans="1:35" x14ac:dyDescent="0.2">
      <c r="A277" s="157"/>
      <c r="B277" s="157"/>
      <c r="C277" s="157"/>
      <c r="D277" s="75"/>
      <c r="E277" s="75"/>
      <c r="F277" s="69"/>
      <c r="G277" s="69"/>
      <c r="H277" s="69"/>
      <c r="I277" s="69"/>
      <c r="J277" s="69"/>
      <c r="K277" s="69"/>
      <c r="L277" s="69"/>
      <c r="M277" s="69"/>
      <c r="N277" s="69"/>
      <c r="O277" s="146"/>
      <c r="P277" s="69"/>
      <c r="Q277" s="69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</row>
    <row r="278" spans="1:35" x14ac:dyDescent="0.2">
      <c r="A278" s="157"/>
      <c r="B278" s="157"/>
      <c r="C278" s="157"/>
      <c r="D278" s="75"/>
      <c r="E278" s="75"/>
      <c r="F278" s="69"/>
      <c r="G278" s="69"/>
      <c r="H278" s="69"/>
      <c r="I278" s="69"/>
      <c r="J278" s="69"/>
      <c r="K278" s="69"/>
      <c r="L278" s="69"/>
      <c r="M278" s="69"/>
      <c r="N278" s="69"/>
      <c r="O278" s="146"/>
      <c r="P278" s="69"/>
      <c r="Q278" s="69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</row>
    <row r="279" spans="1:35" x14ac:dyDescent="0.2">
      <c r="A279" s="157"/>
      <c r="B279" s="157"/>
      <c r="C279" s="157"/>
      <c r="D279" s="75"/>
      <c r="E279" s="75"/>
      <c r="F279" s="69"/>
      <c r="G279" s="69"/>
      <c r="H279" s="69"/>
      <c r="I279" s="69"/>
      <c r="J279" s="69"/>
      <c r="K279" s="69"/>
      <c r="L279" s="69"/>
      <c r="M279" s="69"/>
      <c r="N279" s="69"/>
      <c r="O279" s="146"/>
      <c r="P279" s="69"/>
      <c r="Q279" s="69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</row>
    <row r="280" spans="1:35" x14ac:dyDescent="0.2">
      <c r="A280" s="157"/>
      <c r="B280" s="157"/>
      <c r="C280" s="157"/>
      <c r="D280" s="75"/>
      <c r="E280" s="75"/>
      <c r="F280" s="69"/>
      <c r="G280" s="69"/>
      <c r="H280" s="69"/>
      <c r="I280" s="69"/>
      <c r="J280" s="69"/>
      <c r="K280" s="69"/>
      <c r="L280" s="69"/>
      <c r="M280" s="69"/>
      <c r="N280" s="69"/>
      <c r="O280" s="146"/>
      <c r="P280" s="69"/>
      <c r="Q280" s="69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</row>
    <row r="281" spans="1:35" x14ac:dyDescent="0.2">
      <c r="A281" s="157"/>
      <c r="B281" s="157"/>
      <c r="C281" s="157"/>
      <c r="D281" s="75"/>
      <c r="E281" s="75"/>
      <c r="F281" s="69"/>
      <c r="G281" s="69"/>
      <c r="H281" s="69"/>
      <c r="I281" s="69"/>
      <c r="J281" s="69"/>
      <c r="K281" s="69"/>
      <c r="L281" s="69"/>
      <c r="M281" s="69"/>
      <c r="N281" s="69"/>
      <c r="O281" s="146"/>
      <c r="P281" s="69"/>
      <c r="Q281" s="69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</row>
    <row r="282" spans="1:35" x14ac:dyDescent="0.2">
      <c r="A282" s="157"/>
      <c r="B282" s="157"/>
      <c r="C282" s="157"/>
      <c r="D282" s="75"/>
      <c r="E282" s="75"/>
      <c r="F282" s="69"/>
      <c r="G282" s="69"/>
      <c r="H282" s="69"/>
      <c r="I282" s="69"/>
      <c r="J282" s="69"/>
      <c r="K282" s="69"/>
      <c r="L282" s="69"/>
      <c r="M282" s="69"/>
      <c r="N282" s="69"/>
      <c r="O282" s="146"/>
      <c r="P282" s="69"/>
      <c r="Q282" s="69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</row>
    <row r="283" spans="1:35" x14ac:dyDescent="0.2">
      <c r="A283" s="157"/>
      <c r="B283" s="157"/>
      <c r="C283" s="157"/>
      <c r="D283" s="75"/>
      <c r="E283" s="75"/>
      <c r="F283" s="69"/>
      <c r="G283" s="69"/>
      <c r="H283" s="69"/>
      <c r="I283" s="69"/>
      <c r="J283" s="69"/>
      <c r="K283" s="69"/>
      <c r="L283" s="69"/>
      <c r="M283" s="69"/>
      <c r="N283" s="69"/>
      <c r="O283" s="146"/>
      <c r="P283" s="69"/>
      <c r="Q283" s="69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</row>
    <row r="284" spans="1:35" x14ac:dyDescent="0.2">
      <c r="A284" s="157"/>
      <c r="B284" s="157"/>
      <c r="C284" s="157"/>
      <c r="D284" s="75"/>
      <c r="E284" s="75"/>
      <c r="F284" s="69"/>
      <c r="G284" s="69"/>
      <c r="H284" s="69"/>
      <c r="I284" s="69"/>
      <c r="J284" s="69"/>
      <c r="K284" s="69"/>
      <c r="L284" s="69"/>
      <c r="M284" s="69"/>
      <c r="N284" s="69"/>
      <c r="O284" s="146"/>
      <c r="P284" s="69"/>
      <c r="Q284" s="69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</row>
    <row r="285" spans="1:35" x14ac:dyDescent="0.2">
      <c r="A285" s="157"/>
      <c r="B285" s="157"/>
      <c r="C285" s="157"/>
      <c r="D285" s="75"/>
      <c r="E285" s="75"/>
      <c r="F285" s="69"/>
      <c r="G285" s="69"/>
      <c r="H285" s="69"/>
      <c r="I285" s="69"/>
      <c r="J285" s="69"/>
      <c r="K285" s="69"/>
      <c r="L285" s="69"/>
      <c r="M285" s="69"/>
      <c r="N285" s="69"/>
      <c r="O285" s="146"/>
      <c r="P285" s="69"/>
      <c r="Q285" s="69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</row>
    <row r="286" spans="1:35" x14ac:dyDescent="0.2">
      <c r="A286" s="157"/>
      <c r="B286" s="157"/>
      <c r="C286" s="157"/>
      <c r="D286" s="75"/>
      <c r="E286" s="75"/>
      <c r="F286" s="69"/>
      <c r="G286" s="69"/>
      <c r="H286" s="69"/>
      <c r="I286" s="69"/>
      <c r="J286" s="69"/>
      <c r="K286" s="69"/>
      <c r="L286" s="69"/>
      <c r="M286" s="69"/>
      <c r="N286" s="69"/>
      <c r="O286" s="146"/>
      <c r="P286" s="69"/>
      <c r="Q286" s="69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</row>
    <row r="287" spans="1:35" x14ac:dyDescent="0.2">
      <c r="A287" s="157"/>
      <c r="B287" s="157"/>
      <c r="C287" s="157"/>
      <c r="D287" s="75"/>
      <c r="E287" s="75"/>
      <c r="F287" s="69"/>
      <c r="G287" s="69"/>
      <c r="H287" s="69"/>
      <c r="I287" s="69"/>
      <c r="J287" s="69"/>
      <c r="K287" s="69"/>
      <c r="L287" s="69"/>
      <c r="M287" s="69"/>
      <c r="N287" s="69"/>
      <c r="O287" s="146"/>
      <c r="P287" s="69"/>
      <c r="Q287" s="69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</row>
    <row r="288" spans="1:35" x14ac:dyDescent="0.2">
      <c r="A288" s="157"/>
      <c r="B288" s="157"/>
      <c r="C288" s="157"/>
      <c r="D288" s="75"/>
      <c r="E288" s="75"/>
      <c r="F288" s="69"/>
      <c r="G288" s="69"/>
      <c r="H288" s="69"/>
      <c r="I288" s="69"/>
      <c r="J288" s="69"/>
      <c r="K288" s="69"/>
      <c r="L288" s="69"/>
      <c r="M288" s="69"/>
      <c r="N288" s="69"/>
      <c r="O288" s="146"/>
      <c r="P288" s="69"/>
      <c r="Q288" s="69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</row>
    <row r="289" spans="1:35" x14ac:dyDescent="0.2">
      <c r="A289" s="157"/>
      <c r="B289" s="157"/>
      <c r="C289" s="157"/>
      <c r="D289" s="75"/>
      <c r="E289" s="75"/>
      <c r="F289" s="69"/>
      <c r="G289" s="69"/>
      <c r="H289" s="69"/>
      <c r="I289" s="69"/>
      <c r="J289" s="69"/>
      <c r="K289" s="69"/>
      <c r="L289" s="69"/>
      <c r="M289" s="69"/>
      <c r="N289" s="69"/>
      <c r="O289" s="146"/>
      <c r="P289" s="69"/>
      <c r="Q289" s="69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</row>
    <row r="290" spans="1:35" x14ac:dyDescent="0.2">
      <c r="A290" s="157"/>
      <c r="B290" s="157"/>
      <c r="C290" s="157"/>
      <c r="D290" s="75"/>
      <c r="E290" s="75"/>
      <c r="F290" s="69"/>
      <c r="G290" s="69"/>
      <c r="H290" s="69"/>
      <c r="I290" s="69"/>
      <c r="J290" s="69"/>
      <c r="K290" s="69"/>
      <c r="L290" s="69"/>
      <c r="M290" s="69"/>
      <c r="N290" s="69"/>
      <c r="O290" s="146"/>
      <c r="P290" s="69"/>
      <c r="Q290" s="69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</row>
    <row r="291" spans="1:35" x14ac:dyDescent="0.2">
      <c r="A291" s="157"/>
      <c r="B291" s="157"/>
      <c r="C291" s="157"/>
      <c r="D291" s="75"/>
      <c r="E291" s="75"/>
      <c r="F291" s="69"/>
      <c r="G291" s="69"/>
      <c r="H291" s="69"/>
      <c r="I291" s="69"/>
      <c r="J291" s="69"/>
      <c r="K291" s="69"/>
      <c r="L291" s="69"/>
      <c r="M291" s="69"/>
      <c r="N291" s="69"/>
      <c r="O291" s="146"/>
      <c r="P291" s="69"/>
      <c r="Q291" s="69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</row>
    <row r="292" spans="1:35" x14ac:dyDescent="0.2">
      <c r="A292" s="157"/>
      <c r="B292" s="157"/>
      <c r="C292" s="157"/>
      <c r="D292" s="75"/>
      <c r="E292" s="75"/>
      <c r="F292" s="69"/>
      <c r="G292" s="69"/>
      <c r="H292" s="69"/>
      <c r="I292" s="69"/>
      <c r="J292" s="69"/>
      <c r="K292" s="69"/>
      <c r="L292" s="69"/>
      <c r="M292" s="69"/>
      <c r="N292" s="69"/>
      <c r="O292" s="146"/>
      <c r="P292" s="69"/>
      <c r="Q292" s="69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</row>
    <row r="293" spans="1:35" x14ac:dyDescent="0.2">
      <c r="A293" s="157"/>
      <c r="B293" s="157"/>
      <c r="C293" s="157"/>
      <c r="D293" s="75"/>
      <c r="E293" s="75"/>
      <c r="F293" s="69"/>
      <c r="G293" s="69"/>
      <c r="H293" s="69"/>
      <c r="I293" s="69"/>
      <c r="J293" s="69"/>
      <c r="K293" s="69"/>
      <c r="L293" s="69"/>
      <c r="M293" s="69"/>
      <c r="N293" s="69"/>
      <c r="O293" s="146"/>
      <c r="P293" s="69"/>
      <c r="Q293" s="69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</row>
    <row r="294" spans="1:35" x14ac:dyDescent="0.2">
      <c r="A294" s="157"/>
      <c r="B294" s="157"/>
      <c r="C294" s="157"/>
      <c r="D294" s="75"/>
      <c r="E294" s="75"/>
      <c r="F294" s="69"/>
      <c r="G294" s="69"/>
      <c r="H294" s="69"/>
      <c r="I294" s="69"/>
      <c r="J294" s="69"/>
      <c r="K294" s="69"/>
      <c r="L294" s="69"/>
      <c r="M294" s="69"/>
      <c r="N294" s="69"/>
      <c r="O294" s="146"/>
      <c r="P294" s="69"/>
      <c r="Q294" s="69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</row>
    <row r="295" spans="1:35" x14ac:dyDescent="0.2">
      <c r="A295" s="157"/>
      <c r="B295" s="157"/>
      <c r="C295" s="157"/>
      <c r="D295" s="75"/>
      <c r="E295" s="75"/>
      <c r="F295" s="69"/>
      <c r="G295" s="69"/>
      <c r="H295" s="69"/>
      <c r="I295" s="69"/>
      <c r="J295" s="69"/>
      <c r="K295" s="69"/>
      <c r="L295" s="69"/>
      <c r="M295" s="69"/>
      <c r="N295" s="69"/>
      <c r="O295" s="146"/>
      <c r="P295" s="69"/>
      <c r="Q295" s="69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</row>
    <row r="296" spans="1:35" x14ac:dyDescent="0.2">
      <c r="A296" s="157"/>
      <c r="B296" s="157"/>
      <c r="C296" s="157"/>
      <c r="D296" s="75"/>
      <c r="E296" s="75"/>
      <c r="F296" s="69"/>
      <c r="G296" s="69"/>
      <c r="H296" s="69"/>
      <c r="I296" s="69"/>
      <c r="J296" s="69"/>
      <c r="K296" s="69"/>
      <c r="L296" s="69"/>
      <c r="M296" s="69"/>
      <c r="N296" s="69"/>
      <c r="O296" s="146"/>
      <c r="P296" s="69"/>
      <c r="Q296" s="69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</row>
    <row r="297" spans="1:35" x14ac:dyDescent="0.2">
      <c r="A297" s="157"/>
      <c r="B297" s="157"/>
      <c r="C297" s="157"/>
      <c r="D297" s="75"/>
      <c r="E297" s="75"/>
      <c r="F297" s="69"/>
      <c r="G297" s="69"/>
      <c r="H297" s="69"/>
      <c r="I297" s="69"/>
      <c r="J297" s="69"/>
      <c r="K297" s="69"/>
      <c r="L297" s="69"/>
      <c r="M297" s="69"/>
      <c r="N297" s="69"/>
      <c r="O297" s="146"/>
      <c r="P297" s="69"/>
      <c r="Q297" s="69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</row>
    <row r="298" spans="1:35" x14ac:dyDescent="0.2">
      <c r="A298" s="157"/>
      <c r="B298" s="157"/>
      <c r="C298" s="157"/>
      <c r="D298" s="75"/>
      <c r="E298" s="75"/>
      <c r="F298" s="69"/>
      <c r="G298" s="69"/>
      <c r="H298" s="69"/>
      <c r="I298" s="69"/>
      <c r="J298" s="69"/>
      <c r="K298" s="69"/>
      <c r="L298" s="69"/>
      <c r="M298" s="69"/>
      <c r="N298" s="69"/>
      <c r="O298" s="146"/>
      <c r="P298" s="69"/>
      <c r="Q298" s="69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</row>
    <row r="299" spans="1:35" x14ac:dyDescent="0.2">
      <c r="A299" s="157"/>
      <c r="B299" s="157"/>
      <c r="C299" s="157"/>
      <c r="D299" s="75"/>
      <c r="E299" s="75"/>
      <c r="F299" s="69"/>
      <c r="G299" s="69"/>
      <c r="H299" s="69"/>
      <c r="I299" s="69"/>
      <c r="J299" s="69"/>
      <c r="K299" s="69"/>
      <c r="L299" s="69"/>
      <c r="M299" s="69"/>
      <c r="N299" s="69"/>
      <c r="O299" s="146"/>
      <c r="P299" s="69"/>
      <c r="Q299" s="69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</row>
    <row r="300" spans="1:35" x14ac:dyDescent="0.2">
      <c r="A300" s="157"/>
      <c r="B300" s="157"/>
      <c r="C300" s="157"/>
      <c r="D300" s="75"/>
      <c r="E300" s="75"/>
      <c r="F300" s="69"/>
      <c r="G300" s="69"/>
      <c r="H300" s="69"/>
      <c r="I300" s="69"/>
      <c r="J300" s="69"/>
      <c r="K300" s="69"/>
      <c r="L300" s="69"/>
      <c r="M300" s="69"/>
      <c r="N300" s="69"/>
      <c r="O300" s="146"/>
      <c r="P300" s="69"/>
      <c r="Q300" s="69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</row>
    <row r="301" spans="1:35" x14ac:dyDescent="0.2">
      <c r="A301" s="157"/>
      <c r="B301" s="157"/>
      <c r="C301" s="157"/>
      <c r="D301" s="75"/>
      <c r="E301" s="75"/>
      <c r="F301" s="69"/>
      <c r="G301" s="69"/>
      <c r="H301" s="69"/>
      <c r="I301" s="69"/>
      <c r="J301" s="69"/>
      <c r="K301" s="69"/>
      <c r="L301" s="69"/>
      <c r="M301" s="69"/>
      <c r="N301" s="69"/>
      <c r="O301" s="146"/>
      <c r="P301" s="69"/>
      <c r="Q301" s="69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</row>
    <row r="302" spans="1:35" x14ac:dyDescent="0.2">
      <c r="A302" s="157"/>
      <c r="B302" s="157"/>
      <c r="C302" s="157"/>
      <c r="D302" s="75"/>
      <c r="E302" s="75"/>
      <c r="F302" s="69"/>
      <c r="G302" s="69"/>
      <c r="H302" s="69"/>
      <c r="I302" s="69"/>
      <c r="J302" s="69"/>
      <c r="K302" s="69"/>
      <c r="L302" s="69"/>
      <c r="M302" s="69"/>
      <c r="N302" s="69"/>
      <c r="O302" s="146"/>
      <c r="P302" s="69"/>
      <c r="Q302" s="69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</row>
    <row r="303" spans="1:35" x14ac:dyDescent="0.2">
      <c r="A303" s="157"/>
      <c r="B303" s="157"/>
      <c r="C303" s="157"/>
      <c r="D303" s="75"/>
      <c r="E303" s="75"/>
      <c r="F303" s="69"/>
      <c r="G303" s="69"/>
      <c r="H303" s="69"/>
      <c r="I303" s="69"/>
      <c r="J303" s="69"/>
      <c r="K303" s="69"/>
      <c r="L303" s="69"/>
      <c r="M303" s="69"/>
      <c r="N303" s="69"/>
      <c r="O303" s="146"/>
      <c r="P303" s="69"/>
      <c r="Q303" s="69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</row>
    <row r="304" spans="1:35" x14ac:dyDescent="0.2">
      <c r="A304" s="157"/>
      <c r="B304" s="157"/>
      <c r="C304" s="157"/>
      <c r="D304" s="75"/>
      <c r="E304" s="75"/>
      <c r="F304" s="69"/>
      <c r="G304" s="69"/>
      <c r="H304" s="69"/>
      <c r="I304" s="69"/>
      <c r="J304" s="69"/>
      <c r="K304" s="69"/>
      <c r="L304" s="69"/>
      <c r="M304" s="69"/>
      <c r="N304" s="69"/>
      <c r="O304" s="146"/>
      <c r="P304" s="69"/>
      <c r="Q304" s="69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</row>
    <row r="305" spans="1:35" x14ac:dyDescent="0.2">
      <c r="A305" s="157"/>
      <c r="B305" s="157"/>
      <c r="C305" s="157"/>
      <c r="D305" s="75"/>
      <c r="E305" s="75"/>
      <c r="F305" s="69"/>
      <c r="G305" s="69"/>
      <c r="H305" s="69"/>
      <c r="I305" s="69"/>
      <c r="J305" s="69"/>
      <c r="K305" s="69"/>
      <c r="L305" s="69"/>
      <c r="M305" s="69"/>
      <c r="N305" s="69"/>
      <c r="O305" s="146"/>
      <c r="P305" s="69"/>
      <c r="Q305" s="69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</row>
    <row r="306" spans="1:35" x14ac:dyDescent="0.2">
      <c r="A306" s="157"/>
      <c r="B306" s="157"/>
      <c r="C306" s="157"/>
      <c r="D306" s="75"/>
      <c r="E306" s="75"/>
      <c r="F306" s="69"/>
      <c r="G306" s="69"/>
      <c r="H306" s="69"/>
      <c r="I306" s="69"/>
      <c r="J306" s="69"/>
      <c r="K306" s="69"/>
      <c r="L306" s="69"/>
      <c r="M306" s="69"/>
      <c r="N306" s="69"/>
      <c r="O306" s="146"/>
      <c r="P306" s="69"/>
      <c r="Q306" s="69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</row>
    <row r="307" spans="1:35" x14ac:dyDescent="0.2">
      <c r="A307" s="157"/>
      <c r="B307" s="157"/>
      <c r="C307" s="157"/>
      <c r="D307" s="75"/>
      <c r="E307" s="75"/>
      <c r="F307" s="69"/>
      <c r="G307" s="69"/>
      <c r="H307" s="69"/>
      <c r="I307" s="69"/>
      <c r="J307" s="69"/>
      <c r="K307" s="69"/>
      <c r="L307" s="69"/>
      <c r="M307" s="69"/>
      <c r="N307" s="69"/>
      <c r="O307" s="146"/>
      <c r="P307" s="69"/>
      <c r="Q307" s="69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</row>
    <row r="308" spans="1:35" x14ac:dyDescent="0.2">
      <c r="A308" s="157"/>
      <c r="B308" s="157"/>
      <c r="C308" s="157"/>
      <c r="D308" s="75"/>
      <c r="E308" s="75"/>
      <c r="F308" s="69"/>
      <c r="G308" s="69"/>
      <c r="H308" s="69"/>
      <c r="I308" s="69"/>
      <c r="J308" s="69"/>
      <c r="K308" s="69"/>
      <c r="L308" s="69"/>
      <c r="M308" s="69"/>
      <c r="N308" s="69"/>
      <c r="O308" s="146"/>
      <c r="P308" s="69"/>
      <c r="Q308" s="69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</row>
    <row r="309" spans="1:35" x14ac:dyDescent="0.2">
      <c r="A309" s="157"/>
      <c r="B309" s="157"/>
      <c r="C309" s="157"/>
      <c r="D309" s="75"/>
      <c r="E309" s="75"/>
      <c r="F309" s="69"/>
      <c r="G309" s="69"/>
      <c r="H309" s="69"/>
      <c r="I309" s="69"/>
      <c r="J309" s="69"/>
      <c r="K309" s="69"/>
      <c r="L309" s="69"/>
      <c r="M309" s="69"/>
      <c r="N309" s="69"/>
      <c r="O309" s="146"/>
      <c r="P309" s="69"/>
      <c r="Q309" s="69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</row>
    <row r="310" spans="1:35" x14ac:dyDescent="0.2">
      <c r="A310" s="157"/>
      <c r="B310" s="157"/>
      <c r="C310" s="157"/>
      <c r="D310" s="75"/>
      <c r="E310" s="75"/>
      <c r="F310" s="69"/>
      <c r="G310" s="69"/>
      <c r="H310" s="69"/>
      <c r="I310" s="69"/>
      <c r="J310" s="69"/>
      <c r="K310" s="69"/>
      <c r="L310" s="69"/>
      <c r="M310" s="69"/>
      <c r="N310" s="69"/>
      <c r="O310" s="146"/>
      <c r="P310" s="69"/>
      <c r="Q310" s="69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</row>
    <row r="311" spans="1:35" x14ac:dyDescent="0.2">
      <c r="A311" s="157"/>
      <c r="B311" s="157"/>
      <c r="C311" s="157"/>
      <c r="D311" s="75"/>
      <c r="E311" s="75"/>
      <c r="F311" s="69"/>
      <c r="G311" s="69"/>
      <c r="H311" s="69"/>
      <c r="I311" s="69"/>
      <c r="J311" s="69"/>
      <c r="K311" s="69"/>
      <c r="L311" s="69"/>
      <c r="M311" s="69"/>
      <c r="N311" s="69"/>
      <c r="O311" s="146"/>
      <c r="P311" s="69"/>
      <c r="Q311" s="69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</row>
    <row r="312" spans="1:35" x14ac:dyDescent="0.2">
      <c r="A312" s="157"/>
      <c r="B312" s="157"/>
      <c r="C312" s="157"/>
      <c r="D312" s="75"/>
      <c r="E312" s="75"/>
      <c r="F312" s="69"/>
      <c r="G312" s="69"/>
      <c r="H312" s="69"/>
      <c r="I312" s="69"/>
      <c r="J312" s="69"/>
      <c r="K312" s="69"/>
      <c r="L312" s="69"/>
      <c r="M312" s="69"/>
      <c r="N312" s="69"/>
      <c r="O312" s="146"/>
      <c r="P312" s="69"/>
      <c r="Q312" s="69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</row>
    <row r="313" spans="1:35" x14ac:dyDescent="0.2">
      <c r="A313" s="157"/>
      <c r="B313" s="157"/>
      <c r="C313" s="157"/>
      <c r="D313" s="75"/>
      <c r="E313" s="75"/>
      <c r="F313" s="69"/>
      <c r="G313" s="69"/>
      <c r="H313" s="69"/>
      <c r="I313" s="69"/>
      <c r="J313" s="69"/>
      <c r="K313" s="69"/>
      <c r="L313" s="69"/>
      <c r="M313" s="69"/>
      <c r="N313" s="69"/>
      <c r="O313" s="146"/>
      <c r="P313" s="69"/>
      <c r="Q313" s="69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</row>
    <row r="314" spans="1:35" x14ac:dyDescent="0.2">
      <c r="A314" s="157"/>
      <c r="B314" s="157"/>
      <c r="C314" s="157"/>
      <c r="D314" s="75"/>
      <c r="E314" s="75"/>
      <c r="F314" s="69"/>
      <c r="G314" s="69"/>
      <c r="H314" s="69"/>
      <c r="I314" s="69"/>
      <c r="J314" s="69"/>
      <c r="K314" s="69"/>
      <c r="L314" s="69"/>
      <c r="M314" s="69"/>
      <c r="N314" s="69"/>
      <c r="O314" s="146"/>
      <c r="P314" s="69"/>
      <c r="Q314" s="69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</row>
    <row r="315" spans="1:35" x14ac:dyDescent="0.2">
      <c r="A315" s="157"/>
      <c r="B315" s="157"/>
      <c r="C315" s="157"/>
      <c r="D315" s="75"/>
      <c r="E315" s="75"/>
      <c r="F315" s="69"/>
      <c r="G315" s="69"/>
      <c r="H315" s="69"/>
      <c r="I315" s="69"/>
      <c r="J315" s="69"/>
      <c r="K315" s="69"/>
      <c r="L315" s="69"/>
      <c r="M315" s="69"/>
      <c r="N315" s="69"/>
      <c r="O315" s="146"/>
      <c r="P315" s="69"/>
      <c r="Q315" s="69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</row>
    <row r="316" spans="1:35" x14ac:dyDescent="0.2">
      <c r="A316" s="157"/>
      <c r="B316" s="157"/>
      <c r="C316" s="157"/>
      <c r="D316" s="75"/>
      <c r="E316" s="75"/>
      <c r="F316" s="69"/>
      <c r="G316" s="69"/>
      <c r="H316" s="69"/>
      <c r="I316" s="69"/>
      <c r="J316" s="69"/>
      <c r="K316" s="69"/>
      <c r="L316" s="69"/>
      <c r="M316" s="69"/>
      <c r="N316" s="69"/>
      <c r="O316" s="146"/>
      <c r="P316" s="69"/>
      <c r="Q316" s="69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</row>
    <row r="317" spans="1:35" x14ac:dyDescent="0.2">
      <c r="A317" s="157"/>
      <c r="B317" s="157"/>
      <c r="C317" s="157"/>
      <c r="D317" s="75"/>
      <c r="E317" s="75"/>
      <c r="F317" s="69"/>
      <c r="G317" s="69"/>
      <c r="H317" s="69"/>
      <c r="I317" s="69"/>
      <c r="J317" s="69"/>
      <c r="K317" s="69"/>
      <c r="L317" s="69"/>
      <c r="M317" s="69"/>
      <c r="N317" s="69"/>
      <c r="O317" s="146"/>
      <c r="P317" s="69"/>
      <c r="Q317" s="69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</row>
    <row r="318" spans="1:35" x14ac:dyDescent="0.2">
      <c r="A318" s="157"/>
      <c r="B318" s="157"/>
      <c r="C318" s="157"/>
      <c r="D318" s="75"/>
      <c r="E318" s="75"/>
      <c r="F318" s="69"/>
      <c r="G318" s="69"/>
      <c r="H318" s="69"/>
      <c r="I318" s="69"/>
      <c r="J318" s="69"/>
      <c r="K318" s="69"/>
      <c r="L318" s="69"/>
      <c r="M318" s="69"/>
      <c r="N318" s="69"/>
      <c r="O318" s="146"/>
      <c r="P318" s="69"/>
      <c r="Q318" s="69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</row>
    <row r="319" spans="1:35" x14ac:dyDescent="0.2">
      <c r="A319" s="157"/>
      <c r="B319" s="157"/>
      <c r="C319" s="157"/>
      <c r="D319" s="75"/>
      <c r="E319" s="75"/>
      <c r="F319" s="69"/>
      <c r="G319" s="69"/>
      <c r="H319" s="69"/>
      <c r="I319" s="69"/>
      <c r="J319" s="69"/>
      <c r="K319" s="69"/>
      <c r="L319" s="69"/>
      <c r="M319" s="69"/>
      <c r="N319" s="69"/>
      <c r="O319" s="146"/>
      <c r="P319" s="69"/>
      <c r="Q319" s="69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</row>
    <row r="320" spans="1:35" x14ac:dyDescent="0.2">
      <c r="A320" s="157"/>
      <c r="B320" s="157"/>
      <c r="C320" s="157"/>
      <c r="D320" s="75"/>
      <c r="E320" s="75"/>
      <c r="F320" s="69"/>
      <c r="G320" s="69"/>
      <c r="H320" s="69"/>
      <c r="I320" s="69"/>
      <c r="J320" s="69"/>
      <c r="K320" s="69"/>
      <c r="L320" s="69"/>
      <c r="M320" s="69"/>
      <c r="N320" s="69"/>
      <c r="O320" s="146"/>
      <c r="P320" s="69"/>
      <c r="Q320" s="69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</row>
    <row r="321" spans="1:35" x14ac:dyDescent="0.2">
      <c r="A321" s="157"/>
      <c r="B321" s="157"/>
      <c r="C321" s="157"/>
      <c r="D321" s="75"/>
      <c r="E321" s="75"/>
      <c r="F321" s="69"/>
      <c r="G321" s="69"/>
      <c r="H321" s="69"/>
      <c r="I321" s="69"/>
      <c r="J321" s="69"/>
      <c r="K321" s="69"/>
      <c r="L321" s="69"/>
      <c r="M321" s="69"/>
      <c r="N321" s="69"/>
      <c r="O321" s="146"/>
      <c r="P321" s="69"/>
      <c r="Q321" s="69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</row>
    <row r="322" spans="1:35" x14ac:dyDescent="0.2">
      <c r="A322" s="157"/>
      <c r="B322" s="157"/>
      <c r="C322" s="157"/>
      <c r="D322" s="75"/>
      <c r="E322" s="75"/>
      <c r="F322" s="69"/>
      <c r="G322" s="69"/>
      <c r="H322" s="69"/>
      <c r="I322" s="69"/>
      <c r="J322" s="69"/>
      <c r="K322" s="69"/>
      <c r="L322" s="69"/>
      <c r="M322" s="69"/>
      <c r="N322" s="69"/>
      <c r="O322" s="146"/>
      <c r="P322" s="69"/>
      <c r="Q322" s="69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</row>
    <row r="323" spans="1:35" x14ac:dyDescent="0.2">
      <c r="A323" s="157"/>
      <c r="B323" s="157"/>
      <c r="C323" s="157"/>
      <c r="D323" s="75"/>
      <c r="E323" s="75"/>
      <c r="F323" s="69"/>
      <c r="G323" s="69"/>
      <c r="H323" s="69"/>
      <c r="I323" s="69"/>
      <c r="J323" s="69"/>
      <c r="K323" s="69"/>
      <c r="L323" s="69"/>
      <c r="M323" s="69"/>
      <c r="N323" s="69"/>
      <c r="O323" s="146"/>
      <c r="P323" s="69"/>
      <c r="Q323" s="69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</row>
    <row r="324" spans="1:35" x14ac:dyDescent="0.2">
      <c r="A324" s="157"/>
      <c r="B324" s="157"/>
      <c r="C324" s="157"/>
      <c r="D324" s="75"/>
      <c r="E324" s="75"/>
      <c r="F324" s="69"/>
      <c r="G324" s="69"/>
      <c r="H324" s="69"/>
      <c r="I324" s="69"/>
      <c r="J324" s="69"/>
      <c r="K324" s="69"/>
      <c r="L324" s="69"/>
      <c r="M324" s="69"/>
      <c r="N324" s="69"/>
      <c r="O324" s="146"/>
      <c r="P324" s="69"/>
      <c r="Q324" s="69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</row>
    <row r="325" spans="1:35" x14ac:dyDescent="0.2">
      <c r="A325" s="157"/>
      <c r="B325" s="157"/>
      <c r="C325" s="157"/>
      <c r="D325" s="75"/>
      <c r="E325" s="75"/>
      <c r="F325" s="69"/>
      <c r="G325" s="69"/>
      <c r="H325" s="69"/>
      <c r="I325" s="69"/>
      <c r="J325" s="69"/>
      <c r="K325" s="69"/>
      <c r="L325" s="69"/>
      <c r="M325" s="69"/>
      <c r="N325" s="69"/>
      <c r="O325" s="146"/>
      <c r="P325" s="69"/>
      <c r="Q325" s="69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</row>
    <row r="326" spans="1:35" x14ac:dyDescent="0.2">
      <c r="A326" s="157"/>
      <c r="B326" s="157"/>
      <c r="C326" s="157"/>
      <c r="D326" s="75"/>
      <c r="E326" s="75"/>
      <c r="F326" s="69"/>
      <c r="G326" s="69"/>
      <c r="H326" s="69"/>
      <c r="I326" s="69"/>
      <c r="J326" s="69"/>
      <c r="K326" s="69"/>
      <c r="L326" s="69"/>
      <c r="M326" s="69"/>
      <c r="N326" s="69"/>
      <c r="O326" s="146"/>
      <c r="P326" s="69"/>
      <c r="Q326" s="69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</row>
    <row r="327" spans="1:35" x14ac:dyDescent="0.2">
      <c r="A327" s="157"/>
      <c r="B327" s="157"/>
      <c r="C327" s="157"/>
      <c r="D327" s="75"/>
      <c r="E327" s="75"/>
      <c r="F327" s="69"/>
      <c r="G327" s="69"/>
      <c r="H327" s="69"/>
      <c r="I327" s="69"/>
      <c r="J327" s="69"/>
      <c r="K327" s="69"/>
      <c r="L327" s="69"/>
      <c r="M327" s="69"/>
      <c r="N327" s="69"/>
      <c r="O327" s="146"/>
      <c r="P327" s="69"/>
      <c r="Q327" s="69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</row>
    <row r="328" spans="1:35" x14ac:dyDescent="0.2">
      <c r="A328" s="157"/>
      <c r="B328" s="157"/>
      <c r="C328" s="157"/>
      <c r="D328" s="75"/>
      <c r="E328" s="75"/>
      <c r="F328" s="69"/>
      <c r="G328" s="69"/>
      <c r="H328" s="69"/>
      <c r="I328" s="69"/>
      <c r="J328" s="69"/>
      <c r="K328" s="69"/>
      <c r="L328" s="69"/>
      <c r="M328" s="69"/>
      <c r="N328" s="69"/>
      <c r="O328" s="146"/>
      <c r="P328" s="69"/>
      <c r="Q328" s="69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</row>
    <row r="329" spans="1:35" x14ac:dyDescent="0.2">
      <c r="A329" s="157"/>
      <c r="B329" s="157"/>
      <c r="C329" s="157"/>
      <c r="D329" s="75"/>
      <c r="E329" s="75"/>
      <c r="F329" s="69"/>
      <c r="G329" s="69"/>
      <c r="H329" s="69"/>
      <c r="I329" s="69"/>
      <c r="J329" s="69"/>
      <c r="K329" s="69"/>
      <c r="L329" s="69"/>
      <c r="M329" s="69"/>
      <c r="N329" s="69"/>
      <c r="O329" s="146"/>
      <c r="P329" s="69"/>
      <c r="Q329" s="69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</row>
    <row r="330" spans="1:35" x14ac:dyDescent="0.2">
      <c r="A330" s="157"/>
      <c r="B330" s="157"/>
      <c r="C330" s="157"/>
      <c r="D330" s="75"/>
      <c r="E330" s="75"/>
      <c r="F330" s="69"/>
      <c r="G330" s="69"/>
      <c r="H330" s="69"/>
      <c r="I330" s="69"/>
      <c r="J330" s="69"/>
      <c r="K330" s="69"/>
      <c r="L330" s="69"/>
      <c r="M330" s="69"/>
      <c r="N330" s="69"/>
      <c r="O330" s="146"/>
      <c r="P330" s="69"/>
      <c r="Q330" s="69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</row>
    <row r="331" spans="1:35" x14ac:dyDescent="0.2">
      <c r="A331" s="157"/>
      <c r="B331" s="157"/>
      <c r="C331" s="157"/>
      <c r="D331" s="75"/>
      <c r="E331" s="75"/>
      <c r="F331" s="69"/>
      <c r="G331" s="69"/>
      <c r="H331" s="69"/>
      <c r="I331" s="69"/>
      <c r="J331" s="69"/>
      <c r="K331" s="69"/>
      <c r="L331" s="69"/>
      <c r="M331" s="69"/>
      <c r="N331" s="69"/>
      <c r="O331" s="146"/>
      <c r="P331" s="69"/>
      <c r="Q331" s="69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</row>
    <row r="332" spans="1:35" x14ac:dyDescent="0.2">
      <c r="A332" s="157"/>
      <c r="B332" s="157"/>
      <c r="C332" s="157"/>
      <c r="D332" s="75"/>
      <c r="E332" s="75"/>
      <c r="F332" s="69"/>
      <c r="G332" s="69"/>
      <c r="H332" s="69"/>
      <c r="I332" s="69"/>
      <c r="J332" s="69"/>
      <c r="K332" s="69"/>
      <c r="L332" s="69"/>
      <c r="M332" s="69"/>
      <c r="N332" s="69"/>
      <c r="O332" s="146"/>
      <c r="P332" s="69"/>
      <c r="Q332" s="69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</row>
    <row r="333" spans="1:35" x14ac:dyDescent="0.2">
      <c r="A333" s="157"/>
      <c r="B333" s="157"/>
      <c r="C333" s="157"/>
      <c r="D333" s="75"/>
      <c r="E333" s="75"/>
      <c r="F333" s="69"/>
      <c r="G333" s="69"/>
      <c r="H333" s="69"/>
      <c r="I333" s="69"/>
      <c r="J333" s="69"/>
      <c r="K333" s="69"/>
      <c r="L333" s="69"/>
      <c r="M333" s="69"/>
      <c r="N333" s="69"/>
      <c r="O333" s="146"/>
      <c r="P333" s="69"/>
      <c r="Q333" s="69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</row>
    <row r="334" spans="1:35" x14ac:dyDescent="0.2">
      <c r="A334" s="157"/>
      <c r="B334" s="157"/>
      <c r="C334" s="157"/>
      <c r="D334" s="75"/>
      <c r="E334" s="75"/>
      <c r="F334" s="69"/>
      <c r="G334" s="69"/>
      <c r="H334" s="69"/>
      <c r="I334" s="69"/>
      <c r="J334" s="69"/>
      <c r="K334" s="69"/>
      <c r="L334" s="69"/>
      <c r="M334" s="69"/>
      <c r="N334" s="69"/>
      <c r="O334" s="146"/>
      <c r="P334" s="69"/>
      <c r="Q334" s="69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</row>
    <row r="335" spans="1:35" x14ac:dyDescent="0.2">
      <c r="A335" s="157"/>
      <c r="B335" s="157"/>
      <c r="C335" s="157"/>
      <c r="D335" s="75"/>
      <c r="E335" s="75"/>
      <c r="F335" s="69"/>
      <c r="G335" s="69"/>
      <c r="H335" s="69"/>
      <c r="I335" s="69"/>
      <c r="J335" s="69"/>
      <c r="K335" s="69"/>
      <c r="L335" s="69"/>
      <c r="M335" s="69"/>
      <c r="N335" s="69"/>
      <c r="O335" s="146"/>
      <c r="P335" s="69"/>
      <c r="Q335" s="69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</row>
    <row r="336" spans="1:35" x14ac:dyDescent="0.2">
      <c r="C336" s="157"/>
      <c r="D336" s="75"/>
      <c r="E336" s="75"/>
      <c r="F336" s="69"/>
      <c r="G336" s="69"/>
      <c r="H336" s="69"/>
      <c r="I336" s="69"/>
      <c r="J336" s="69"/>
      <c r="K336" s="69"/>
      <c r="L336" s="69"/>
      <c r="M336" s="69"/>
      <c r="N336" s="69"/>
      <c r="O336" s="146"/>
      <c r="P336" s="69"/>
      <c r="Q336" s="69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</row>
    <row r="337" spans="3:35" x14ac:dyDescent="0.2">
      <c r="C337" s="157"/>
      <c r="D337" s="75"/>
      <c r="E337" s="75"/>
      <c r="F337" s="69"/>
      <c r="G337" s="69"/>
      <c r="H337" s="69"/>
      <c r="I337" s="69"/>
      <c r="J337" s="69"/>
      <c r="K337" s="69"/>
      <c r="L337" s="69"/>
      <c r="M337" s="69"/>
      <c r="N337" s="69"/>
      <c r="O337" s="146"/>
      <c r="P337" s="69"/>
      <c r="Q337" s="69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</row>
    <row r="338" spans="3:35" x14ac:dyDescent="0.2">
      <c r="C338" s="157"/>
      <c r="D338" s="75"/>
      <c r="E338" s="75"/>
      <c r="F338" s="69"/>
      <c r="G338" s="69"/>
      <c r="H338" s="69"/>
      <c r="I338" s="69"/>
      <c r="J338" s="69"/>
      <c r="K338" s="69"/>
      <c r="L338" s="69"/>
      <c r="M338" s="69"/>
      <c r="N338" s="69"/>
      <c r="O338" s="146"/>
      <c r="P338" s="69"/>
      <c r="Q338" s="69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</row>
    <row r="339" spans="3:35" x14ac:dyDescent="0.2">
      <c r="C339" s="157"/>
      <c r="D339" s="75"/>
      <c r="E339" s="75"/>
      <c r="F339" s="69"/>
      <c r="G339" s="69"/>
      <c r="H339" s="69"/>
      <c r="I339" s="69"/>
      <c r="J339" s="69"/>
      <c r="K339" s="69"/>
      <c r="L339" s="69"/>
      <c r="M339" s="69"/>
      <c r="N339" s="69"/>
      <c r="O339" s="146"/>
      <c r="P339" s="69"/>
      <c r="Q339" s="69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</row>
    <row r="340" spans="3:35" x14ac:dyDescent="0.2">
      <c r="C340" s="157"/>
      <c r="D340" s="75"/>
      <c r="E340" s="75"/>
      <c r="F340" s="69"/>
      <c r="G340" s="69"/>
      <c r="H340" s="69"/>
      <c r="I340" s="69"/>
      <c r="J340" s="69"/>
      <c r="K340" s="69"/>
      <c r="L340" s="69"/>
      <c r="M340" s="69"/>
      <c r="N340" s="69"/>
      <c r="O340" s="146"/>
      <c r="P340" s="69"/>
      <c r="Q340" s="69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</row>
    <row r="341" spans="3:35" x14ac:dyDescent="0.2">
      <c r="C341" s="157"/>
      <c r="D341" s="75"/>
      <c r="E341" s="75"/>
      <c r="F341" s="69"/>
      <c r="G341" s="69"/>
      <c r="H341" s="69"/>
      <c r="I341" s="69"/>
      <c r="J341" s="69"/>
      <c r="K341" s="69"/>
      <c r="L341" s="69"/>
      <c r="M341" s="69"/>
      <c r="N341" s="69"/>
      <c r="O341" s="146"/>
      <c r="P341" s="69"/>
      <c r="Q341" s="69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</row>
    <row r="342" spans="3:35" x14ac:dyDescent="0.2">
      <c r="C342" s="157"/>
      <c r="D342" s="75"/>
      <c r="E342" s="75"/>
      <c r="F342" s="69"/>
      <c r="G342" s="69"/>
      <c r="H342" s="69"/>
      <c r="I342" s="69"/>
      <c r="J342" s="69"/>
      <c r="K342" s="69"/>
      <c r="L342" s="69"/>
      <c r="M342" s="69"/>
      <c r="N342" s="69"/>
      <c r="O342" s="146"/>
      <c r="P342" s="69"/>
      <c r="Q342" s="69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</row>
    <row r="343" spans="3:35" x14ac:dyDescent="0.2">
      <c r="C343" s="157"/>
      <c r="D343" s="75"/>
      <c r="E343" s="75"/>
      <c r="F343" s="69"/>
      <c r="G343" s="69"/>
      <c r="H343" s="69"/>
      <c r="I343" s="69"/>
      <c r="J343" s="69"/>
      <c r="K343" s="69"/>
      <c r="L343" s="69"/>
      <c r="M343" s="69"/>
      <c r="N343" s="69"/>
      <c r="O343" s="146"/>
      <c r="P343" s="69"/>
      <c r="Q343" s="69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</row>
    <row r="344" spans="3:35" x14ac:dyDescent="0.2">
      <c r="C344" s="157"/>
      <c r="D344" s="75"/>
      <c r="E344" s="75"/>
      <c r="F344" s="69"/>
      <c r="G344" s="69"/>
      <c r="H344" s="69"/>
      <c r="I344" s="69"/>
      <c r="J344" s="69"/>
      <c r="K344" s="69"/>
      <c r="L344" s="69"/>
      <c r="M344" s="69"/>
      <c r="N344" s="69"/>
      <c r="O344" s="146"/>
      <c r="P344" s="69"/>
      <c r="Q344" s="69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</row>
    <row r="345" spans="3:35" x14ac:dyDescent="0.2">
      <c r="C345" s="157"/>
      <c r="D345" s="75"/>
      <c r="E345" s="75"/>
      <c r="F345" s="69"/>
      <c r="G345" s="69"/>
      <c r="H345" s="69"/>
      <c r="I345" s="69"/>
      <c r="J345" s="69"/>
      <c r="K345" s="69"/>
      <c r="L345" s="69"/>
      <c r="M345" s="69"/>
      <c r="N345" s="69"/>
      <c r="O345" s="146"/>
      <c r="P345" s="69"/>
      <c r="Q345" s="69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</row>
    <row r="346" spans="3:35" x14ac:dyDescent="0.2">
      <c r="C346" s="157"/>
      <c r="D346" s="75"/>
      <c r="E346" s="75"/>
      <c r="F346" s="69"/>
      <c r="G346" s="69"/>
      <c r="H346" s="69"/>
      <c r="I346" s="69"/>
      <c r="J346" s="69"/>
      <c r="K346" s="69"/>
      <c r="L346" s="69"/>
      <c r="M346" s="69"/>
      <c r="N346" s="69"/>
      <c r="O346" s="146"/>
      <c r="P346" s="69"/>
      <c r="Q346" s="69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</row>
    <row r="347" spans="3:35" x14ac:dyDescent="0.2">
      <c r="C347" s="157"/>
      <c r="D347" s="75"/>
      <c r="E347" s="75"/>
      <c r="F347" s="69"/>
      <c r="G347" s="69"/>
      <c r="H347" s="69"/>
      <c r="I347" s="69"/>
      <c r="J347" s="69"/>
      <c r="K347" s="69"/>
      <c r="L347" s="69"/>
      <c r="M347" s="69"/>
      <c r="N347" s="69"/>
      <c r="O347" s="146"/>
      <c r="P347" s="69"/>
      <c r="Q347" s="69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</row>
    <row r="348" spans="3:35" x14ac:dyDescent="0.2">
      <c r="C348" s="157"/>
      <c r="D348" s="75"/>
      <c r="E348" s="75"/>
      <c r="F348" s="69"/>
      <c r="G348" s="69"/>
      <c r="H348" s="69"/>
      <c r="I348" s="69"/>
      <c r="J348" s="69"/>
      <c r="K348" s="69"/>
      <c r="L348" s="69"/>
      <c r="M348" s="69"/>
      <c r="N348" s="69"/>
      <c r="O348" s="146"/>
      <c r="P348" s="69"/>
      <c r="Q348" s="69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</row>
    <row r="349" spans="3:35" x14ac:dyDescent="0.2">
      <c r="C349" s="157"/>
      <c r="D349" s="75"/>
      <c r="E349" s="75"/>
      <c r="F349" s="69"/>
      <c r="G349" s="69"/>
      <c r="H349" s="69"/>
      <c r="I349" s="69"/>
      <c r="J349" s="69"/>
      <c r="K349" s="69"/>
      <c r="L349" s="69"/>
      <c r="M349" s="69"/>
      <c r="N349" s="69"/>
      <c r="O349" s="146"/>
      <c r="P349" s="69"/>
      <c r="Q349" s="69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</row>
    <row r="350" spans="3:35" x14ac:dyDescent="0.2">
      <c r="C350" s="157"/>
      <c r="D350" s="75"/>
      <c r="E350" s="75"/>
      <c r="F350" s="69"/>
      <c r="G350" s="69"/>
      <c r="H350" s="69"/>
      <c r="I350" s="69"/>
      <c r="J350" s="69"/>
      <c r="K350" s="69"/>
      <c r="L350" s="69"/>
      <c r="M350" s="69"/>
      <c r="N350" s="69"/>
      <c r="O350" s="146"/>
      <c r="P350" s="69"/>
      <c r="Q350" s="69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</row>
    <row r="351" spans="3:35" x14ac:dyDescent="0.2">
      <c r="C351" s="157"/>
      <c r="D351" s="75"/>
      <c r="E351" s="75"/>
      <c r="F351" s="69"/>
      <c r="G351" s="69"/>
      <c r="H351" s="69"/>
      <c r="I351" s="69"/>
      <c r="J351" s="69"/>
      <c r="K351" s="69"/>
      <c r="L351" s="69"/>
      <c r="M351" s="69"/>
      <c r="N351" s="69"/>
      <c r="O351" s="146"/>
      <c r="P351" s="69"/>
      <c r="Q351" s="69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</row>
    <row r="352" spans="3:35" x14ac:dyDescent="0.2">
      <c r="C352" s="157"/>
      <c r="D352" s="75"/>
      <c r="E352" s="75"/>
      <c r="F352" s="69"/>
      <c r="G352" s="69"/>
      <c r="H352" s="69"/>
      <c r="I352" s="69"/>
      <c r="J352" s="69"/>
      <c r="K352" s="69"/>
      <c r="L352" s="69"/>
      <c r="M352" s="69"/>
      <c r="N352" s="69"/>
      <c r="O352" s="146"/>
      <c r="P352" s="69"/>
      <c r="Q352" s="69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</row>
    <row r="353" spans="3:35" x14ac:dyDescent="0.2">
      <c r="C353" s="157"/>
      <c r="D353" s="75"/>
      <c r="E353" s="75"/>
      <c r="F353" s="69"/>
      <c r="G353" s="69"/>
      <c r="H353" s="69"/>
      <c r="I353" s="69"/>
      <c r="J353" s="69"/>
      <c r="K353" s="69"/>
      <c r="L353" s="69"/>
      <c r="M353" s="69"/>
      <c r="N353" s="69"/>
      <c r="O353" s="146"/>
      <c r="P353" s="69"/>
      <c r="Q353" s="69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</row>
    <row r="354" spans="3:35" x14ac:dyDescent="0.2">
      <c r="C354" s="157"/>
      <c r="D354" s="75"/>
      <c r="E354" s="75"/>
      <c r="F354" s="69"/>
      <c r="G354" s="69"/>
      <c r="H354" s="69"/>
      <c r="I354" s="69"/>
      <c r="J354" s="69"/>
      <c r="K354" s="69"/>
      <c r="L354" s="69"/>
      <c r="M354" s="69"/>
      <c r="N354" s="69"/>
      <c r="O354" s="146"/>
      <c r="P354" s="69"/>
      <c r="Q354" s="69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</row>
    <row r="355" spans="3:35" x14ac:dyDescent="0.2">
      <c r="C355" s="157"/>
      <c r="D355" s="75"/>
      <c r="E355" s="75"/>
      <c r="F355" s="69"/>
      <c r="G355" s="69"/>
      <c r="H355" s="69"/>
      <c r="I355" s="69"/>
      <c r="J355" s="69"/>
      <c r="K355" s="69"/>
      <c r="L355" s="69"/>
      <c r="M355" s="69"/>
      <c r="N355" s="69"/>
      <c r="O355" s="146"/>
      <c r="P355" s="69"/>
      <c r="Q355" s="69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</row>
    <row r="356" spans="3:35" x14ac:dyDescent="0.2">
      <c r="C356" s="157"/>
      <c r="D356" s="75"/>
      <c r="E356" s="75"/>
      <c r="F356" s="69"/>
      <c r="G356" s="69"/>
      <c r="H356" s="69"/>
      <c r="I356" s="69"/>
      <c r="J356" s="69"/>
      <c r="K356" s="69"/>
      <c r="L356" s="69"/>
      <c r="M356" s="69"/>
      <c r="N356" s="69"/>
      <c r="O356" s="146"/>
      <c r="P356" s="69"/>
      <c r="Q356" s="69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</row>
    <row r="357" spans="3:35" x14ac:dyDescent="0.2">
      <c r="C357" s="157"/>
      <c r="D357" s="75"/>
      <c r="E357" s="75"/>
      <c r="F357" s="69"/>
      <c r="G357" s="69"/>
      <c r="H357" s="69"/>
      <c r="I357" s="69"/>
      <c r="J357" s="69"/>
      <c r="K357" s="69"/>
      <c r="L357" s="69"/>
      <c r="M357" s="69"/>
      <c r="N357" s="69"/>
      <c r="O357" s="146"/>
      <c r="P357" s="69"/>
      <c r="Q357" s="69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</row>
    <row r="358" spans="3:35" x14ac:dyDescent="0.2">
      <c r="C358" s="157"/>
      <c r="D358" s="75"/>
      <c r="E358" s="75"/>
      <c r="F358" s="69"/>
      <c r="G358" s="69"/>
      <c r="H358" s="69"/>
      <c r="I358" s="69"/>
      <c r="J358" s="69"/>
      <c r="K358" s="69"/>
      <c r="L358" s="69"/>
      <c r="M358" s="69"/>
      <c r="N358" s="69"/>
      <c r="O358" s="146"/>
      <c r="P358" s="69"/>
      <c r="Q358" s="69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</row>
    <row r="359" spans="3:35" x14ac:dyDescent="0.2">
      <c r="C359" s="157"/>
      <c r="D359" s="75"/>
      <c r="E359" s="75"/>
      <c r="F359" s="69"/>
      <c r="G359" s="69"/>
      <c r="H359" s="69"/>
      <c r="I359" s="69"/>
      <c r="J359" s="69"/>
      <c r="K359" s="69"/>
      <c r="L359" s="69"/>
      <c r="M359" s="69"/>
      <c r="N359" s="69"/>
      <c r="O359" s="146"/>
      <c r="P359" s="69"/>
      <c r="Q359" s="69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</row>
    <row r="360" spans="3:35" x14ac:dyDescent="0.2">
      <c r="C360" s="157"/>
      <c r="D360" s="75"/>
      <c r="E360" s="75"/>
      <c r="F360" s="69"/>
      <c r="G360" s="69"/>
      <c r="H360" s="69"/>
      <c r="I360" s="69"/>
      <c r="J360" s="69"/>
      <c r="K360" s="69"/>
      <c r="L360" s="69"/>
      <c r="M360" s="69"/>
      <c r="N360" s="69"/>
      <c r="O360" s="146"/>
      <c r="P360" s="69"/>
      <c r="Q360" s="69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</row>
    <row r="361" spans="3:35" x14ac:dyDescent="0.2">
      <c r="C361" s="157"/>
      <c r="D361" s="75"/>
      <c r="E361" s="75"/>
      <c r="F361" s="69"/>
      <c r="G361" s="69"/>
      <c r="H361" s="69"/>
      <c r="I361" s="69"/>
      <c r="J361" s="69"/>
      <c r="K361" s="69"/>
      <c r="L361" s="69"/>
      <c r="M361" s="69"/>
      <c r="N361" s="69"/>
      <c r="O361" s="146"/>
      <c r="P361" s="69"/>
      <c r="Q361" s="69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</row>
    <row r="362" spans="3:35" x14ac:dyDescent="0.2">
      <c r="C362" s="157"/>
      <c r="D362" s="75"/>
      <c r="E362" s="75"/>
      <c r="F362" s="69"/>
      <c r="G362" s="69"/>
      <c r="H362" s="69"/>
      <c r="I362" s="69"/>
      <c r="J362" s="69"/>
      <c r="K362" s="69"/>
      <c r="L362" s="69"/>
      <c r="M362" s="69"/>
      <c r="N362" s="69"/>
      <c r="O362" s="146"/>
      <c r="P362" s="69"/>
      <c r="Q362" s="69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</row>
    <row r="363" spans="3:35" x14ac:dyDescent="0.2">
      <c r="C363" s="157"/>
      <c r="D363" s="75"/>
      <c r="E363" s="75"/>
      <c r="F363" s="69"/>
      <c r="G363" s="69"/>
      <c r="H363" s="69"/>
      <c r="I363" s="69"/>
      <c r="J363" s="69"/>
      <c r="K363" s="69"/>
      <c r="L363" s="69"/>
      <c r="M363" s="69"/>
      <c r="N363" s="69"/>
      <c r="O363" s="146"/>
      <c r="P363" s="69"/>
      <c r="Q363" s="69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</row>
    <row r="364" spans="3:35" x14ac:dyDescent="0.2">
      <c r="C364" s="157"/>
      <c r="D364" s="75"/>
      <c r="E364" s="75"/>
      <c r="F364" s="69"/>
      <c r="G364" s="69"/>
      <c r="H364" s="69"/>
      <c r="I364" s="69"/>
      <c r="J364" s="69"/>
      <c r="K364" s="69"/>
      <c r="L364" s="69"/>
      <c r="M364" s="69"/>
      <c r="N364" s="69"/>
      <c r="O364" s="146"/>
      <c r="P364" s="69"/>
      <c r="Q364" s="69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</row>
    <row r="365" spans="3:35" x14ac:dyDescent="0.2">
      <c r="C365" s="157"/>
      <c r="D365" s="75"/>
      <c r="E365" s="75"/>
      <c r="F365" s="69"/>
      <c r="G365" s="69"/>
      <c r="H365" s="69"/>
      <c r="I365" s="69"/>
      <c r="J365" s="69"/>
      <c r="K365" s="69"/>
      <c r="L365" s="69"/>
      <c r="M365" s="69"/>
      <c r="N365" s="69"/>
      <c r="O365" s="146"/>
      <c r="P365" s="69"/>
      <c r="Q365" s="69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</row>
    <row r="366" spans="3:35" x14ac:dyDescent="0.2">
      <c r="C366" s="157"/>
      <c r="D366" s="75"/>
      <c r="E366" s="75"/>
      <c r="F366" s="69"/>
      <c r="G366" s="69"/>
      <c r="H366" s="69"/>
      <c r="I366" s="69"/>
      <c r="J366" s="69"/>
      <c r="K366" s="69"/>
      <c r="L366" s="69"/>
      <c r="M366" s="69"/>
      <c r="N366" s="69"/>
      <c r="O366" s="146"/>
      <c r="P366" s="69"/>
      <c r="Q366" s="69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</row>
    <row r="367" spans="3:35" x14ac:dyDescent="0.2">
      <c r="C367" s="157"/>
      <c r="D367" s="75"/>
      <c r="E367" s="75"/>
      <c r="F367" s="69"/>
      <c r="G367" s="69"/>
      <c r="H367" s="69"/>
      <c r="I367" s="69"/>
      <c r="J367" s="69"/>
      <c r="K367" s="69"/>
      <c r="L367" s="69"/>
      <c r="M367" s="69"/>
      <c r="N367" s="69"/>
      <c r="O367" s="146"/>
      <c r="P367" s="69"/>
      <c r="Q367" s="69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</row>
    <row r="368" spans="3:35" x14ac:dyDescent="0.2">
      <c r="C368" s="157"/>
      <c r="D368" s="75"/>
      <c r="E368" s="75"/>
      <c r="F368" s="69"/>
      <c r="G368" s="69"/>
      <c r="H368" s="69"/>
      <c r="I368" s="69"/>
      <c r="J368" s="69"/>
      <c r="K368" s="69"/>
      <c r="L368" s="69"/>
      <c r="M368" s="69"/>
      <c r="N368" s="69"/>
      <c r="O368" s="146"/>
      <c r="P368" s="69"/>
      <c r="Q368" s="69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</row>
    <row r="369" spans="3:35" x14ac:dyDescent="0.2">
      <c r="C369" s="157"/>
      <c r="D369" s="75"/>
      <c r="E369" s="75"/>
      <c r="F369" s="69"/>
      <c r="G369" s="69"/>
      <c r="H369" s="69"/>
      <c r="I369" s="69"/>
      <c r="J369" s="69"/>
      <c r="K369" s="69"/>
      <c r="L369" s="69"/>
      <c r="M369" s="69"/>
      <c r="N369" s="69"/>
      <c r="O369" s="146"/>
      <c r="P369" s="69"/>
      <c r="Q369" s="69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</row>
    <row r="370" spans="3:35" x14ac:dyDescent="0.2">
      <c r="C370" s="157"/>
      <c r="D370" s="75"/>
      <c r="E370" s="75"/>
      <c r="F370" s="69"/>
      <c r="G370" s="69"/>
      <c r="H370" s="69"/>
      <c r="I370" s="69"/>
      <c r="J370" s="69"/>
      <c r="K370" s="69"/>
      <c r="L370" s="69"/>
      <c r="M370" s="69"/>
      <c r="N370" s="69"/>
      <c r="O370" s="146"/>
      <c r="P370" s="69"/>
      <c r="Q370" s="69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</row>
    <row r="371" spans="3:35" x14ac:dyDescent="0.2">
      <c r="C371" s="157"/>
      <c r="D371" s="75"/>
      <c r="E371" s="75"/>
      <c r="F371" s="69"/>
      <c r="G371" s="69"/>
      <c r="H371" s="69"/>
      <c r="I371" s="69"/>
      <c r="J371" s="69"/>
      <c r="K371" s="69"/>
      <c r="L371" s="69"/>
      <c r="M371" s="69"/>
      <c r="N371" s="69"/>
      <c r="O371" s="146"/>
      <c r="P371" s="69"/>
      <c r="Q371" s="69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</row>
    <row r="372" spans="3:35" x14ac:dyDescent="0.2">
      <c r="C372" s="157"/>
      <c r="D372" s="75"/>
      <c r="E372" s="75"/>
      <c r="F372" s="69"/>
      <c r="G372" s="69"/>
      <c r="H372" s="69"/>
      <c r="I372" s="69"/>
      <c r="J372" s="69"/>
      <c r="K372" s="69"/>
      <c r="L372" s="69"/>
      <c r="M372" s="69"/>
      <c r="N372" s="69"/>
      <c r="O372" s="146"/>
      <c r="P372" s="69"/>
      <c r="Q372" s="69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</row>
    <row r="373" spans="3:35" x14ac:dyDescent="0.2">
      <c r="C373" s="157"/>
      <c r="D373" s="75"/>
      <c r="E373" s="75"/>
      <c r="F373" s="69"/>
      <c r="G373" s="69"/>
      <c r="H373" s="69"/>
      <c r="I373" s="69"/>
      <c r="J373" s="69"/>
      <c r="K373" s="69"/>
      <c r="L373" s="69"/>
      <c r="M373" s="69"/>
      <c r="N373" s="69"/>
      <c r="O373" s="146"/>
      <c r="P373" s="69"/>
      <c r="Q373" s="69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</row>
    <row r="374" spans="3:35" x14ac:dyDescent="0.2">
      <c r="C374" s="157"/>
      <c r="D374" s="75"/>
      <c r="E374" s="75"/>
      <c r="F374" s="69"/>
      <c r="G374" s="69"/>
      <c r="H374" s="69"/>
      <c r="I374" s="69"/>
      <c r="J374" s="69"/>
      <c r="K374" s="69"/>
      <c r="L374" s="69"/>
      <c r="M374" s="69"/>
      <c r="N374" s="69"/>
      <c r="O374" s="146"/>
      <c r="P374" s="69"/>
      <c r="Q374" s="69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</row>
    <row r="375" spans="3:35" x14ac:dyDescent="0.2">
      <c r="C375" s="157"/>
      <c r="D375" s="75"/>
      <c r="E375" s="75"/>
      <c r="F375" s="69"/>
      <c r="G375" s="69"/>
      <c r="H375" s="69"/>
      <c r="I375" s="69"/>
      <c r="J375" s="69"/>
      <c r="K375" s="69"/>
      <c r="L375" s="69"/>
      <c r="M375" s="69"/>
      <c r="N375" s="69"/>
      <c r="O375" s="146"/>
      <c r="P375" s="69"/>
      <c r="Q375" s="69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</row>
    <row r="376" spans="3:35" x14ac:dyDescent="0.2">
      <c r="C376" s="157"/>
      <c r="D376" s="75"/>
      <c r="E376" s="75"/>
      <c r="F376" s="69"/>
      <c r="G376" s="69"/>
      <c r="H376" s="69"/>
      <c r="I376" s="69"/>
      <c r="J376" s="69"/>
      <c r="K376" s="69"/>
      <c r="L376" s="69"/>
      <c r="M376" s="69"/>
      <c r="N376" s="69"/>
      <c r="O376" s="146"/>
      <c r="P376" s="69"/>
      <c r="Q376" s="69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</row>
    <row r="377" spans="3:35" x14ac:dyDescent="0.2">
      <c r="C377" s="157"/>
      <c r="D377" s="75"/>
      <c r="E377" s="75"/>
      <c r="F377" s="69"/>
      <c r="G377" s="69"/>
      <c r="H377" s="69"/>
      <c r="I377" s="69"/>
      <c r="J377" s="69"/>
      <c r="K377" s="69"/>
      <c r="L377" s="69"/>
      <c r="M377" s="69"/>
      <c r="N377" s="69"/>
      <c r="O377" s="146"/>
      <c r="P377" s="69"/>
      <c r="Q377" s="69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</row>
    <row r="378" spans="3:35" x14ac:dyDescent="0.2">
      <c r="C378" s="157"/>
      <c r="D378" s="75"/>
      <c r="E378" s="75"/>
      <c r="F378" s="69"/>
      <c r="G378" s="69"/>
      <c r="H378" s="69"/>
      <c r="I378" s="69"/>
      <c r="J378" s="69"/>
      <c r="K378" s="69"/>
      <c r="L378" s="69"/>
      <c r="M378" s="69"/>
      <c r="N378" s="69"/>
      <c r="O378" s="146"/>
      <c r="P378" s="69"/>
      <c r="Q378" s="69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</row>
    <row r="379" spans="3:35" x14ac:dyDescent="0.2">
      <c r="C379" s="157"/>
      <c r="D379" s="75"/>
      <c r="E379" s="75"/>
      <c r="F379" s="69"/>
      <c r="G379" s="69"/>
      <c r="H379" s="69"/>
      <c r="I379" s="69"/>
      <c r="J379" s="69"/>
      <c r="K379" s="69"/>
      <c r="L379" s="69"/>
      <c r="M379" s="69"/>
      <c r="N379" s="69"/>
      <c r="O379" s="146"/>
      <c r="P379" s="69"/>
      <c r="Q379" s="69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</row>
    <row r="380" spans="3:35" x14ac:dyDescent="0.2">
      <c r="C380" s="157"/>
      <c r="D380" s="75"/>
      <c r="E380" s="75"/>
      <c r="F380" s="69"/>
      <c r="G380" s="69"/>
      <c r="H380" s="69"/>
      <c r="I380" s="69"/>
      <c r="J380" s="69"/>
      <c r="K380" s="69"/>
      <c r="L380" s="69"/>
      <c r="M380" s="69"/>
      <c r="N380" s="69"/>
      <c r="O380" s="146"/>
      <c r="P380" s="69"/>
      <c r="Q380" s="69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</row>
    <row r="381" spans="3:35" x14ac:dyDescent="0.2">
      <c r="C381" s="157"/>
      <c r="D381" s="75"/>
      <c r="E381" s="75"/>
      <c r="F381" s="69"/>
      <c r="G381" s="69"/>
      <c r="H381" s="69"/>
      <c r="I381" s="69"/>
      <c r="J381" s="69"/>
      <c r="K381" s="69"/>
      <c r="L381" s="69"/>
      <c r="M381" s="69"/>
      <c r="N381" s="69"/>
      <c r="O381" s="146"/>
      <c r="P381" s="69"/>
      <c r="Q381" s="69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</row>
    <row r="382" spans="3:35" x14ac:dyDescent="0.2">
      <c r="C382" s="157"/>
      <c r="D382" s="75"/>
      <c r="E382" s="75"/>
      <c r="F382" s="69"/>
      <c r="G382" s="69"/>
      <c r="H382" s="69"/>
      <c r="I382" s="69"/>
      <c r="J382" s="69"/>
      <c r="K382" s="69"/>
      <c r="L382" s="69"/>
      <c r="M382" s="69"/>
      <c r="N382" s="69"/>
      <c r="O382" s="146"/>
      <c r="P382" s="69"/>
      <c r="Q382" s="69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</row>
    <row r="383" spans="3:35" x14ac:dyDescent="0.2">
      <c r="C383" s="157"/>
      <c r="D383" s="75"/>
      <c r="E383" s="75"/>
      <c r="F383" s="69"/>
      <c r="G383" s="69"/>
      <c r="H383" s="69"/>
      <c r="I383" s="69"/>
      <c r="J383" s="69"/>
      <c r="K383" s="69"/>
      <c r="L383" s="69"/>
      <c r="M383" s="69"/>
      <c r="N383" s="69"/>
      <c r="O383" s="146"/>
      <c r="P383" s="69"/>
      <c r="Q383" s="69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</row>
    <row r="384" spans="3:35" x14ac:dyDescent="0.2">
      <c r="C384" s="157"/>
      <c r="D384" s="75"/>
      <c r="E384" s="75"/>
      <c r="F384" s="69"/>
      <c r="G384" s="69"/>
      <c r="H384" s="69"/>
      <c r="I384" s="69"/>
      <c r="J384" s="69"/>
      <c r="K384" s="69"/>
      <c r="L384" s="69"/>
      <c r="M384" s="69"/>
      <c r="N384" s="69"/>
      <c r="O384" s="146"/>
      <c r="P384" s="69"/>
      <c r="Q384" s="69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</row>
    <row r="385" spans="3:35" x14ac:dyDescent="0.2">
      <c r="C385" s="157"/>
      <c r="D385" s="75"/>
      <c r="E385" s="75"/>
      <c r="F385" s="69"/>
      <c r="G385" s="69"/>
      <c r="H385" s="69"/>
      <c r="I385" s="69"/>
      <c r="J385" s="69"/>
      <c r="K385" s="69"/>
      <c r="L385" s="69"/>
      <c r="M385" s="69"/>
      <c r="N385" s="69"/>
      <c r="O385" s="146"/>
      <c r="P385" s="69"/>
      <c r="Q385" s="69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</row>
    <row r="386" spans="3:35" x14ac:dyDescent="0.2">
      <c r="C386" s="157"/>
      <c r="D386" s="75"/>
      <c r="E386" s="75"/>
      <c r="F386" s="69"/>
      <c r="G386" s="69"/>
      <c r="H386" s="69"/>
      <c r="I386" s="69"/>
      <c r="J386" s="69"/>
      <c r="K386" s="69"/>
      <c r="L386" s="69"/>
      <c r="M386" s="69"/>
      <c r="N386" s="69"/>
      <c r="O386" s="146"/>
      <c r="P386" s="69"/>
      <c r="Q386" s="69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</row>
    <row r="387" spans="3:35" x14ac:dyDescent="0.2">
      <c r="C387" s="157"/>
      <c r="D387" s="75"/>
      <c r="E387" s="75"/>
      <c r="F387" s="69"/>
      <c r="G387" s="69"/>
      <c r="H387" s="69"/>
      <c r="I387" s="69"/>
      <c r="J387" s="69"/>
      <c r="K387" s="69"/>
      <c r="L387" s="69"/>
      <c r="M387" s="69"/>
      <c r="N387" s="69"/>
      <c r="O387" s="146"/>
      <c r="P387" s="69"/>
      <c r="Q387" s="69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</row>
    <row r="388" spans="3:35" x14ac:dyDescent="0.2">
      <c r="C388" s="157"/>
      <c r="D388" s="75"/>
      <c r="E388" s="75"/>
      <c r="F388" s="69"/>
      <c r="G388" s="69"/>
      <c r="H388" s="69"/>
      <c r="I388" s="69"/>
      <c r="J388" s="69"/>
      <c r="K388" s="69"/>
      <c r="L388" s="69"/>
      <c r="M388" s="69"/>
      <c r="N388" s="69"/>
      <c r="O388" s="146"/>
      <c r="P388" s="69"/>
      <c r="Q388" s="69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</row>
    <row r="389" spans="3:35" x14ac:dyDescent="0.2">
      <c r="C389" s="157"/>
      <c r="D389" s="75"/>
      <c r="E389" s="75"/>
      <c r="F389" s="69"/>
      <c r="G389" s="69"/>
      <c r="H389" s="69"/>
      <c r="I389" s="69"/>
      <c r="J389" s="69"/>
      <c r="K389" s="69"/>
      <c r="L389" s="69"/>
      <c r="M389" s="69"/>
      <c r="N389" s="69"/>
      <c r="O389" s="146"/>
      <c r="P389" s="69"/>
      <c r="Q389" s="69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</row>
    <row r="390" spans="3:35" x14ac:dyDescent="0.2">
      <c r="C390" s="157"/>
      <c r="D390" s="75"/>
      <c r="E390" s="75"/>
      <c r="F390" s="69"/>
      <c r="G390" s="69"/>
      <c r="H390" s="69"/>
      <c r="I390" s="69"/>
      <c r="J390" s="69"/>
      <c r="K390" s="69"/>
      <c r="L390" s="69"/>
      <c r="M390" s="69"/>
      <c r="N390" s="69"/>
      <c r="O390" s="146"/>
      <c r="P390" s="69"/>
      <c r="Q390" s="69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</row>
    <row r="391" spans="3:35" x14ac:dyDescent="0.2">
      <c r="C391" s="157"/>
      <c r="D391" s="75"/>
      <c r="E391" s="75"/>
      <c r="F391" s="69"/>
      <c r="G391" s="69"/>
      <c r="H391" s="69"/>
      <c r="I391" s="69"/>
      <c r="J391" s="69"/>
      <c r="K391" s="69"/>
      <c r="L391" s="69"/>
      <c r="M391" s="69"/>
      <c r="N391" s="69"/>
      <c r="O391" s="146"/>
      <c r="P391" s="69"/>
      <c r="Q391" s="69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</row>
    <row r="392" spans="3:35" x14ac:dyDescent="0.2">
      <c r="C392" s="157"/>
      <c r="D392" s="75"/>
      <c r="E392" s="75"/>
      <c r="F392" s="69"/>
      <c r="G392" s="69"/>
      <c r="H392" s="69"/>
      <c r="I392" s="69"/>
      <c r="J392" s="69"/>
      <c r="K392" s="69"/>
      <c r="L392" s="69"/>
      <c r="M392" s="69"/>
      <c r="N392" s="69"/>
      <c r="O392" s="146"/>
      <c r="P392" s="69"/>
      <c r="Q392" s="69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</row>
    <row r="393" spans="3:35" x14ac:dyDescent="0.2">
      <c r="C393" s="157"/>
      <c r="D393" s="75"/>
      <c r="E393" s="75"/>
      <c r="F393" s="69"/>
      <c r="G393" s="69"/>
      <c r="H393" s="69"/>
      <c r="I393" s="69"/>
      <c r="J393" s="69"/>
      <c r="K393" s="69"/>
      <c r="L393" s="69"/>
      <c r="M393" s="69"/>
      <c r="N393" s="69"/>
      <c r="O393" s="146"/>
      <c r="P393" s="69"/>
      <c r="Q393" s="69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</row>
    <row r="394" spans="3:35" x14ac:dyDescent="0.2">
      <c r="C394" s="157"/>
      <c r="D394" s="75"/>
      <c r="E394" s="75"/>
      <c r="F394" s="69"/>
      <c r="G394" s="69"/>
      <c r="H394" s="69"/>
      <c r="I394" s="69"/>
      <c r="J394" s="69"/>
      <c r="K394" s="69"/>
      <c r="L394" s="69"/>
      <c r="M394" s="69"/>
      <c r="N394" s="69"/>
      <c r="O394" s="146"/>
      <c r="P394" s="69"/>
      <c r="Q394" s="69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</row>
    <row r="395" spans="3:35" x14ac:dyDescent="0.2">
      <c r="C395" s="157"/>
      <c r="D395" s="75"/>
      <c r="E395" s="75"/>
      <c r="F395" s="69"/>
      <c r="G395" s="69"/>
      <c r="H395" s="69"/>
      <c r="I395" s="69"/>
      <c r="J395" s="69"/>
      <c r="K395" s="69"/>
      <c r="L395" s="69"/>
      <c r="M395" s="69"/>
      <c r="N395" s="69"/>
      <c r="O395" s="146"/>
      <c r="P395" s="69"/>
      <c r="Q395" s="69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</row>
    <row r="396" spans="3:35" x14ac:dyDescent="0.2">
      <c r="C396" s="157"/>
      <c r="D396" s="75"/>
      <c r="E396" s="75"/>
      <c r="F396" s="69"/>
      <c r="G396" s="69"/>
      <c r="H396" s="69"/>
      <c r="I396" s="69"/>
      <c r="J396" s="69"/>
      <c r="K396" s="69"/>
      <c r="L396" s="69"/>
      <c r="M396" s="69"/>
      <c r="N396" s="69"/>
      <c r="O396" s="146"/>
      <c r="P396" s="69"/>
      <c r="Q396" s="69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</row>
    <row r="397" spans="3:35" x14ac:dyDescent="0.2">
      <c r="C397" s="157"/>
      <c r="D397" s="75"/>
      <c r="E397" s="75"/>
      <c r="F397" s="69"/>
      <c r="G397" s="69"/>
      <c r="H397" s="69"/>
      <c r="I397" s="69"/>
      <c r="J397" s="69"/>
      <c r="K397" s="69"/>
      <c r="L397" s="69"/>
      <c r="M397" s="69"/>
      <c r="N397" s="69"/>
      <c r="O397" s="146"/>
      <c r="P397" s="69"/>
      <c r="Q397" s="69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</row>
    <row r="398" spans="3:35" x14ac:dyDescent="0.2">
      <c r="C398" s="157"/>
      <c r="D398" s="75"/>
      <c r="E398" s="75"/>
      <c r="F398" s="69"/>
      <c r="G398" s="69"/>
      <c r="H398" s="69"/>
      <c r="I398" s="69"/>
      <c r="J398" s="69"/>
      <c r="K398" s="69"/>
      <c r="L398" s="69"/>
      <c r="M398" s="69"/>
      <c r="N398" s="69"/>
      <c r="O398" s="146"/>
      <c r="P398" s="69"/>
      <c r="Q398" s="69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</row>
    <row r="399" spans="3:35" x14ac:dyDescent="0.2">
      <c r="C399" s="157"/>
      <c r="D399" s="75"/>
      <c r="E399" s="75"/>
      <c r="F399" s="69"/>
      <c r="G399" s="69"/>
      <c r="H399" s="69"/>
      <c r="I399" s="69"/>
      <c r="J399" s="69"/>
      <c r="K399" s="69"/>
      <c r="L399" s="69"/>
      <c r="M399" s="69"/>
      <c r="N399" s="69"/>
      <c r="O399" s="146"/>
      <c r="P399" s="69"/>
      <c r="Q399" s="69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</row>
    <row r="400" spans="3:35" x14ac:dyDescent="0.2">
      <c r="C400" s="157"/>
      <c r="D400" s="75"/>
      <c r="E400" s="75"/>
      <c r="F400" s="69"/>
      <c r="G400" s="69"/>
      <c r="H400" s="69"/>
      <c r="I400" s="69"/>
      <c r="J400" s="69"/>
      <c r="K400" s="69"/>
      <c r="L400" s="69"/>
      <c r="M400" s="69"/>
      <c r="N400" s="69"/>
      <c r="O400" s="146"/>
      <c r="P400" s="69"/>
      <c r="Q400" s="69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</row>
    <row r="401" spans="3:35" x14ac:dyDescent="0.2">
      <c r="C401" s="157"/>
      <c r="D401" s="75"/>
      <c r="E401" s="75"/>
      <c r="F401" s="69"/>
      <c r="G401" s="69"/>
      <c r="H401" s="69"/>
      <c r="I401" s="69"/>
      <c r="J401" s="69"/>
      <c r="K401" s="69"/>
      <c r="L401" s="69"/>
      <c r="M401" s="69"/>
      <c r="N401" s="69"/>
      <c r="O401" s="146"/>
      <c r="P401" s="69"/>
      <c r="Q401" s="69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</row>
    <row r="402" spans="3:35" x14ac:dyDescent="0.2">
      <c r="C402" s="157"/>
      <c r="D402" s="75"/>
      <c r="E402" s="75"/>
      <c r="F402" s="69"/>
      <c r="G402" s="69"/>
      <c r="H402" s="69"/>
      <c r="I402" s="69"/>
      <c r="J402" s="69"/>
      <c r="K402" s="69"/>
      <c r="L402" s="69"/>
      <c r="M402" s="69"/>
      <c r="N402" s="69"/>
      <c r="O402" s="146"/>
      <c r="P402" s="69"/>
      <c r="Q402" s="69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</row>
    <row r="403" spans="3:35" x14ac:dyDescent="0.2">
      <c r="C403" s="157"/>
      <c r="D403" s="75"/>
      <c r="E403" s="75"/>
      <c r="F403" s="69"/>
      <c r="G403" s="69"/>
      <c r="H403" s="69"/>
      <c r="I403" s="69"/>
      <c r="J403" s="69"/>
      <c r="K403" s="69"/>
      <c r="L403" s="69"/>
      <c r="M403" s="69"/>
      <c r="N403" s="69"/>
      <c r="O403" s="146"/>
      <c r="P403" s="69"/>
      <c r="Q403" s="69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</row>
    <row r="404" spans="3:35" x14ac:dyDescent="0.2">
      <c r="C404" s="157"/>
      <c r="D404" s="75"/>
      <c r="E404" s="75"/>
      <c r="F404" s="69"/>
      <c r="G404" s="69"/>
      <c r="H404" s="69"/>
      <c r="I404" s="69"/>
      <c r="J404" s="69"/>
      <c r="K404" s="69"/>
      <c r="L404" s="69"/>
      <c r="M404" s="69"/>
      <c r="N404" s="69"/>
      <c r="O404" s="146"/>
      <c r="P404" s="69"/>
      <c r="Q404" s="69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</row>
    <row r="405" spans="3:35" x14ac:dyDescent="0.2">
      <c r="C405" s="157"/>
      <c r="D405" s="75"/>
      <c r="E405" s="75"/>
      <c r="F405" s="69"/>
      <c r="G405" s="69"/>
      <c r="H405" s="69"/>
      <c r="I405" s="69"/>
      <c r="J405" s="69"/>
      <c r="K405" s="69"/>
      <c r="L405" s="69"/>
      <c r="M405" s="69"/>
      <c r="N405" s="69"/>
      <c r="O405" s="146"/>
      <c r="P405" s="69"/>
      <c r="Q405" s="69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</row>
    <row r="406" spans="3:35" x14ac:dyDescent="0.2">
      <c r="C406" s="157"/>
      <c r="D406" s="75"/>
      <c r="E406" s="75"/>
      <c r="F406" s="69"/>
      <c r="G406" s="69"/>
      <c r="H406" s="69"/>
      <c r="I406" s="69"/>
      <c r="J406" s="69"/>
      <c r="K406" s="69"/>
      <c r="L406" s="69"/>
      <c r="M406" s="69"/>
      <c r="N406" s="69"/>
      <c r="O406" s="146"/>
      <c r="P406" s="69"/>
      <c r="Q406" s="69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</row>
    <row r="407" spans="3:35" x14ac:dyDescent="0.2">
      <c r="C407" s="157"/>
      <c r="D407" s="75"/>
      <c r="E407" s="75"/>
      <c r="F407" s="69"/>
      <c r="G407" s="69"/>
      <c r="H407" s="69"/>
      <c r="I407" s="69"/>
      <c r="J407" s="69"/>
      <c r="K407" s="69"/>
      <c r="L407" s="69"/>
      <c r="M407" s="69"/>
      <c r="N407" s="69"/>
      <c r="O407" s="146"/>
      <c r="P407" s="69"/>
      <c r="Q407" s="69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</row>
    <row r="408" spans="3:35" x14ac:dyDescent="0.2">
      <c r="C408" s="157"/>
      <c r="D408" s="75"/>
      <c r="E408" s="75"/>
      <c r="F408" s="69"/>
      <c r="G408" s="69"/>
      <c r="H408" s="69"/>
      <c r="I408" s="69"/>
      <c r="J408" s="69"/>
      <c r="K408" s="69"/>
      <c r="L408" s="69"/>
      <c r="M408" s="69"/>
      <c r="N408" s="69"/>
      <c r="O408" s="146"/>
      <c r="P408" s="69"/>
      <c r="Q408" s="69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</row>
    <row r="409" spans="3:35" x14ac:dyDescent="0.2">
      <c r="C409" s="157"/>
      <c r="D409" s="75"/>
      <c r="E409" s="75"/>
      <c r="F409" s="69"/>
      <c r="G409" s="69"/>
      <c r="H409" s="69"/>
      <c r="I409" s="69"/>
      <c r="J409" s="69"/>
      <c r="K409" s="69"/>
      <c r="L409" s="69"/>
      <c r="M409" s="69"/>
      <c r="N409" s="69"/>
      <c r="O409" s="146"/>
      <c r="P409" s="69"/>
      <c r="Q409" s="69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</row>
    <row r="410" spans="3:35" x14ac:dyDescent="0.2">
      <c r="C410" s="157"/>
      <c r="D410" s="75"/>
      <c r="E410" s="75"/>
      <c r="F410" s="69"/>
      <c r="G410" s="69"/>
      <c r="H410" s="69"/>
      <c r="I410" s="69"/>
      <c r="J410" s="69"/>
      <c r="K410" s="69"/>
      <c r="L410" s="69"/>
      <c r="M410" s="69"/>
      <c r="N410" s="69"/>
      <c r="O410" s="146"/>
      <c r="P410" s="69"/>
      <c r="Q410" s="69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</row>
    <row r="411" spans="3:35" x14ac:dyDescent="0.2">
      <c r="C411" s="157"/>
      <c r="D411" s="75"/>
      <c r="E411" s="75"/>
      <c r="F411" s="69"/>
      <c r="G411" s="69"/>
      <c r="H411" s="69"/>
      <c r="I411" s="69"/>
      <c r="J411" s="69"/>
      <c r="K411" s="69"/>
      <c r="L411" s="69"/>
      <c r="M411" s="69"/>
      <c r="N411" s="69"/>
      <c r="O411" s="146"/>
      <c r="P411" s="69"/>
      <c r="Q411" s="69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</row>
    <row r="412" spans="3:35" x14ac:dyDescent="0.2">
      <c r="C412" s="157"/>
      <c r="D412" s="75"/>
      <c r="E412" s="75"/>
      <c r="F412" s="69"/>
      <c r="G412" s="69"/>
      <c r="H412" s="69"/>
      <c r="I412" s="69"/>
      <c r="J412" s="69"/>
      <c r="K412" s="69"/>
      <c r="L412" s="69"/>
      <c r="M412" s="69"/>
      <c r="N412" s="69"/>
      <c r="O412" s="146"/>
      <c r="P412" s="69"/>
      <c r="Q412" s="69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</row>
    <row r="413" spans="3:35" x14ac:dyDescent="0.2">
      <c r="C413" s="157"/>
      <c r="D413" s="75"/>
      <c r="E413" s="75"/>
      <c r="F413" s="69"/>
      <c r="G413" s="69"/>
      <c r="H413" s="69"/>
      <c r="I413" s="69"/>
      <c r="J413" s="69"/>
      <c r="K413" s="69"/>
      <c r="L413" s="69"/>
      <c r="M413" s="69"/>
      <c r="N413" s="69"/>
      <c r="O413" s="146"/>
      <c r="P413" s="69"/>
      <c r="Q413" s="69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</row>
    <row r="414" spans="3:35" x14ac:dyDescent="0.2">
      <c r="C414" s="157"/>
      <c r="D414" s="75"/>
      <c r="E414" s="75"/>
      <c r="F414" s="69"/>
      <c r="G414" s="69"/>
      <c r="H414" s="69"/>
      <c r="I414" s="69"/>
      <c r="J414" s="69"/>
      <c r="K414" s="69"/>
      <c r="L414" s="69"/>
      <c r="M414" s="69"/>
      <c r="N414" s="69"/>
      <c r="O414" s="146"/>
      <c r="P414" s="69"/>
      <c r="Q414" s="69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</row>
    <row r="415" spans="3:35" x14ac:dyDescent="0.2">
      <c r="C415" s="157"/>
      <c r="D415" s="75"/>
      <c r="E415" s="75"/>
      <c r="F415" s="69"/>
      <c r="G415" s="69"/>
      <c r="H415" s="69"/>
      <c r="I415" s="69"/>
      <c r="J415" s="69"/>
      <c r="K415" s="69"/>
      <c r="L415" s="69"/>
      <c r="M415" s="69"/>
      <c r="N415" s="69"/>
      <c r="O415" s="146"/>
      <c r="P415" s="69"/>
      <c r="Q415" s="69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</row>
    <row r="416" spans="3:35" x14ac:dyDescent="0.2">
      <c r="C416" s="157"/>
      <c r="D416" s="75"/>
      <c r="E416" s="75"/>
      <c r="F416" s="69"/>
      <c r="G416" s="69"/>
      <c r="H416" s="69"/>
      <c r="I416" s="69"/>
      <c r="J416" s="69"/>
      <c r="K416" s="69"/>
      <c r="L416" s="69"/>
      <c r="M416" s="69"/>
      <c r="N416" s="69"/>
      <c r="O416" s="146"/>
      <c r="P416" s="69"/>
      <c r="Q416" s="69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</row>
    <row r="417" spans="3:35" x14ac:dyDescent="0.2">
      <c r="C417" s="157"/>
      <c r="D417" s="75"/>
      <c r="E417" s="75"/>
      <c r="F417" s="69"/>
      <c r="G417" s="69"/>
      <c r="H417" s="69"/>
      <c r="I417" s="69"/>
      <c r="J417" s="69"/>
      <c r="K417" s="69"/>
      <c r="L417" s="69"/>
      <c r="M417" s="69"/>
      <c r="N417" s="69"/>
      <c r="O417" s="146"/>
      <c r="P417" s="69"/>
      <c r="Q417" s="69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</row>
    <row r="418" spans="3:35" x14ac:dyDescent="0.2">
      <c r="C418" s="157"/>
      <c r="D418" s="75"/>
      <c r="E418" s="75"/>
      <c r="F418" s="69"/>
      <c r="G418" s="69"/>
      <c r="H418" s="69"/>
      <c r="I418" s="69"/>
      <c r="J418" s="69"/>
      <c r="K418" s="69"/>
      <c r="L418" s="69"/>
      <c r="M418" s="69"/>
      <c r="N418" s="69"/>
      <c r="O418" s="146"/>
      <c r="P418" s="69"/>
      <c r="Q418" s="69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</row>
    <row r="419" spans="3:35" x14ac:dyDescent="0.2">
      <c r="C419" s="157"/>
      <c r="D419" s="75"/>
      <c r="E419" s="75"/>
      <c r="F419" s="69"/>
      <c r="G419" s="69"/>
      <c r="H419" s="69"/>
      <c r="I419" s="69"/>
      <c r="J419" s="69"/>
      <c r="K419" s="69"/>
      <c r="L419" s="69"/>
      <c r="M419" s="69"/>
      <c r="N419" s="69"/>
      <c r="O419" s="146"/>
      <c r="P419" s="69"/>
      <c r="Q419" s="69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</row>
    <row r="420" spans="3:35" x14ac:dyDescent="0.2">
      <c r="C420" s="157"/>
      <c r="D420" s="75"/>
      <c r="E420" s="75"/>
      <c r="F420" s="69"/>
      <c r="G420" s="69"/>
      <c r="H420" s="69"/>
      <c r="I420" s="69"/>
      <c r="J420" s="69"/>
      <c r="K420" s="69"/>
      <c r="L420" s="69"/>
      <c r="M420" s="69"/>
      <c r="N420" s="69"/>
      <c r="O420" s="146"/>
      <c r="P420" s="69"/>
      <c r="Q420" s="69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</row>
    <row r="421" spans="3:35" x14ac:dyDescent="0.2">
      <c r="C421" s="157"/>
      <c r="D421" s="75"/>
      <c r="E421" s="75"/>
      <c r="F421" s="69"/>
      <c r="G421" s="69"/>
      <c r="H421" s="69"/>
      <c r="I421" s="69"/>
      <c r="J421" s="69"/>
      <c r="K421" s="69"/>
      <c r="L421" s="69"/>
      <c r="M421" s="69"/>
      <c r="N421" s="69"/>
      <c r="O421" s="146"/>
      <c r="P421" s="69"/>
      <c r="Q421" s="69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</row>
    <row r="422" spans="3:35" x14ac:dyDescent="0.2">
      <c r="C422" s="157"/>
      <c r="D422" s="75"/>
      <c r="E422" s="75"/>
      <c r="F422" s="69"/>
      <c r="G422" s="69"/>
      <c r="H422" s="69"/>
      <c r="I422" s="69"/>
      <c r="J422" s="69"/>
      <c r="K422" s="69"/>
      <c r="L422" s="69"/>
      <c r="M422" s="69"/>
      <c r="N422" s="69"/>
      <c r="O422" s="146"/>
      <c r="P422" s="69"/>
      <c r="Q422" s="69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</row>
    <row r="423" spans="3:35" x14ac:dyDescent="0.2">
      <c r="C423" s="157"/>
      <c r="D423" s="75"/>
      <c r="E423" s="75"/>
      <c r="F423" s="69"/>
      <c r="G423" s="69"/>
      <c r="H423" s="69"/>
      <c r="I423" s="69"/>
      <c r="J423" s="69"/>
      <c r="K423" s="69"/>
      <c r="L423" s="69"/>
      <c r="M423" s="69"/>
      <c r="N423" s="69"/>
      <c r="O423" s="146"/>
      <c r="P423" s="69"/>
      <c r="Q423" s="69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</row>
    <row r="424" spans="3:35" x14ac:dyDescent="0.2">
      <c r="C424" s="157"/>
      <c r="D424" s="75"/>
      <c r="E424" s="75"/>
      <c r="F424" s="69"/>
      <c r="G424" s="69"/>
      <c r="H424" s="69"/>
      <c r="I424" s="69"/>
      <c r="J424" s="69"/>
      <c r="K424" s="69"/>
      <c r="L424" s="69"/>
      <c r="M424" s="69"/>
      <c r="N424" s="69"/>
      <c r="O424" s="146"/>
      <c r="P424" s="69"/>
      <c r="Q424" s="69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</row>
    <row r="425" spans="3:35" x14ac:dyDescent="0.2">
      <c r="C425" s="157"/>
      <c r="D425" s="75"/>
      <c r="E425" s="75"/>
      <c r="F425" s="69"/>
      <c r="G425" s="69"/>
      <c r="H425" s="69"/>
      <c r="I425" s="69"/>
      <c r="J425" s="69"/>
      <c r="K425" s="69"/>
      <c r="L425" s="69"/>
      <c r="M425" s="69"/>
      <c r="N425" s="69"/>
      <c r="O425" s="146"/>
      <c r="P425" s="69"/>
      <c r="Q425" s="69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</row>
    <row r="426" spans="3:35" x14ac:dyDescent="0.2">
      <c r="C426" s="157"/>
      <c r="D426" s="75"/>
      <c r="E426" s="75"/>
      <c r="F426" s="69"/>
      <c r="G426" s="69"/>
      <c r="H426" s="69"/>
      <c r="I426" s="69"/>
      <c r="J426" s="69"/>
      <c r="K426" s="69"/>
      <c r="L426" s="69"/>
      <c r="M426" s="69"/>
      <c r="N426" s="69"/>
      <c r="O426" s="146"/>
      <c r="P426" s="69"/>
      <c r="Q426" s="69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</row>
    <row r="427" spans="3:35" x14ac:dyDescent="0.2">
      <c r="C427" s="157"/>
      <c r="D427" s="75"/>
      <c r="E427" s="75"/>
      <c r="F427" s="69"/>
      <c r="G427" s="69"/>
      <c r="H427" s="69"/>
      <c r="I427" s="69"/>
      <c r="J427" s="69"/>
      <c r="K427" s="69"/>
      <c r="L427" s="69"/>
      <c r="M427" s="69"/>
      <c r="N427" s="69"/>
      <c r="O427" s="146"/>
      <c r="P427" s="69"/>
      <c r="Q427" s="69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</row>
    <row r="428" spans="3:35" x14ac:dyDescent="0.2">
      <c r="C428" s="157"/>
      <c r="D428" s="75"/>
      <c r="E428" s="75"/>
      <c r="F428" s="69"/>
      <c r="G428" s="69"/>
      <c r="H428" s="69"/>
      <c r="I428" s="69"/>
      <c r="J428" s="69"/>
      <c r="K428" s="69"/>
      <c r="L428" s="69"/>
      <c r="M428" s="69"/>
      <c r="N428" s="69"/>
      <c r="O428" s="146"/>
      <c r="P428" s="69"/>
      <c r="Q428" s="69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</row>
    <row r="429" spans="3:35" x14ac:dyDescent="0.2">
      <c r="C429" s="157"/>
      <c r="D429" s="75"/>
      <c r="E429" s="75"/>
      <c r="F429" s="69"/>
      <c r="G429" s="69"/>
      <c r="H429" s="69"/>
      <c r="I429" s="69"/>
      <c r="J429" s="69"/>
      <c r="K429" s="69"/>
      <c r="L429" s="69"/>
      <c r="M429" s="69"/>
      <c r="N429" s="69"/>
      <c r="O429" s="146"/>
      <c r="P429" s="69"/>
      <c r="Q429" s="69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</row>
    <row r="430" spans="3:35" x14ac:dyDescent="0.2">
      <c r="C430" s="157"/>
      <c r="D430" s="75"/>
      <c r="E430" s="75"/>
      <c r="F430" s="69"/>
      <c r="G430" s="69"/>
      <c r="H430" s="69"/>
      <c r="I430" s="69"/>
      <c r="J430" s="69"/>
      <c r="K430" s="69"/>
      <c r="L430" s="69"/>
      <c r="M430" s="69"/>
      <c r="N430" s="69"/>
      <c r="O430" s="146"/>
      <c r="P430" s="69"/>
      <c r="Q430" s="69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</row>
    <row r="431" spans="3:35" x14ac:dyDescent="0.2">
      <c r="C431" s="157"/>
      <c r="D431" s="75"/>
      <c r="E431" s="75"/>
      <c r="F431" s="69"/>
      <c r="G431" s="69"/>
      <c r="H431" s="69"/>
      <c r="I431" s="69"/>
      <c r="J431" s="69"/>
      <c r="K431" s="69"/>
      <c r="L431" s="69"/>
      <c r="M431" s="69"/>
      <c r="N431" s="69"/>
      <c r="O431" s="146"/>
      <c r="P431" s="69"/>
      <c r="Q431" s="69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</row>
    <row r="432" spans="3:35" x14ac:dyDescent="0.2">
      <c r="C432" s="157"/>
      <c r="D432" s="75"/>
      <c r="E432" s="75"/>
      <c r="F432" s="69"/>
      <c r="G432" s="69"/>
      <c r="H432" s="69"/>
      <c r="I432" s="69"/>
      <c r="J432" s="69"/>
      <c r="K432" s="69"/>
      <c r="L432" s="69"/>
      <c r="M432" s="69"/>
      <c r="N432" s="69"/>
      <c r="O432" s="146"/>
      <c r="P432" s="69"/>
      <c r="Q432" s="69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</row>
    <row r="433" spans="3:35" x14ac:dyDescent="0.2">
      <c r="C433" s="157"/>
      <c r="D433" s="75"/>
      <c r="E433" s="75"/>
      <c r="F433" s="69"/>
      <c r="G433" s="69"/>
      <c r="H433" s="69"/>
      <c r="I433" s="69"/>
      <c r="J433" s="69"/>
      <c r="K433" s="69"/>
      <c r="L433" s="69"/>
      <c r="M433" s="69"/>
      <c r="N433" s="69"/>
      <c r="O433" s="146"/>
      <c r="P433" s="69"/>
      <c r="Q433" s="69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</row>
    <row r="434" spans="3:35" x14ac:dyDescent="0.2">
      <c r="C434" s="157"/>
      <c r="D434" s="75"/>
      <c r="E434" s="75"/>
      <c r="F434" s="69"/>
      <c r="G434" s="69"/>
      <c r="H434" s="69"/>
      <c r="I434" s="69"/>
      <c r="J434" s="69"/>
      <c r="K434" s="69"/>
      <c r="L434" s="69"/>
      <c r="M434" s="69"/>
      <c r="N434" s="69"/>
      <c r="O434" s="146"/>
      <c r="P434" s="69"/>
      <c r="Q434" s="69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</row>
    <row r="435" spans="3:35" x14ac:dyDescent="0.2">
      <c r="C435" s="157"/>
      <c r="D435" s="75"/>
      <c r="E435" s="75"/>
      <c r="F435" s="69"/>
      <c r="G435" s="69"/>
      <c r="H435" s="69"/>
      <c r="I435" s="69"/>
      <c r="J435" s="69"/>
      <c r="K435" s="69"/>
      <c r="L435" s="69"/>
      <c r="M435" s="69"/>
      <c r="N435" s="69"/>
      <c r="O435" s="146"/>
      <c r="P435" s="69"/>
      <c r="Q435" s="69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</row>
    <row r="436" spans="3:35" x14ac:dyDescent="0.2">
      <c r="C436" s="157"/>
      <c r="D436" s="75"/>
      <c r="E436" s="75"/>
      <c r="F436" s="69"/>
      <c r="G436" s="69"/>
      <c r="H436" s="69"/>
      <c r="I436" s="69"/>
      <c r="J436" s="69"/>
      <c r="K436" s="69"/>
      <c r="L436" s="69"/>
      <c r="M436" s="69"/>
      <c r="N436" s="69"/>
      <c r="O436" s="146"/>
      <c r="P436" s="69"/>
      <c r="Q436" s="69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</row>
    <row r="437" spans="3:35" x14ac:dyDescent="0.2">
      <c r="C437" s="157"/>
      <c r="D437" s="75"/>
      <c r="E437" s="75"/>
      <c r="F437" s="69"/>
      <c r="G437" s="69"/>
      <c r="H437" s="69"/>
      <c r="I437" s="69"/>
      <c r="J437" s="69"/>
      <c r="K437" s="69"/>
      <c r="L437" s="69"/>
      <c r="M437" s="69"/>
      <c r="N437" s="69"/>
      <c r="O437" s="146"/>
      <c r="P437" s="69"/>
      <c r="Q437" s="69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</row>
    <row r="438" spans="3:35" x14ac:dyDescent="0.2">
      <c r="C438" s="157"/>
      <c r="D438" s="75"/>
      <c r="E438" s="75"/>
      <c r="F438" s="69"/>
      <c r="G438" s="69"/>
      <c r="H438" s="69"/>
      <c r="I438" s="69"/>
      <c r="J438" s="69"/>
      <c r="K438" s="69"/>
      <c r="L438" s="69"/>
      <c r="M438" s="69"/>
      <c r="N438" s="69"/>
      <c r="O438" s="146"/>
      <c r="P438" s="69"/>
      <c r="Q438" s="69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</row>
    <row r="439" spans="3:35" x14ac:dyDescent="0.2">
      <c r="C439" s="157"/>
      <c r="D439" s="75"/>
      <c r="E439" s="75"/>
      <c r="F439" s="69"/>
      <c r="G439" s="69"/>
      <c r="H439" s="69"/>
      <c r="I439" s="69"/>
      <c r="J439" s="69"/>
      <c r="K439" s="69"/>
      <c r="L439" s="69"/>
      <c r="M439" s="69"/>
      <c r="N439" s="69"/>
      <c r="O439" s="146"/>
      <c r="P439" s="69"/>
      <c r="Q439" s="69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</row>
    <row r="440" spans="3:35" x14ac:dyDescent="0.2">
      <c r="C440" s="157"/>
      <c r="D440" s="75"/>
      <c r="E440" s="75"/>
      <c r="F440" s="69"/>
      <c r="G440" s="69"/>
      <c r="H440" s="69"/>
      <c r="I440" s="69"/>
      <c r="J440" s="69"/>
      <c r="K440" s="69"/>
      <c r="L440" s="69"/>
      <c r="M440" s="69"/>
      <c r="N440" s="69"/>
      <c r="O440" s="146"/>
      <c r="P440" s="69"/>
      <c r="Q440" s="69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</row>
    <row r="441" spans="3:35" x14ac:dyDescent="0.2">
      <c r="C441" s="157"/>
      <c r="D441" s="75"/>
      <c r="E441" s="75"/>
      <c r="F441" s="69"/>
      <c r="G441" s="69"/>
      <c r="H441" s="69"/>
      <c r="I441" s="69"/>
      <c r="J441" s="69"/>
      <c r="K441" s="69"/>
      <c r="L441" s="69"/>
      <c r="M441" s="69"/>
      <c r="N441" s="69"/>
      <c r="O441" s="146"/>
      <c r="P441" s="69"/>
      <c r="Q441" s="69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</row>
    <row r="442" spans="3:35" x14ac:dyDescent="0.2">
      <c r="C442" s="157"/>
      <c r="D442" s="75"/>
      <c r="E442" s="75"/>
      <c r="F442" s="69"/>
      <c r="G442" s="69"/>
      <c r="H442" s="69"/>
      <c r="I442" s="69"/>
      <c r="J442" s="69"/>
      <c r="K442" s="69"/>
      <c r="L442" s="69"/>
      <c r="M442" s="69"/>
      <c r="N442" s="69"/>
      <c r="O442" s="146"/>
      <c r="P442" s="69"/>
      <c r="Q442" s="69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</row>
    <row r="443" spans="3:35" x14ac:dyDescent="0.2">
      <c r="C443" s="157"/>
      <c r="D443" s="75"/>
      <c r="E443" s="75"/>
      <c r="F443" s="69"/>
      <c r="G443" s="69"/>
      <c r="H443" s="69"/>
      <c r="I443" s="69"/>
      <c r="J443" s="69"/>
      <c r="K443" s="69"/>
      <c r="L443" s="69"/>
      <c r="M443" s="69"/>
      <c r="N443" s="69"/>
      <c r="O443" s="146"/>
      <c r="P443" s="69"/>
      <c r="Q443" s="69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</row>
    <row r="444" spans="3:35" x14ac:dyDescent="0.2">
      <c r="C444" s="157"/>
      <c r="D444" s="75"/>
      <c r="E444" s="75"/>
      <c r="F444" s="69"/>
      <c r="G444" s="69"/>
      <c r="H444" s="69"/>
      <c r="I444" s="69"/>
      <c r="J444" s="69"/>
      <c r="K444" s="69"/>
      <c r="L444" s="69"/>
      <c r="M444" s="69"/>
      <c r="N444" s="69"/>
      <c r="O444" s="146"/>
      <c r="P444" s="69"/>
      <c r="Q444" s="69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</row>
    <row r="445" spans="3:35" x14ac:dyDescent="0.2">
      <c r="C445" s="157"/>
      <c r="D445" s="75"/>
      <c r="E445" s="75"/>
      <c r="F445" s="69"/>
      <c r="G445" s="69"/>
      <c r="H445" s="69"/>
      <c r="I445" s="69"/>
      <c r="J445" s="69"/>
      <c r="K445" s="69"/>
      <c r="L445" s="69"/>
      <c r="M445" s="69"/>
      <c r="N445" s="69"/>
      <c r="O445" s="146"/>
      <c r="P445" s="69"/>
      <c r="Q445" s="69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</row>
    <row r="446" spans="3:35" x14ac:dyDescent="0.2">
      <c r="C446" s="157"/>
      <c r="D446" s="75"/>
      <c r="E446" s="75"/>
      <c r="F446" s="69"/>
      <c r="G446" s="69"/>
      <c r="H446" s="69"/>
      <c r="I446" s="69"/>
      <c r="J446" s="69"/>
      <c r="K446" s="69"/>
      <c r="L446" s="69"/>
      <c r="M446" s="69"/>
      <c r="N446" s="69"/>
      <c r="O446" s="146"/>
      <c r="P446" s="69"/>
      <c r="Q446" s="69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</row>
    <row r="447" spans="3:35" x14ac:dyDescent="0.2">
      <c r="C447" s="157"/>
      <c r="D447" s="75"/>
      <c r="E447" s="75"/>
      <c r="F447" s="69"/>
      <c r="G447" s="69"/>
      <c r="H447" s="69"/>
      <c r="I447" s="69"/>
      <c r="J447" s="69"/>
      <c r="K447" s="69"/>
      <c r="L447" s="69"/>
      <c r="M447" s="69"/>
      <c r="N447" s="69"/>
      <c r="O447" s="146"/>
      <c r="P447" s="69"/>
      <c r="Q447" s="69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</row>
    <row r="448" spans="3:35" x14ac:dyDescent="0.2">
      <c r="C448" s="157"/>
      <c r="D448" s="75"/>
      <c r="E448" s="75"/>
      <c r="F448" s="69"/>
      <c r="G448" s="69"/>
      <c r="H448" s="69"/>
      <c r="I448" s="69"/>
      <c r="J448" s="69"/>
      <c r="K448" s="69"/>
      <c r="L448" s="69"/>
      <c r="M448" s="69"/>
      <c r="N448" s="69"/>
      <c r="O448" s="146"/>
      <c r="P448" s="69"/>
      <c r="Q448" s="69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</row>
    <row r="449" spans="1:35" x14ac:dyDescent="0.2">
      <c r="C449" s="157"/>
      <c r="D449" s="75"/>
      <c r="E449" s="75"/>
      <c r="F449" s="69"/>
      <c r="G449" s="69"/>
      <c r="H449" s="69"/>
      <c r="I449" s="69"/>
      <c r="J449" s="69"/>
      <c r="K449" s="69"/>
      <c r="L449" s="69"/>
      <c r="M449" s="69"/>
      <c r="N449" s="69"/>
      <c r="O449" s="146"/>
      <c r="P449" s="69"/>
      <c r="Q449" s="69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</row>
    <row r="450" spans="1:35" x14ac:dyDescent="0.2">
      <c r="C450" s="157"/>
      <c r="D450" s="75"/>
      <c r="E450" s="75"/>
      <c r="F450" s="69"/>
      <c r="G450" s="69"/>
      <c r="H450" s="69"/>
      <c r="I450" s="69"/>
      <c r="J450" s="69"/>
      <c r="K450" s="69"/>
      <c r="L450" s="69"/>
      <c r="M450" s="69"/>
      <c r="N450" s="69"/>
      <c r="O450" s="146"/>
      <c r="P450" s="69"/>
      <c r="Q450" s="69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</row>
    <row r="451" spans="1:35" x14ac:dyDescent="0.2">
      <c r="C451" s="157"/>
      <c r="D451" s="75"/>
      <c r="E451" s="75"/>
      <c r="F451" s="69"/>
      <c r="G451" s="69"/>
      <c r="H451" s="69"/>
      <c r="I451" s="69"/>
      <c r="J451" s="69"/>
      <c r="K451" s="69"/>
      <c r="L451" s="69"/>
      <c r="M451" s="69"/>
      <c r="N451" s="69"/>
      <c r="O451" s="146"/>
      <c r="P451" s="69"/>
      <c r="Q451" s="69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</row>
    <row r="452" spans="1:35" x14ac:dyDescent="0.2">
      <c r="C452" s="157"/>
      <c r="D452" s="75"/>
      <c r="E452" s="75"/>
      <c r="F452" s="69"/>
      <c r="G452" s="69"/>
      <c r="H452" s="69"/>
      <c r="I452" s="69"/>
      <c r="J452" s="69"/>
      <c r="K452" s="69"/>
      <c r="L452" s="69"/>
      <c r="M452" s="69"/>
      <c r="N452" s="69"/>
      <c r="O452" s="146"/>
      <c r="P452" s="69"/>
      <c r="Q452" s="69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</row>
    <row r="453" spans="1:35" x14ac:dyDescent="0.2">
      <c r="C453" s="157"/>
      <c r="D453" s="75"/>
      <c r="E453" s="75"/>
      <c r="F453" s="69"/>
      <c r="G453" s="69"/>
      <c r="H453" s="69"/>
      <c r="I453" s="69"/>
      <c r="J453" s="69"/>
      <c r="K453" s="69"/>
      <c r="L453" s="69"/>
      <c r="M453" s="69"/>
      <c r="N453" s="69"/>
      <c r="O453" s="146"/>
      <c r="P453" s="69"/>
      <c r="Q453" s="69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</row>
    <row r="454" spans="1:35" x14ac:dyDescent="0.2">
      <c r="C454" s="157"/>
      <c r="D454" s="75"/>
      <c r="E454" s="75"/>
      <c r="F454" s="69"/>
      <c r="G454" s="69"/>
      <c r="H454" s="69"/>
      <c r="I454" s="69"/>
      <c r="J454" s="69"/>
      <c r="K454" s="69"/>
      <c r="L454" s="69"/>
      <c r="M454" s="69"/>
      <c r="N454" s="69"/>
      <c r="O454" s="146"/>
      <c r="P454" s="69"/>
      <c r="Q454" s="69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</row>
    <row r="455" spans="1:35" x14ac:dyDescent="0.2">
      <c r="C455" s="157"/>
      <c r="D455" s="75"/>
      <c r="E455" s="75"/>
      <c r="F455" s="69"/>
      <c r="G455" s="69"/>
      <c r="H455" s="69"/>
      <c r="I455" s="69"/>
      <c r="J455" s="69"/>
      <c r="K455" s="69"/>
      <c r="L455" s="69"/>
      <c r="M455" s="69"/>
      <c r="N455" s="69"/>
      <c r="O455" s="146"/>
      <c r="P455" s="69"/>
      <c r="Q455" s="69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</row>
    <row r="456" spans="1:35" x14ac:dyDescent="0.2">
      <c r="A456" s="158"/>
      <c r="B456" s="158"/>
      <c r="C456" s="74"/>
      <c r="D456" s="75"/>
      <c r="E456" s="75"/>
      <c r="F456" s="69"/>
      <c r="G456" s="69"/>
      <c r="H456" s="69"/>
      <c r="I456" s="69"/>
      <c r="J456" s="69"/>
      <c r="K456" s="69"/>
      <c r="L456" s="69"/>
      <c r="M456" s="69"/>
      <c r="N456" s="69"/>
      <c r="O456" s="146"/>
      <c r="P456" s="69"/>
      <c r="Q456" s="69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</row>
    <row r="457" spans="1:35" x14ac:dyDescent="0.2">
      <c r="A457" s="158"/>
      <c r="B457" s="158"/>
      <c r="C457" s="74"/>
      <c r="D457" s="75"/>
      <c r="E457" s="75"/>
      <c r="F457" s="69"/>
      <c r="G457" s="69"/>
      <c r="H457" s="69"/>
      <c r="I457" s="69"/>
      <c r="J457" s="69"/>
      <c r="K457" s="69"/>
      <c r="L457" s="69"/>
      <c r="M457" s="69"/>
      <c r="N457" s="69"/>
      <c r="O457" s="146"/>
      <c r="P457" s="69"/>
      <c r="Q457" s="69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</row>
    <row r="458" spans="1:35" x14ac:dyDescent="0.2">
      <c r="A458" s="158"/>
      <c r="B458" s="158"/>
      <c r="C458" s="74"/>
      <c r="D458" s="75"/>
      <c r="E458" s="75"/>
      <c r="F458" s="69"/>
      <c r="G458" s="69"/>
      <c r="H458" s="69"/>
      <c r="I458" s="69"/>
      <c r="J458" s="69"/>
      <c r="K458" s="69"/>
      <c r="L458" s="69"/>
      <c r="M458" s="69"/>
      <c r="N458" s="69"/>
      <c r="O458" s="146"/>
      <c r="P458" s="69"/>
      <c r="Q458" s="69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</row>
    <row r="459" spans="1:35" x14ac:dyDescent="0.2">
      <c r="A459" s="158"/>
      <c r="B459" s="158"/>
      <c r="C459" s="74"/>
      <c r="D459" s="75"/>
      <c r="E459" s="75"/>
      <c r="F459" s="69"/>
      <c r="G459" s="69"/>
      <c r="H459" s="69"/>
      <c r="I459" s="69"/>
      <c r="J459" s="69"/>
      <c r="K459" s="69"/>
      <c r="L459" s="69"/>
      <c r="M459" s="69"/>
      <c r="N459" s="69"/>
      <c r="O459" s="146"/>
      <c r="P459" s="69"/>
      <c r="Q459" s="69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</row>
    <row r="460" spans="1:35" x14ac:dyDescent="0.2">
      <c r="A460" s="158"/>
      <c r="B460" s="158"/>
      <c r="C460" s="74"/>
      <c r="D460" s="75"/>
      <c r="E460" s="75"/>
      <c r="F460" s="69"/>
      <c r="G460" s="69"/>
      <c r="H460" s="69"/>
      <c r="I460" s="69"/>
      <c r="J460" s="69"/>
      <c r="K460" s="69"/>
      <c r="L460" s="69"/>
      <c r="M460" s="69"/>
      <c r="N460" s="69"/>
      <c r="O460" s="146"/>
      <c r="P460" s="69"/>
      <c r="Q460" s="69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</row>
    <row r="461" spans="1:35" x14ac:dyDescent="0.2">
      <c r="A461" s="158"/>
      <c r="B461" s="158"/>
      <c r="C461" s="74"/>
      <c r="D461" s="75"/>
      <c r="E461" s="75"/>
      <c r="F461" s="69"/>
      <c r="G461" s="69"/>
      <c r="H461" s="69"/>
      <c r="I461" s="69"/>
      <c r="J461" s="69"/>
      <c r="K461" s="69"/>
      <c r="L461" s="69"/>
      <c r="M461" s="69"/>
      <c r="N461" s="69"/>
      <c r="O461" s="146"/>
      <c r="P461" s="69"/>
      <c r="Q461" s="69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</row>
    <row r="462" spans="1:35" x14ac:dyDescent="0.2">
      <c r="A462" s="158"/>
      <c r="B462" s="158"/>
      <c r="C462" s="74"/>
      <c r="D462" s="75"/>
      <c r="E462" s="75"/>
      <c r="F462" s="69"/>
      <c r="G462" s="69"/>
      <c r="H462" s="69"/>
      <c r="I462" s="69"/>
      <c r="J462" s="69"/>
      <c r="K462" s="69"/>
      <c r="L462" s="69"/>
      <c r="M462" s="69"/>
      <c r="N462" s="69"/>
      <c r="O462" s="146"/>
      <c r="P462" s="69"/>
      <c r="Q462" s="69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</row>
    <row r="463" spans="1:35" x14ac:dyDescent="0.2">
      <c r="A463" s="158"/>
      <c r="B463" s="158"/>
      <c r="C463" s="74"/>
      <c r="D463" s="75"/>
      <c r="E463" s="75"/>
      <c r="F463" s="69"/>
      <c r="G463" s="69"/>
      <c r="H463" s="69"/>
      <c r="I463" s="69"/>
      <c r="J463" s="69"/>
      <c r="K463" s="69"/>
      <c r="L463" s="69"/>
      <c r="M463" s="69"/>
      <c r="N463" s="69"/>
      <c r="O463" s="146"/>
      <c r="P463" s="69"/>
      <c r="Q463" s="69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</row>
    <row r="464" spans="1:35" x14ac:dyDescent="0.2">
      <c r="A464" s="158"/>
      <c r="B464" s="158"/>
      <c r="C464" s="74"/>
      <c r="D464" s="75"/>
      <c r="E464" s="75"/>
      <c r="F464" s="69"/>
      <c r="G464" s="69"/>
      <c r="H464" s="69"/>
      <c r="I464" s="69"/>
      <c r="J464" s="69"/>
      <c r="K464" s="69"/>
      <c r="L464" s="69"/>
      <c r="M464" s="69"/>
      <c r="N464" s="69"/>
      <c r="O464" s="146"/>
      <c r="P464" s="69"/>
      <c r="Q464" s="69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</row>
    <row r="465" spans="1:35" x14ac:dyDescent="0.2">
      <c r="A465" s="158"/>
      <c r="B465" s="158"/>
      <c r="C465" s="74"/>
      <c r="D465" s="75"/>
      <c r="E465" s="75"/>
      <c r="F465" s="69"/>
      <c r="G465" s="69"/>
      <c r="H465" s="69"/>
      <c r="I465" s="69"/>
      <c r="J465" s="69"/>
      <c r="K465" s="69"/>
      <c r="L465" s="69"/>
      <c r="M465" s="69"/>
      <c r="N465" s="69"/>
      <c r="O465" s="146"/>
      <c r="P465" s="69"/>
      <c r="Q465" s="69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</row>
    <row r="466" spans="1:35" x14ac:dyDescent="0.2">
      <c r="A466" s="158"/>
      <c r="B466" s="158"/>
      <c r="C466" s="74"/>
      <c r="D466" s="75"/>
      <c r="E466" s="75"/>
      <c r="F466" s="69"/>
      <c r="G466" s="69"/>
      <c r="H466" s="69"/>
      <c r="I466" s="69"/>
      <c r="J466" s="69"/>
      <c r="K466" s="69"/>
      <c r="L466" s="69"/>
      <c r="M466" s="69"/>
      <c r="N466" s="69"/>
      <c r="O466" s="146"/>
      <c r="P466" s="69"/>
      <c r="Q466" s="69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</row>
    <row r="467" spans="1:35" x14ac:dyDescent="0.2">
      <c r="A467" s="158"/>
      <c r="B467" s="158"/>
      <c r="C467" s="74"/>
      <c r="D467" s="75"/>
      <c r="E467" s="75"/>
      <c r="F467" s="69"/>
      <c r="G467" s="69"/>
      <c r="H467" s="69"/>
      <c r="I467" s="69"/>
      <c r="J467" s="69"/>
      <c r="K467" s="69"/>
      <c r="L467" s="69"/>
      <c r="M467" s="69"/>
      <c r="N467" s="69"/>
      <c r="O467" s="146"/>
      <c r="P467" s="69"/>
      <c r="Q467" s="69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</row>
    <row r="468" spans="1:35" x14ac:dyDescent="0.2">
      <c r="A468" s="158"/>
      <c r="B468" s="158"/>
      <c r="C468" s="74"/>
      <c r="D468" s="75"/>
      <c r="E468" s="75"/>
      <c r="F468" s="69"/>
      <c r="G468" s="69"/>
      <c r="H468" s="69"/>
      <c r="I468" s="69"/>
      <c r="J468" s="69"/>
      <c r="K468" s="69"/>
      <c r="L468" s="69"/>
      <c r="M468" s="69"/>
      <c r="N468" s="69"/>
      <c r="O468" s="146"/>
      <c r="P468" s="69"/>
      <c r="Q468" s="69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</row>
    <row r="469" spans="1:35" x14ac:dyDescent="0.2">
      <c r="A469" s="158"/>
      <c r="B469" s="158"/>
      <c r="C469" s="74"/>
      <c r="D469" s="75"/>
      <c r="E469" s="75"/>
      <c r="F469" s="69"/>
      <c r="G469" s="69"/>
      <c r="H469" s="69"/>
      <c r="I469" s="69"/>
      <c r="J469" s="69"/>
      <c r="K469" s="69"/>
      <c r="L469" s="69"/>
      <c r="M469" s="69"/>
      <c r="N469" s="69"/>
      <c r="O469" s="146"/>
      <c r="P469" s="69"/>
      <c r="Q469" s="69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</row>
    <row r="470" spans="1:35" x14ac:dyDescent="0.2">
      <c r="A470" s="158"/>
      <c r="B470" s="158"/>
      <c r="C470" s="74"/>
      <c r="D470" s="75"/>
      <c r="E470" s="75"/>
      <c r="F470" s="69"/>
      <c r="G470" s="69"/>
      <c r="H470" s="69"/>
      <c r="I470" s="69"/>
      <c r="J470" s="69"/>
      <c r="K470" s="69"/>
      <c r="L470" s="69"/>
      <c r="M470" s="69"/>
      <c r="N470" s="69"/>
      <c r="O470" s="146"/>
      <c r="P470" s="69"/>
      <c r="Q470" s="69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</row>
    <row r="471" spans="1:35" x14ac:dyDescent="0.2">
      <c r="A471" s="158"/>
      <c r="B471" s="158"/>
      <c r="C471" s="74"/>
      <c r="D471" s="75"/>
      <c r="E471" s="75"/>
      <c r="F471" s="69"/>
      <c r="G471" s="69"/>
      <c r="H471" s="69"/>
      <c r="I471" s="69"/>
      <c r="J471" s="69"/>
      <c r="K471" s="69"/>
      <c r="L471" s="69"/>
      <c r="M471" s="69"/>
      <c r="N471" s="69"/>
      <c r="O471" s="146"/>
      <c r="P471" s="69"/>
      <c r="Q471" s="69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</row>
    <row r="472" spans="1:35" x14ac:dyDescent="0.2">
      <c r="A472" s="158"/>
      <c r="B472" s="158"/>
      <c r="C472" s="74"/>
      <c r="D472" s="75"/>
      <c r="E472" s="75"/>
      <c r="F472" s="69"/>
      <c r="G472" s="69"/>
      <c r="H472" s="69"/>
      <c r="I472" s="69"/>
      <c r="J472" s="69"/>
      <c r="K472" s="69"/>
      <c r="L472" s="69"/>
      <c r="M472" s="69"/>
      <c r="N472" s="69"/>
      <c r="O472" s="146"/>
      <c r="P472" s="69"/>
      <c r="Q472" s="69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</row>
    <row r="473" spans="1:35" x14ac:dyDescent="0.2">
      <c r="A473" s="158"/>
      <c r="B473" s="158"/>
      <c r="C473" s="74"/>
      <c r="D473" s="75"/>
      <c r="E473" s="75"/>
      <c r="F473" s="69"/>
      <c r="G473" s="69"/>
      <c r="H473" s="69"/>
      <c r="I473" s="69"/>
      <c r="J473" s="69"/>
      <c r="K473" s="69"/>
      <c r="L473" s="69"/>
      <c r="M473" s="69"/>
      <c r="N473" s="69"/>
      <c r="O473" s="146"/>
      <c r="P473" s="69"/>
      <c r="Q473" s="69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</row>
    <row r="474" spans="1:35" x14ac:dyDescent="0.2">
      <c r="A474" s="158"/>
      <c r="B474" s="158"/>
      <c r="C474" s="74"/>
      <c r="D474" s="75"/>
      <c r="E474" s="75"/>
      <c r="F474" s="69"/>
      <c r="G474" s="69"/>
      <c r="H474" s="69"/>
      <c r="I474" s="69"/>
      <c r="J474" s="69"/>
      <c r="K474" s="69"/>
      <c r="L474" s="69"/>
      <c r="M474" s="69"/>
      <c r="N474" s="69"/>
      <c r="O474" s="146"/>
      <c r="P474" s="69"/>
      <c r="Q474" s="69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</row>
    <row r="475" spans="1:35" x14ac:dyDescent="0.2">
      <c r="A475" s="158"/>
      <c r="B475" s="158"/>
      <c r="C475" s="74"/>
      <c r="D475" s="75"/>
      <c r="E475" s="75"/>
      <c r="F475" s="69"/>
      <c r="G475" s="69"/>
      <c r="H475" s="69"/>
      <c r="I475" s="69"/>
      <c r="J475" s="69"/>
      <c r="K475" s="69"/>
      <c r="L475" s="69"/>
      <c r="M475" s="69"/>
      <c r="N475" s="69"/>
      <c r="O475" s="146"/>
      <c r="P475" s="69"/>
      <c r="Q475" s="69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</row>
    <row r="476" spans="1:35" x14ac:dyDescent="0.2">
      <c r="A476" s="158"/>
      <c r="B476" s="158"/>
      <c r="C476" s="74"/>
      <c r="D476" s="75"/>
      <c r="E476" s="75"/>
      <c r="F476" s="69"/>
      <c r="G476" s="69"/>
      <c r="H476" s="69"/>
      <c r="I476" s="69"/>
      <c r="J476" s="69"/>
      <c r="K476" s="69"/>
      <c r="L476" s="69"/>
      <c r="M476" s="69"/>
      <c r="N476" s="69"/>
      <c r="O476" s="146"/>
      <c r="P476" s="69"/>
      <c r="Q476" s="69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</row>
    <row r="477" spans="1:35" x14ac:dyDescent="0.2">
      <c r="A477" s="158"/>
      <c r="B477" s="158"/>
      <c r="C477" s="74"/>
      <c r="D477" s="75"/>
      <c r="E477" s="75"/>
      <c r="F477" s="69"/>
      <c r="G477" s="69"/>
      <c r="H477" s="69"/>
      <c r="I477" s="69"/>
      <c r="J477" s="69"/>
      <c r="K477" s="69"/>
      <c r="L477" s="69"/>
      <c r="M477" s="69"/>
      <c r="N477" s="69"/>
      <c r="O477" s="146"/>
      <c r="P477" s="69"/>
      <c r="Q477" s="69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</row>
    <row r="478" spans="1:35" x14ac:dyDescent="0.2">
      <c r="A478" s="158"/>
      <c r="B478" s="158"/>
      <c r="C478" s="74"/>
      <c r="D478" s="75"/>
      <c r="E478" s="75"/>
      <c r="F478" s="69"/>
      <c r="G478" s="69"/>
      <c r="H478" s="69"/>
      <c r="I478" s="69"/>
      <c r="J478" s="69"/>
      <c r="K478" s="69"/>
      <c r="L478" s="69"/>
      <c r="M478" s="69"/>
      <c r="N478" s="69"/>
      <c r="O478" s="146"/>
      <c r="P478" s="69"/>
      <c r="Q478" s="69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</row>
    <row r="479" spans="1:35" x14ac:dyDescent="0.2">
      <c r="A479" s="158"/>
      <c r="B479" s="158"/>
      <c r="C479" s="74"/>
      <c r="D479" s="75"/>
      <c r="E479" s="75"/>
      <c r="F479" s="69"/>
      <c r="G479" s="69"/>
      <c r="H479" s="69"/>
      <c r="I479" s="69"/>
      <c r="J479" s="69"/>
      <c r="K479" s="69"/>
      <c r="L479" s="69"/>
      <c r="M479" s="69"/>
      <c r="N479" s="69"/>
      <c r="O479" s="146"/>
      <c r="P479" s="69"/>
      <c r="Q479" s="69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</row>
    <row r="480" spans="1:35" x14ac:dyDescent="0.2">
      <c r="A480" s="158"/>
      <c r="B480" s="158"/>
      <c r="C480" s="74"/>
      <c r="D480" s="75"/>
      <c r="E480" s="75"/>
      <c r="F480" s="69"/>
      <c r="G480" s="69"/>
      <c r="H480" s="69"/>
      <c r="I480" s="69"/>
      <c r="J480" s="69"/>
      <c r="K480" s="69"/>
      <c r="L480" s="69"/>
      <c r="M480" s="69"/>
      <c r="N480" s="69"/>
      <c r="O480" s="146"/>
      <c r="P480" s="69"/>
      <c r="Q480" s="69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</row>
    <row r="481" spans="1:35" x14ac:dyDescent="0.2">
      <c r="A481" s="158"/>
      <c r="B481" s="158"/>
      <c r="C481" s="74"/>
      <c r="D481" s="75"/>
      <c r="E481" s="75"/>
      <c r="F481" s="69"/>
      <c r="G481" s="69"/>
      <c r="H481" s="69"/>
      <c r="I481" s="69"/>
      <c r="J481" s="69"/>
      <c r="K481" s="69"/>
      <c r="L481" s="69"/>
      <c r="M481" s="69"/>
      <c r="N481" s="69"/>
      <c r="O481" s="146"/>
      <c r="P481" s="69"/>
      <c r="Q481" s="69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</row>
    <row r="482" spans="1:35" x14ac:dyDescent="0.2">
      <c r="A482" s="158"/>
      <c r="B482" s="158"/>
      <c r="C482" s="74"/>
      <c r="D482" s="75"/>
      <c r="E482" s="75"/>
      <c r="F482" s="69"/>
      <c r="G482" s="69"/>
      <c r="H482" s="69"/>
      <c r="I482" s="69"/>
      <c r="J482" s="69"/>
      <c r="K482" s="69"/>
      <c r="L482" s="69"/>
      <c r="M482" s="69"/>
      <c r="N482" s="69"/>
      <c r="O482" s="146"/>
      <c r="P482" s="69"/>
      <c r="Q482" s="69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</row>
    <row r="483" spans="1:35" x14ac:dyDescent="0.2">
      <c r="A483" s="158"/>
      <c r="B483" s="158"/>
      <c r="C483" s="74"/>
      <c r="D483" s="75"/>
      <c r="E483" s="75"/>
      <c r="F483" s="69"/>
      <c r="G483" s="69"/>
      <c r="H483" s="69"/>
      <c r="I483" s="69"/>
      <c r="J483" s="69"/>
      <c r="K483" s="69"/>
      <c r="L483" s="69"/>
      <c r="M483" s="69"/>
      <c r="N483" s="69"/>
      <c r="O483" s="146"/>
      <c r="P483" s="69"/>
      <c r="Q483" s="69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</row>
    <row r="484" spans="1:35" x14ac:dyDescent="0.2">
      <c r="A484" s="158"/>
      <c r="B484" s="158"/>
      <c r="C484" s="74"/>
      <c r="D484" s="75"/>
      <c r="E484" s="75"/>
      <c r="F484" s="69"/>
      <c r="G484" s="69"/>
      <c r="H484" s="69"/>
      <c r="I484" s="69"/>
      <c r="J484" s="69"/>
      <c r="K484" s="69"/>
      <c r="L484" s="69"/>
      <c r="M484" s="69"/>
      <c r="N484" s="69"/>
      <c r="O484" s="146"/>
      <c r="P484" s="69"/>
      <c r="Q484" s="69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</row>
    <row r="485" spans="1:35" x14ac:dyDescent="0.2">
      <c r="A485" s="158"/>
      <c r="B485" s="158"/>
      <c r="C485" s="74"/>
      <c r="D485" s="75"/>
      <c r="E485" s="75"/>
      <c r="F485" s="69"/>
      <c r="G485" s="69"/>
      <c r="H485" s="69"/>
      <c r="I485" s="69"/>
      <c r="J485" s="69"/>
      <c r="K485" s="69"/>
      <c r="L485" s="69"/>
      <c r="M485" s="69"/>
      <c r="N485" s="69"/>
      <c r="O485" s="146"/>
      <c r="P485" s="69"/>
      <c r="Q485" s="69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</row>
    <row r="486" spans="1:35" x14ac:dyDescent="0.2">
      <c r="A486" s="158"/>
      <c r="B486" s="158"/>
      <c r="C486" s="74"/>
      <c r="D486" s="75"/>
      <c r="E486" s="75"/>
      <c r="F486" s="69"/>
      <c r="G486" s="69"/>
      <c r="H486" s="69"/>
      <c r="I486" s="69"/>
      <c r="J486" s="69"/>
      <c r="K486" s="69"/>
      <c r="L486" s="69"/>
      <c r="M486" s="69"/>
      <c r="N486" s="69"/>
      <c r="O486" s="146"/>
      <c r="P486" s="69"/>
      <c r="Q486" s="69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</row>
    <row r="487" spans="1:35" x14ac:dyDescent="0.2">
      <c r="A487" s="158"/>
      <c r="B487" s="158"/>
      <c r="C487" s="74"/>
      <c r="D487" s="75"/>
      <c r="E487" s="75"/>
      <c r="F487" s="69"/>
      <c r="G487" s="69"/>
      <c r="H487" s="69"/>
      <c r="I487" s="69"/>
      <c r="J487" s="69"/>
      <c r="K487" s="69"/>
      <c r="L487" s="69"/>
      <c r="M487" s="69"/>
      <c r="N487" s="69"/>
      <c r="O487" s="146"/>
      <c r="P487" s="69"/>
      <c r="Q487" s="69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</row>
    <row r="488" spans="1:35" x14ac:dyDescent="0.2">
      <c r="A488" s="158"/>
      <c r="B488" s="158"/>
      <c r="C488" s="74"/>
      <c r="D488" s="75"/>
      <c r="E488" s="75"/>
      <c r="F488" s="69"/>
      <c r="G488" s="69"/>
      <c r="H488" s="69"/>
      <c r="I488" s="69"/>
      <c r="J488" s="69"/>
      <c r="K488" s="69"/>
      <c r="L488" s="69"/>
      <c r="M488" s="69"/>
      <c r="N488" s="69"/>
      <c r="O488" s="146"/>
      <c r="P488" s="69"/>
      <c r="Q488" s="69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</row>
    <row r="489" spans="1:35" x14ac:dyDescent="0.2">
      <c r="A489" s="158"/>
      <c r="B489" s="158"/>
      <c r="C489" s="74"/>
      <c r="D489" s="75"/>
      <c r="E489" s="75"/>
      <c r="F489" s="69"/>
      <c r="G489" s="69"/>
      <c r="H489" s="69"/>
      <c r="I489" s="69"/>
      <c r="J489" s="69"/>
      <c r="K489" s="69"/>
      <c r="L489" s="69"/>
      <c r="M489" s="69"/>
      <c r="N489" s="69"/>
      <c r="O489" s="146"/>
      <c r="P489" s="69"/>
      <c r="Q489" s="69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</row>
    <row r="490" spans="1:35" x14ac:dyDescent="0.2">
      <c r="A490" s="158"/>
      <c r="B490" s="158"/>
      <c r="C490" s="74"/>
      <c r="D490" s="75"/>
      <c r="E490" s="75"/>
      <c r="F490" s="69"/>
      <c r="G490" s="69"/>
      <c r="H490" s="69"/>
      <c r="I490" s="69"/>
      <c r="J490" s="69"/>
      <c r="K490" s="69"/>
      <c r="L490" s="69"/>
      <c r="M490" s="69"/>
      <c r="N490" s="69"/>
      <c r="O490" s="146"/>
      <c r="P490" s="69"/>
      <c r="Q490" s="69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</row>
    <row r="491" spans="1:35" x14ac:dyDescent="0.2">
      <c r="A491" s="158"/>
      <c r="B491" s="158"/>
      <c r="C491" s="74"/>
      <c r="D491" s="75"/>
      <c r="E491" s="75"/>
      <c r="F491" s="69"/>
      <c r="G491" s="69"/>
      <c r="H491" s="69"/>
      <c r="I491" s="69"/>
      <c r="J491" s="69"/>
      <c r="K491" s="69"/>
      <c r="L491" s="69"/>
      <c r="M491" s="69"/>
      <c r="N491" s="69"/>
      <c r="O491" s="146"/>
      <c r="P491" s="69"/>
      <c r="Q491" s="69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</row>
    <row r="492" spans="1:35" x14ac:dyDescent="0.2">
      <c r="A492" s="158"/>
      <c r="B492" s="158"/>
      <c r="C492" s="74"/>
      <c r="D492" s="75"/>
      <c r="E492" s="75"/>
      <c r="F492" s="69"/>
      <c r="G492" s="69"/>
      <c r="H492" s="69"/>
      <c r="I492" s="69"/>
      <c r="J492" s="69"/>
      <c r="K492" s="69"/>
      <c r="L492" s="69"/>
      <c r="M492" s="69"/>
      <c r="N492" s="69"/>
      <c r="O492" s="146"/>
      <c r="P492" s="69"/>
      <c r="Q492" s="69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</row>
    <row r="493" spans="1:35" x14ac:dyDescent="0.2">
      <c r="A493" s="158"/>
      <c r="B493" s="158"/>
      <c r="C493" s="74"/>
      <c r="D493" s="75"/>
      <c r="E493" s="75"/>
      <c r="F493" s="69"/>
      <c r="G493" s="69"/>
      <c r="H493" s="69"/>
      <c r="I493" s="69"/>
      <c r="J493" s="69"/>
      <c r="K493" s="69"/>
      <c r="L493" s="69"/>
      <c r="M493" s="69"/>
      <c r="N493" s="69"/>
      <c r="O493" s="146"/>
      <c r="P493" s="69"/>
      <c r="Q493" s="69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</row>
    <row r="494" spans="1:35" x14ac:dyDescent="0.2">
      <c r="A494" s="158"/>
      <c r="B494" s="158"/>
      <c r="C494" s="74"/>
      <c r="D494" s="75"/>
      <c r="E494" s="75"/>
      <c r="F494" s="69"/>
      <c r="G494" s="69"/>
      <c r="H494" s="69"/>
      <c r="I494" s="69"/>
      <c r="J494" s="69"/>
      <c r="K494" s="69"/>
      <c r="L494" s="69"/>
      <c r="M494" s="69"/>
      <c r="N494" s="69"/>
      <c r="O494" s="146"/>
      <c r="P494" s="69"/>
      <c r="Q494" s="69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</row>
    <row r="495" spans="1:35" x14ac:dyDescent="0.2">
      <c r="A495" s="158"/>
      <c r="B495" s="158"/>
      <c r="C495" s="74"/>
      <c r="D495" s="75"/>
      <c r="E495" s="75"/>
      <c r="F495" s="69"/>
      <c r="G495" s="69"/>
      <c r="H495" s="69"/>
      <c r="I495" s="69"/>
      <c r="J495" s="69"/>
      <c r="K495" s="69"/>
      <c r="L495" s="69"/>
      <c r="M495" s="69"/>
      <c r="N495" s="69"/>
      <c r="O495" s="146"/>
      <c r="P495" s="69"/>
      <c r="Q495" s="69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</row>
    <row r="496" spans="1:35" x14ac:dyDescent="0.2">
      <c r="A496" s="158"/>
      <c r="B496" s="158"/>
      <c r="C496" s="74"/>
      <c r="D496" s="75"/>
      <c r="E496" s="75"/>
      <c r="F496" s="69"/>
      <c r="G496" s="69"/>
      <c r="H496" s="69"/>
      <c r="I496" s="69"/>
      <c r="J496" s="69"/>
      <c r="K496" s="69"/>
      <c r="L496" s="69"/>
      <c r="M496" s="69"/>
      <c r="N496" s="69"/>
      <c r="O496" s="146"/>
      <c r="P496" s="69"/>
      <c r="Q496" s="69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</row>
    <row r="497" spans="1:35" x14ac:dyDescent="0.2">
      <c r="A497" s="158"/>
      <c r="B497" s="158"/>
      <c r="C497" s="74"/>
      <c r="D497" s="75"/>
      <c r="E497" s="75"/>
      <c r="F497" s="69"/>
      <c r="G497" s="69"/>
      <c r="H497" s="69"/>
      <c r="I497" s="69"/>
      <c r="J497" s="69"/>
      <c r="K497" s="69"/>
      <c r="L497" s="69"/>
      <c r="M497" s="69"/>
      <c r="N497" s="69"/>
      <c r="O497" s="146"/>
      <c r="P497" s="69"/>
      <c r="Q497" s="69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</row>
    <row r="498" spans="1:35" x14ac:dyDescent="0.2">
      <c r="A498" s="158"/>
      <c r="B498" s="158"/>
      <c r="C498" s="74"/>
      <c r="D498" s="75"/>
      <c r="E498" s="75"/>
      <c r="F498" s="69"/>
      <c r="G498" s="69"/>
      <c r="H498" s="69"/>
      <c r="I498" s="69"/>
      <c r="J498" s="69"/>
      <c r="K498" s="69"/>
      <c r="L498" s="69"/>
      <c r="M498" s="69"/>
      <c r="N498" s="69"/>
      <c r="O498" s="146"/>
      <c r="P498" s="69"/>
      <c r="Q498" s="69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</row>
    <row r="499" spans="1:35" x14ac:dyDescent="0.2">
      <c r="A499" s="158"/>
      <c r="B499" s="158"/>
      <c r="C499" s="74"/>
      <c r="D499" s="75"/>
      <c r="E499" s="75"/>
      <c r="F499" s="69"/>
      <c r="G499" s="69"/>
      <c r="H499" s="69"/>
      <c r="I499" s="69"/>
      <c r="J499" s="69"/>
      <c r="K499" s="69"/>
      <c r="L499" s="69"/>
      <c r="M499" s="69"/>
      <c r="N499" s="69"/>
      <c r="O499" s="146"/>
      <c r="P499" s="69"/>
      <c r="Q499" s="69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</row>
    <row r="500" spans="1:35" x14ac:dyDescent="0.2">
      <c r="A500" s="158"/>
      <c r="B500" s="158"/>
      <c r="C500" s="74"/>
      <c r="D500" s="75"/>
      <c r="E500" s="75"/>
      <c r="F500" s="69"/>
      <c r="G500" s="69"/>
      <c r="H500" s="69"/>
      <c r="I500" s="69"/>
      <c r="J500" s="69"/>
      <c r="K500" s="69"/>
      <c r="L500" s="69"/>
      <c r="M500" s="69"/>
      <c r="N500" s="69"/>
      <c r="O500" s="146"/>
      <c r="P500" s="69"/>
      <c r="Q500" s="69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</row>
    <row r="501" spans="1:35" x14ac:dyDescent="0.2">
      <c r="A501" s="158"/>
      <c r="B501" s="158"/>
      <c r="C501" s="74"/>
      <c r="D501" s="75"/>
      <c r="E501" s="75"/>
      <c r="F501" s="69"/>
      <c r="G501" s="69"/>
      <c r="H501" s="69"/>
      <c r="I501" s="69"/>
      <c r="J501" s="69"/>
      <c r="K501" s="69"/>
      <c r="L501" s="69"/>
      <c r="M501" s="69"/>
      <c r="N501" s="69"/>
      <c r="O501" s="146"/>
      <c r="P501" s="69"/>
      <c r="Q501" s="69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</row>
    <row r="502" spans="1:35" x14ac:dyDescent="0.2">
      <c r="A502" s="158"/>
      <c r="B502" s="158"/>
      <c r="C502" s="74"/>
      <c r="D502" s="75"/>
      <c r="E502" s="75"/>
      <c r="F502" s="69"/>
      <c r="G502" s="69"/>
      <c r="H502" s="69"/>
      <c r="I502" s="69"/>
      <c r="J502" s="69"/>
      <c r="K502" s="69"/>
      <c r="L502" s="69"/>
      <c r="M502" s="69"/>
      <c r="N502" s="69"/>
      <c r="O502" s="146"/>
      <c r="P502" s="69"/>
      <c r="Q502" s="69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</row>
    <row r="503" spans="1:35" x14ac:dyDescent="0.2">
      <c r="A503" s="158"/>
      <c r="B503" s="158"/>
      <c r="C503" s="74"/>
      <c r="D503" s="75"/>
      <c r="E503" s="75"/>
      <c r="F503" s="69"/>
      <c r="G503" s="69"/>
      <c r="H503" s="69"/>
      <c r="I503" s="69"/>
      <c r="J503" s="69"/>
      <c r="K503" s="69"/>
      <c r="L503" s="69"/>
      <c r="M503" s="69"/>
      <c r="N503" s="69"/>
      <c r="O503" s="146"/>
      <c r="P503" s="69"/>
      <c r="Q503" s="69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</row>
    <row r="504" spans="1:35" x14ac:dyDescent="0.2">
      <c r="A504" s="158"/>
      <c r="B504" s="158"/>
      <c r="C504" s="74"/>
      <c r="D504" s="75"/>
      <c r="E504" s="75"/>
      <c r="F504" s="69"/>
      <c r="G504" s="69"/>
      <c r="H504" s="69"/>
      <c r="I504" s="69"/>
      <c r="J504" s="69"/>
      <c r="K504" s="69"/>
      <c r="L504" s="69"/>
      <c r="M504" s="69"/>
      <c r="N504" s="69"/>
      <c r="O504" s="146"/>
      <c r="P504" s="69"/>
      <c r="Q504" s="69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</row>
    <row r="505" spans="1:35" x14ac:dyDescent="0.2">
      <c r="A505" s="158"/>
      <c r="B505" s="158"/>
      <c r="C505" s="74"/>
      <c r="D505" s="75"/>
      <c r="E505" s="75"/>
      <c r="F505" s="69"/>
      <c r="G505" s="69"/>
      <c r="H505" s="69"/>
      <c r="I505" s="69"/>
      <c r="J505" s="69"/>
      <c r="K505" s="69"/>
      <c r="L505" s="69"/>
      <c r="M505" s="69"/>
      <c r="N505" s="69"/>
      <c r="O505" s="146"/>
      <c r="P505" s="69"/>
      <c r="Q505" s="69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</row>
    <row r="506" spans="1:35" x14ac:dyDescent="0.2">
      <c r="A506" s="158"/>
      <c r="B506" s="158"/>
      <c r="C506" s="74"/>
      <c r="D506" s="75"/>
      <c r="E506" s="75"/>
      <c r="F506" s="69"/>
      <c r="G506" s="69"/>
      <c r="H506" s="69"/>
      <c r="I506" s="69"/>
      <c r="J506" s="69"/>
      <c r="K506" s="69"/>
      <c r="L506" s="69"/>
      <c r="M506" s="69"/>
      <c r="N506" s="69"/>
      <c r="O506" s="146"/>
      <c r="P506" s="69"/>
      <c r="Q506" s="69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</row>
    <row r="507" spans="1:35" x14ac:dyDescent="0.2">
      <c r="A507" s="158"/>
      <c r="B507" s="158"/>
      <c r="C507" s="74"/>
      <c r="D507" s="75"/>
      <c r="E507" s="75"/>
      <c r="F507" s="69"/>
      <c r="G507" s="69"/>
      <c r="H507" s="69"/>
      <c r="I507" s="69"/>
      <c r="J507" s="69"/>
      <c r="K507" s="69"/>
      <c r="L507" s="69"/>
      <c r="M507" s="69"/>
      <c r="N507" s="69"/>
      <c r="O507" s="146"/>
      <c r="P507" s="69"/>
      <c r="Q507" s="69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</row>
    <row r="508" spans="1:35" x14ac:dyDescent="0.2">
      <c r="A508" s="158"/>
      <c r="B508" s="158"/>
      <c r="C508" s="74"/>
      <c r="D508" s="75"/>
      <c r="E508" s="75"/>
      <c r="F508" s="69"/>
      <c r="G508" s="69"/>
      <c r="H508" s="69"/>
      <c r="I508" s="69"/>
      <c r="J508" s="69"/>
      <c r="K508" s="69"/>
      <c r="L508" s="69"/>
      <c r="M508" s="69"/>
      <c r="N508" s="69"/>
      <c r="O508" s="146"/>
      <c r="P508" s="69"/>
      <c r="Q508" s="69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</row>
    <row r="509" spans="1:35" x14ac:dyDescent="0.2">
      <c r="A509" s="158"/>
      <c r="B509" s="158"/>
      <c r="C509" s="74"/>
      <c r="D509" s="75"/>
      <c r="E509" s="75"/>
      <c r="F509" s="69"/>
      <c r="G509" s="69"/>
      <c r="H509" s="69"/>
      <c r="I509" s="69"/>
      <c r="J509" s="69"/>
      <c r="K509" s="69"/>
      <c r="L509" s="69"/>
      <c r="M509" s="69"/>
      <c r="N509" s="69"/>
      <c r="O509" s="146"/>
      <c r="P509" s="69"/>
      <c r="Q509" s="69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</row>
    <row r="510" spans="1:35" x14ac:dyDescent="0.2">
      <c r="A510" s="158"/>
      <c r="B510" s="158"/>
      <c r="C510" s="74"/>
      <c r="D510" s="75"/>
      <c r="E510" s="75"/>
      <c r="F510" s="69"/>
      <c r="G510" s="69"/>
      <c r="H510" s="69"/>
      <c r="I510" s="69"/>
      <c r="J510" s="69"/>
      <c r="K510" s="69"/>
      <c r="L510" s="69"/>
      <c r="M510" s="69"/>
      <c r="N510" s="69"/>
      <c r="O510" s="146"/>
      <c r="P510" s="69"/>
      <c r="Q510" s="69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</row>
    <row r="511" spans="1:35" x14ac:dyDescent="0.2">
      <c r="A511" s="158"/>
      <c r="B511" s="158"/>
      <c r="C511" s="74"/>
      <c r="D511" s="75"/>
      <c r="E511" s="75"/>
      <c r="F511" s="69"/>
      <c r="G511" s="69"/>
      <c r="H511" s="69"/>
      <c r="I511" s="69"/>
      <c r="J511" s="69"/>
      <c r="K511" s="69"/>
      <c r="L511" s="69"/>
      <c r="M511" s="69"/>
      <c r="N511" s="69"/>
      <c r="O511" s="146"/>
      <c r="P511" s="69"/>
      <c r="Q511" s="69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</row>
    <row r="512" spans="1:35" x14ac:dyDescent="0.2">
      <c r="A512" s="158"/>
      <c r="B512" s="158"/>
      <c r="C512" s="74"/>
      <c r="D512" s="75"/>
      <c r="E512" s="75"/>
      <c r="F512" s="69"/>
      <c r="G512" s="69"/>
      <c r="H512" s="69"/>
      <c r="I512" s="69"/>
      <c r="J512" s="69"/>
      <c r="K512" s="69"/>
      <c r="L512" s="69"/>
      <c r="M512" s="69"/>
      <c r="N512" s="69"/>
      <c r="O512" s="146"/>
      <c r="P512" s="69"/>
      <c r="Q512" s="69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</row>
    <row r="513" spans="1:35" x14ac:dyDescent="0.2">
      <c r="A513" s="158"/>
      <c r="B513" s="158"/>
      <c r="C513" s="74"/>
      <c r="D513" s="75"/>
      <c r="E513" s="75"/>
      <c r="F513" s="69"/>
      <c r="G513" s="69"/>
      <c r="H513" s="69"/>
      <c r="I513" s="69"/>
      <c r="J513" s="69"/>
      <c r="K513" s="69"/>
      <c r="L513" s="69"/>
      <c r="M513" s="69"/>
      <c r="N513" s="69"/>
      <c r="O513" s="146"/>
      <c r="P513" s="69"/>
      <c r="Q513" s="69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</row>
    <row r="514" spans="1:35" x14ac:dyDescent="0.2">
      <c r="A514" s="158"/>
      <c r="B514" s="158"/>
      <c r="C514" s="74"/>
      <c r="D514" s="75"/>
      <c r="E514" s="75"/>
      <c r="F514" s="69"/>
      <c r="G514" s="69"/>
      <c r="H514" s="69"/>
      <c r="I514" s="69"/>
      <c r="J514" s="69"/>
      <c r="K514" s="69"/>
      <c r="L514" s="69"/>
      <c r="M514" s="69"/>
      <c r="N514" s="69"/>
      <c r="O514" s="146"/>
      <c r="P514" s="69"/>
      <c r="Q514" s="69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</row>
    <row r="515" spans="1:35" x14ac:dyDescent="0.2">
      <c r="A515" s="158"/>
      <c r="B515" s="158"/>
      <c r="C515" s="74"/>
      <c r="D515" s="75"/>
      <c r="E515" s="75"/>
      <c r="F515" s="69"/>
      <c r="G515" s="69"/>
      <c r="H515" s="69"/>
      <c r="I515" s="69"/>
      <c r="J515" s="69"/>
      <c r="K515" s="69"/>
      <c r="L515" s="69"/>
      <c r="M515" s="69"/>
      <c r="N515" s="69"/>
      <c r="O515" s="146"/>
      <c r="P515" s="69"/>
      <c r="Q515" s="69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</row>
    <row r="516" spans="1:35" x14ac:dyDescent="0.2">
      <c r="A516" s="158"/>
      <c r="B516" s="158"/>
      <c r="C516" s="74"/>
      <c r="D516" s="75"/>
      <c r="E516" s="75"/>
      <c r="F516" s="69"/>
      <c r="G516" s="69"/>
      <c r="H516" s="69"/>
      <c r="I516" s="69"/>
      <c r="J516" s="69"/>
      <c r="K516" s="69"/>
      <c r="L516" s="69"/>
      <c r="M516" s="69"/>
      <c r="N516" s="69"/>
      <c r="O516" s="146"/>
      <c r="P516" s="69"/>
      <c r="Q516" s="69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</row>
    <row r="517" spans="1:35" x14ac:dyDescent="0.2">
      <c r="A517" s="158"/>
      <c r="B517" s="158"/>
      <c r="C517" s="74"/>
      <c r="D517" s="75"/>
      <c r="E517" s="75"/>
      <c r="F517" s="69"/>
      <c r="G517" s="69"/>
      <c r="H517" s="69"/>
      <c r="I517" s="69"/>
      <c r="J517" s="69"/>
      <c r="K517" s="69"/>
      <c r="L517" s="69"/>
      <c r="M517" s="69"/>
      <c r="N517" s="69"/>
      <c r="O517" s="146"/>
      <c r="P517" s="69"/>
      <c r="Q517" s="69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</row>
    <row r="518" spans="1:35" x14ac:dyDescent="0.2">
      <c r="A518" s="158"/>
      <c r="B518" s="158"/>
      <c r="C518" s="74"/>
      <c r="D518" s="75"/>
      <c r="E518" s="75"/>
      <c r="F518" s="69"/>
      <c r="G518" s="69"/>
      <c r="H518" s="69"/>
      <c r="I518" s="69"/>
      <c r="J518" s="69"/>
      <c r="K518" s="69"/>
      <c r="L518" s="69"/>
      <c r="M518" s="69"/>
      <c r="N518" s="69"/>
      <c r="O518" s="146"/>
      <c r="P518" s="69"/>
      <c r="Q518" s="69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</row>
    <row r="519" spans="1:35" x14ac:dyDescent="0.2">
      <c r="A519" s="158"/>
      <c r="B519" s="158"/>
      <c r="C519" s="74"/>
      <c r="D519" s="75"/>
      <c r="E519" s="75"/>
      <c r="F519" s="69"/>
      <c r="G519" s="69"/>
      <c r="H519" s="69"/>
      <c r="I519" s="69"/>
      <c r="J519" s="69"/>
      <c r="K519" s="69"/>
      <c r="L519" s="69"/>
      <c r="M519" s="69"/>
      <c r="N519" s="69"/>
      <c r="O519" s="146"/>
      <c r="P519" s="69"/>
      <c r="Q519" s="69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</row>
    <row r="520" spans="1:35" x14ac:dyDescent="0.2">
      <c r="A520" s="158"/>
      <c r="B520" s="158"/>
      <c r="C520" s="74"/>
      <c r="D520" s="75"/>
      <c r="E520" s="75"/>
      <c r="F520" s="69"/>
      <c r="G520" s="69"/>
      <c r="H520" s="69"/>
      <c r="I520" s="69"/>
      <c r="J520" s="69"/>
      <c r="K520" s="69"/>
      <c r="L520" s="69"/>
      <c r="M520" s="69"/>
      <c r="N520" s="69"/>
      <c r="O520" s="146"/>
      <c r="P520" s="69"/>
      <c r="Q520" s="69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</row>
    <row r="521" spans="1:35" x14ac:dyDescent="0.2">
      <c r="A521" s="158"/>
      <c r="B521" s="158"/>
      <c r="C521" s="74"/>
      <c r="D521" s="75"/>
      <c r="E521" s="75"/>
      <c r="F521" s="69"/>
      <c r="G521" s="69"/>
      <c r="H521" s="69"/>
      <c r="I521" s="69"/>
      <c r="J521" s="69"/>
      <c r="K521" s="69"/>
      <c r="L521" s="69"/>
      <c r="M521" s="69"/>
      <c r="N521" s="69"/>
      <c r="O521" s="146"/>
      <c r="P521" s="69"/>
      <c r="Q521" s="69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</row>
    <row r="522" spans="1:35" x14ac:dyDescent="0.2">
      <c r="A522" s="158"/>
      <c r="B522" s="158"/>
      <c r="C522" s="74"/>
      <c r="D522" s="75"/>
      <c r="E522" s="75"/>
      <c r="F522" s="69"/>
      <c r="G522" s="69"/>
      <c r="H522" s="69"/>
      <c r="I522" s="69"/>
      <c r="J522" s="69"/>
      <c r="K522" s="69"/>
      <c r="L522" s="69"/>
      <c r="M522" s="69"/>
      <c r="N522" s="69"/>
      <c r="O522" s="146"/>
      <c r="P522" s="69"/>
      <c r="Q522" s="69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</row>
    <row r="523" spans="1:35" x14ac:dyDescent="0.2">
      <c r="A523" s="158"/>
      <c r="B523" s="158"/>
      <c r="C523" s="74"/>
      <c r="D523" s="75"/>
      <c r="E523" s="75"/>
      <c r="F523" s="69"/>
      <c r="G523" s="69"/>
      <c r="H523" s="69"/>
      <c r="I523" s="69"/>
      <c r="J523" s="69"/>
      <c r="K523" s="69"/>
      <c r="L523" s="69"/>
      <c r="M523" s="69"/>
      <c r="N523" s="69"/>
      <c r="O523" s="146"/>
      <c r="P523" s="69"/>
      <c r="Q523" s="69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</row>
    <row r="524" spans="1:35" x14ac:dyDescent="0.2">
      <c r="A524" s="158"/>
      <c r="B524" s="158"/>
      <c r="C524" s="74"/>
      <c r="D524" s="75"/>
      <c r="E524" s="75"/>
      <c r="F524" s="69"/>
      <c r="G524" s="69"/>
      <c r="H524" s="69"/>
      <c r="I524" s="69"/>
      <c r="J524" s="69"/>
      <c r="K524" s="69"/>
      <c r="L524" s="69"/>
      <c r="M524" s="69"/>
      <c r="N524" s="69"/>
      <c r="O524" s="146"/>
      <c r="P524" s="69"/>
      <c r="Q524" s="69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</row>
    <row r="525" spans="1:35" x14ac:dyDescent="0.2">
      <c r="A525" s="158"/>
      <c r="B525" s="158"/>
      <c r="C525" s="74"/>
      <c r="D525" s="75"/>
      <c r="E525" s="75"/>
      <c r="F525" s="69"/>
      <c r="G525" s="69"/>
      <c r="H525" s="69"/>
      <c r="I525" s="69"/>
      <c r="J525" s="69"/>
      <c r="K525" s="69"/>
      <c r="L525" s="69"/>
      <c r="M525" s="69"/>
      <c r="N525" s="69"/>
      <c r="O525" s="146"/>
      <c r="P525" s="69"/>
      <c r="Q525" s="69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</row>
    <row r="526" spans="1:35" x14ac:dyDescent="0.2">
      <c r="A526" s="158"/>
      <c r="B526" s="158"/>
      <c r="C526" s="74"/>
      <c r="D526" s="75"/>
      <c r="E526" s="75"/>
      <c r="F526" s="69"/>
      <c r="G526" s="69"/>
      <c r="H526" s="69"/>
      <c r="I526" s="69"/>
      <c r="J526" s="69"/>
      <c r="K526" s="69"/>
      <c r="L526" s="69"/>
      <c r="M526" s="69"/>
      <c r="N526" s="69"/>
      <c r="O526" s="146"/>
      <c r="P526" s="69"/>
      <c r="Q526" s="69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</row>
    <row r="527" spans="1:35" x14ac:dyDescent="0.2">
      <c r="A527" s="158"/>
      <c r="B527" s="158"/>
      <c r="C527" s="74"/>
      <c r="D527" s="75"/>
      <c r="E527" s="75"/>
      <c r="F527" s="69"/>
      <c r="G527" s="69"/>
      <c r="H527" s="69"/>
      <c r="I527" s="69"/>
      <c r="J527" s="69"/>
      <c r="K527" s="69"/>
      <c r="L527" s="69"/>
      <c r="M527" s="69"/>
      <c r="N527" s="69"/>
      <c r="O527" s="146"/>
      <c r="P527" s="69"/>
      <c r="Q527" s="69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</row>
    <row r="528" spans="1:35" x14ac:dyDescent="0.2">
      <c r="A528" s="158"/>
      <c r="B528" s="158"/>
      <c r="C528" s="74"/>
      <c r="D528" s="75"/>
      <c r="E528" s="75"/>
      <c r="F528" s="69"/>
      <c r="G528" s="69"/>
      <c r="H528" s="69"/>
      <c r="I528" s="69"/>
      <c r="J528" s="69"/>
      <c r="K528" s="69"/>
      <c r="L528" s="69"/>
      <c r="M528" s="69"/>
      <c r="N528" s="69"/>
      <c r="O528" s="146"/>
      <c r="P528" s="69"/>
      <c r="Q528" s="69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</row>
    <row r="529" spans="1:35" x14ac:dyDescent="0.2">
      <c r="A529" s="158"/>
      <c r="B529" s="158"/>
      <c r="C529" s="74"/>
      <c r="D529" s="75"/>
      <c r="E529" s="75"/>
      <c r="F529" s="69"/>
      <c r="G529" s="69"/>
      <c r="H529" s="69"/>
      <c r="I529" s="69"/>
      <c r="J529" s="69"/>
      <c r="K529" s="69"/>
      <c r="L529" s="69"/>
      <c r="M529" s="69"/>
      <c r="N529" s="69"/>
      <c r="O529" s="146"/>
      <c r="P529" s="69"/>
      <c r="Q529" s="69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</row>
    <row r="530" spans="1:35" x14ac:dyDescent="0.2">
      <c r="A530" s="158"/>
      <c r="B530" s="158"/>
      <c r="C530" s="74"/>
      <c r="D530" s="75"/>
      <c r="E530" s="75"/>
      <c r="F530" s="69"/>
      <c r="G530" s="69"/>
      <c r="H530" s="69"/>
      <c r="I530" s="69"/>
      <c r="J530" s="69"/>
      <c r="K530" s="69"/>
      <c r="L530" s="69"/>
      <c r="M530" s="69"/>
      <c r="N530" s="69"/>
      <c r="O530" s="146"/>
      <c r="P530" s="69"/>
      <c r="Q530" s="69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</row>
    <row r="531" spans="1:35" x14ac:dyDescent="0.2">
      <c r="A531" s="158"/>
      <c r="B531" s="158"/>
      <c r="C531" s="74"/>
      <c r="D531" s="75"/>
      <c r="E531" s="75"/>
      <c r="F531" s="69"/>
      <c r="G531" s="69"/>
      <c r="H531" s="69"/>
      <c r="I531" s="69"/>
      <c r="J531" s="69"/>
      <c r="K531" s="69"/>
      <c r="L531" s="69"/>
      <c r="M531" s="69"/>
      <c r="N531" s="69"/>
      <c r="O531" s="146"/>
      <c r="P531" s="69"/>
      <c r="Q531" s="69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</row>
    <row r="532" spans="1:35" x14ac:dyDescent="0.2">
      <c r="A532" s="158"/>
      <c r="B532" s="158"/>
      <c r="C532" s="74"/>
      <c r="D532" s="75"/>
      <c r="E532" s="75"/>
      <c r="F532" s="69"/>
      <c r="G532" s="69"/>
      <c r="H532" s="69"/>
      <c r="I532" s="69"/>
      <c r="J532" s="69"/>
      <c r="K532" s="69"/>
      <c r="L532" s="69"/>
      <c r="M532" s="69"/>
      <c r="N532" s="69"/>
      <c r="O532" s="146"/>
      <c r="P532" s="69"/>
      <c r="Q532" s="69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</row>
    <row r="533" spans="1:35" x14ac:dyDescent="0.2">
      <c r="A533" s="158"/>
      <c r="B533" s="158"/>
      <c r="C533" s="74"/>
      <c r="D533" s="75"/>
      <c r="E533" s="75"/>
      <c r="F533" s="69"/>
      <c r="G533" s="69"/>
      <c r="H533" s="69"/>
      <c r="I533" s="69"/>
      <c r="J533" s="69"/>
      <c r="K533" s="69"/>
      <c r="L533" s="69"/>
      <c r="M533" s="69"/>
      <c r="N533" s="69"/>
      <c r="O533" s="146"/>
      <c r="P533" s="69"/>
      <c r="Q533" s="69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</row>
    <row r="534" spans="1:35" x14ac:dyDescent="0.2">
      <c r="A534" s="158"/>
      <c r="B534" s="158"/>
      <c r="C534" s="74"/>
      <c r="D534" s="75"/>
      <c r="E534" s="75"/>
      <c r="F534" s="69"/>
      <c r="G534" s="69"/>
      <c r="H534" s="69"/>
      <c r="I534" s="69"/>
      <c r="J534" s="69"/>
      <c r="K534" s="69"/>
      <c r="L534" s="69"/>
      <c r="M534" s="69"/>
      <c r="N534" s="69"/>
      <c r="O534" s="146"/>
      <c r="P534" s="69"/>
      <c r="Q534" s="69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</row>
    <row r="535" spans="1:35" x14ac:dyDescent="0.2">
      <c r="A535" s="158"/>
      <c r="B535" s="158"/>
      <c r="C535" s="74"/>
      <c r="D535" s="75"/>
      <c r="E535" s="75"/>
      <c r="F535" s="69"/>
      <c r="G535" s="69"/>
      <c r="H535" s="69"/>
      <c r="I535" s="69"/>
      <c r="J535" s="69"/>
      <c r="K535" s="69"/>
      <c r="L535" s="69"/>
      <c r="M535" s="69"/>
      <c r="N535" s="69"/>
      <c r="O535" s="146"/>
      <c r="P535" s="69"/>
      <c r="Q535" s="69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</row>
    <row r="536" spans="1:35" x14ac:dyDescent="0.2">
      <c r="A536" s="158"/>
      <c r="B536" s="158"/>
      <c r="C536" s="74"/>
      <c r="D536" s="75"/>
      <c r="E536" s="75"/>
      <c r="F536" s="69"/>
      <c r="G536" s="69"/>
      <c r="H536" s="69"/>
      <c r="I536" s="69"/>
      <c r="J536" s="69"/>
      <c r="K536" s="69"/>
      <c r="L536" s="69"/>
      <c r="M536" s="69"/>
      <c r="N536" s="69"/>
      <c r="O536" s="146"/>
      <c r="P536" s="69"/>
      <c r="Q536" s="69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</row>
    <row r="537" spans="1:35" x14ac:dyDescent="0.2">
      <c r="A537" s="158"/>
      <c r="B537" s="158"/>
      <c r="C537" s="74"/>
      <c r="D537" s="75"/>
      <c r="E537" s="75"/>
      <c r="F537" s="69"/>
      <c r="G537" s="69"/>
      <c r="H537" s="69"/>
      <c r="I537" s="69"/>
      <c r="J537" s="69"/>
      <c r="K537" s="69"/>
      <c r="L537" s="69"/>
      <c r="M537" s="69"/>
      <c r="N537" s="69"/>
      <c r="O537" s="146"/>
      <c r="P537" s="69"/>
      <c r="Q537" s="69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</row>
    <row r="538" spans="1:35" x14ac:dyDescent="0.2">
      <c r="A538" s="158"/>
      <c r="B538" s="158"/>
      <c r="C538" s="74"/>
      <c r="D538" s="75"/>
      <c r="E538" s="75"/>
      <c r="F538" s="69"/>
      <c r="G538" s="69"/>
      <c r="H538" s="69"/>
      <c r="I538" s="69"/>
      <c r="J538" s="69"/>
      <c r="K538" s="69"/>
      <c r="L538" s="69"/>
      <c r="M538" s="69"/>
      <c r="N538" s="69"/>
      <c r="O538" s="146"/>
      <c r="P538" s="69"/>
      <c r="Q538" s="69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</row>
    <row r="539" spans="1:35" x14ac:dyDescent="0.2">
      <c r="A539" s="158"/>
      <c r="B539" s="158"/>
      <c r="C539" s="74"/>
      <c r="D539" s="75"/>
      <c r="E539" s="75"/>
      <c r="F539" s="69"/>
      <c r="G539" s="69"/>
      <c r="H539" s="69"/>
      <c r="I539" s="69"/>
      <c r="J539" s="69"/>
      <c r="K539" s="69"/>
      <c r="L539" s="69"/>
      <c r="M539" s="69"/>
      <c r="N539" s="69"/>
      <c r="O539" s="146"/>
      <c r="P539" s="69"/>
      <c r="Q539" s="69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</row>
    <row r="540" spans="1:35" x14ac:dyDescent="0.2">
      <c r="A540" s="158"/>
      <c r="B540" s="158"/>
      <c r="C540" s="74"/>
      <c r="D540" s="75"/>
      <c r="E540" s="75"/>
      <c r="F540" s="69"/>
      <c r="G540" s="69"/>
      <c r="H540" s="69"/>
      <c r="I540" s="69"/>
      <c r="J540" s="69"/>
      <c r="K540" s="69"/>
      <c r="L540" s="69"/>
      <c r="M540" s="69"/>
      <c r="N540" s="69"/>
      <c r="O540" s="146"/>
      <c r="P540" s="69"/>
      <c r="Q540" s="69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</row>
    <row r="541" spans="1:35" x14ac:dyDescent="0.2">
      <c r="A541" s="158"/>
      <c r="B541" s="158"/>
      <c r="C541" s="74"/>
      <c r="D541" s="75"/>
      <c r="E541" s="75"/>
      <c r="F541" s="69"/>
      <c r="G541" s="69"/>
      <c r="H541" s="69"/>
      <c r="I541" s="69"/>
      <c r="J541" s="69"/>
      <c r="K541" s="69"/>
      <c r="L541" s="69"/>
      <c r="M541" s="69"/>
      <c r="N541" s="69"/>
      <c r="O541" s="146"/>
      <c r="P541" s="69"/>
      <c r="Q541" s="69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</row>
    <row r="542" spans="1:35" x14ac:dyDescent="0.2">
      <c r="A542" s="158"/>
      <c r="B542" s="158"/>
      <c r="C542" s="74"/>
      <c r="D542" s="75"/>
      <c r="E542" s="75"/>
      <c r="F542" s="69"/>
      <c r="G542" s="69"/>
      <c r="H542" s="69"/>
      <c r="I542" s="69"/>
      <c r="J542" s="69"/>
      <c r="K542" s="69"/>
      <c r="L542" s="69"/>
      <c r="M542" s="69"/>
      <c r="N542" s="69"/>
      <c r="O542" s="146"/>
      <c r="P542" s="69"/>
      <c r="Q542" s="69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</row>
    <row r="543" spans="1:35" x14ac:dyDescent="0.2">
      <c r="A543" s="158"/>
      <c r="B543" s="158"/>
      <c r="C543" s="74"/>
      <c r="D543" s="75"/>
      <c r="E543" s="75"/>
      <c r="F543" s="69"/>
      <c r="G543" s="69"/>
      <c r="H543" s="69"/>
      <c r="I543" s="69"/>
      <c r="J543" s="69"/>
      <c r="K543" s="69"/>
      <c r="L543" s="69"/>
      <c r="M543" s="69"/>
      <c r="N543" s="69"/>
      <c r="O543" s="146"/>
      <c r="P543" s="69"/>
      <c r="Q543" s="69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</row>
    <row r="544" spans="1:35" x14ac:dyDescent="0.2">
      <c r="A544" s="158"/>
      <c r="B544" s="158"/>
      <c r="C544" s="74"/>
      <c r="D544" s="75"/>
      <c r="E544" s="75"/>
      <c r="F544" s="69"/>
      <c r="G544" s="69"/>
      <c r="H544" s="69"/>
      <c r="I544" s="69"/>
      <c r="J544" s="69"/>
      <c r="K544" s="69"/>
      <c r="L544" s="69"/>
      <c r="M544" s="69"/>
      <c r="N544" s="69"/>
      <c r="O544" s="146"/>
      <c r="P544" s="69"/>
      <c r="Q544" s="69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</row>
    <row r="545" spans="1:35" x14ac:dyDescent="0.2">
      <c r="A545" s="158"/>
      <c r="B545" s="158"/>
      <c r="C545" s="74"/>
      <c r="D545" s="75"/>
      <c r="E545" s="75"/>
      <c r="F545" s="69"/>
      <c r="G545" s="69"/>
      <c r="H545" s="69"/>
      <c r="I545" s="69"/>
      <c r="J545" s="69"/>
      <c r="K545" s="69"/>
      <c r="L545" s="69"/>
      <c r="M545" s="69"/>
      <c r="N545" s="69"/>
      <c r="O545" s="146"/>
      <c r="P545" s="69"/>
      <c r="Q545" s="69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</row>
    <row r="546" spans="1:35" x14ac:dyDescent="0.2">
      <c r="A546" s="158"/>
      <c r="B546" s="158"/>
      <c r="C546" s="74"/>
      <c r="D546" s="75"/>
      <c r="E546" s="75"/>
      <c r="F546" s="69"/>
      <c r="G546" s="69"/>
      <c r="H546" s="69"/>
      <c r="I546" s="69"/>
      <c r="J546" s="69"/>
      <c r="K546" s="69"/>
      <c r="L546" s="69"/>
      <c r="M546" s="69"/>
      <c r="N546" s="69"/>
      <c r="O546" s="146"/>
      <c r="P546" s="69"/>
      <c r="Q546" s="69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</row>
    <row r="547" spans="1:35" x14ac:dyDescent="0.2">
      <c r="A547" s="158"/>
      <c r="B547" s="158"/>
      <c r="C547" s="74"/>
      <c r="D547" s="75"/>
      <c r="E547" s="75"/>
      <c r="F547" s="69"/>
      <c r="G547" s="69"/>
      <c r="H547" s="69"/>
      <c r="I547" s="69"/>
      <c r="J547" s="69"/>
      <c r="K547" s="69"/>
      <c r="L547" s="69"/>
      <c r="M547" s="69"/>
      <c r="N547" s="69"/>
      <c r="O547" s="146"/>
      <c r="P547" s="69"/>
      <c r="Q547" s="69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</row>
    <row r="548" spans="1:35" x14ac:dyDescent="0.2">
      <c r="A548" s="158"/>
      <c r="B548" s="158"/>
      <c r="C548" s="74"/>
      <c r="D548" s="75"/>
      <c r="E548" s="75"/>
      <c r="F548" s="69"/>
      <c r="G548" s="69"/>
      <c r="H548" s="69"/>
      <c r="I548" s="69"/>
      <c r="J548" s="69"/>
      <c r="K548" s="69"/>
      <c r="L548" s="69"/>
      <c r="M548" s="69"/>
      <c r="N548" s="69"/>
      <c r="O548" s="146"/>
      <c r="P548" s="69"/>
      <c r="Q548" s="69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</row>
    <row r="549" spans="1:35" x14ac:dyDescent="0.2">
      <c r="A549" s="158"/>
      <c r="B549" s="158"/>
      <c r="C549" s="74"/>
      <c r="D549" s="75"/>
      <c r="E549" s="75"/>
      <c r="F549" s="69"/>
      <c r="G549" s="69"/>
      <c r="H549" s="69"/>
      <c r="I549" s="69"/>
      <c r="J549" s="69"/>
      <c r="K549" s="69"/>
      <c r="L549" s="69"/>
      <c r="M549" s="69"/>
      <c r="N549" s="69"/>
      <c r="O549" s="146"/>
      <c r="P549" s="69"/>
      <c r="Q549" s="69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</row>
    <row r="550" spans="1:35" x14ac:dyDescent="0.2">
      <c r="A550" s="158"/>
      <c r="B550" s="158"/>
      <c r="C550" s="74"/>
      <c r="D550" s="75"/>
      <c r="E550" s="75"/>
      <c r="F550" s="69"/>
      <c r="G550" s="69"/>
      <c r="H550" s="69"/>
      <c r="I550" s="69"/>
      <c r="J550" s="69"/>
      <c r="K550" s="69"/>
      <c r="L550" s="69"/>
      <c r="M550" s="69"/>
      <c r="N550" s="69"/>
      <c r="O550" s="146"/>
      <c r="P550" s="69"/>
      <c r="Q550" s="69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</row>
    <row r="551" spans="1:35" x14ac:dyDescent="0.2">
      <c r="A551" s="158"/>
      <c r="B551" s="158"/>
      <c r="C551" s="74"/>
      <c r="D551" s="75"/>
      <c r="E551" s="75"/>
      <c r="F551" s="69"/>
      <c r="G551" s="69"/>
      <c r="H551" s="69"/>
      <c r="I551" s="69"/>
      <c r="J551" s="69"/>
      <c r="K551" s="69"/>
      <c r="L551" s="69"/>
      <c r="M551" s="69"/>
      <c r="N551" s="69"/>
      <c r="O551" s="146"/>
      <c r="P551" s="69"/>
      <c r="Q551" s="69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</row>
    <row r="552" spans="1:35" x14ac:dyDescent="0.2">
      <c r="A552" s="158"/>
      <c r="B552" s="158"/>
      <c r="C552" s="74"/>
      <c r="D552" s="75"/>
      <c r="E552" s="75"/>
      <c r="F552" s="69"/>
      <c r="G552" s="69"/>
      <c r="H552" s="69"/>
      <c r="I552" s="69"/>
      <c r="J552" s="69"/>
      <c r="K552" s="69"/>
      <c r="L552" s="69"/>
      <c r="M552" s="69"/>
      <c r="N552" s="69"/>
      <c r="O552" s="146"/>
      <c r="P552" s="69"/>
      <c r="Q552" s="69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</row>
    <row r="553" spans="1:35" x14ac:dyDescent="0.2">
      <c r="A553" s="158"/>
      <c r="B553" s="158"/>
      <c r="C553" s="74"/>
      <c r="D553" s="75"/>
      <c r="E553" s="75"/>
      <c r="F553" s="69"/>
      <c r="G553" s="69"/>
      <c r="H553" s="69"/>
      <c r="I553" s="69"/>
      <c r="J553" s="69"/>
      <c r="K553" s="69"/>
      <c r="L553" s="69"/>
      <c r="M553" s="69"/>
      <c r="N553" s="69"/>
      <c r="O553" s="146"/>
      <c r="P553" s="69"/>
      <c r="Q553" s="69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</row>
    <row r="554" spans="1:35" x14ac:dyDescent="0.2">
      <c r="A554" s="158"/>
      <c r="B554" s="158"/>
      <c r="C554" s="74"/>
      <c r="D554" s="75"/>
      <c r="E554" s="75"/>
      <c r="F554" s="69"/>
      <c r="G554" s="69"/>
      <c r="H554" s="69"/>
      <c r="I554" s="69"/>
      <c r="J554" s="69"/>
      <c r="K554" s="69"/>
      <c r="L554" s="69"/>
      <c r="M554" s="69"/>
      <c r="N554" s="69"/>
      <c r="O554" s="146"/>
      <c r="P554" s="69"/>
      <c r="Q554" s="69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</row>
    <row r="555" spans="1:35" x14ac:dyDescent="0.2">
      <c r="A555" s="158"/>
      <c r="B555" s="158"/>
      <c r="C555" s="74"/>
      <c r="D555" s="75"/>
      <c r="E555" s="75"/>
      <c r="F555" s="69"/>
      <c r="G555" s="69"/>
      <c r="H555" s="69"/>
      <c r="I555" s="69"/>
      <c r="J555" s="69"/>
      <c r="K555" s="69"/>
      <c r="L555" s="69"/>
      <c r="M555" s="69"/>
      <c r="N555" s="69"/>
      <c r="O555" s="146"/>
      <c r="P555" s="69"/>
      <c r="Q555" s="69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</row>
    <row r="556" spans="1:35" x14ac:dyDescent="0.2">
      <c r="A556" s="158"/>
      <c r="B556" s="158"/>
      <c r="C556" s="74"/>
      <c r="D556" s="75"/>
      <c r="E556" s="75"/>
      <c r="F556" s="69"/>
      <c r="G556" s="69"/>
      <c r="H556" s="69"/>
      <c r="I556" s="69"/>
      <c r="J556" s="69"/>
      <c r="K556" s="69"/>
      <c r="L556" s="69"/>
      <c r="M556" s="69"/>
      <c r="N556" s="69"/>
      <c r="O556" s="146"/>
      <c r="P556" s="69"/>
      <c r="Q556" s="69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</row>
    <row r="557" spans="1:35" x14ac:dyDescent="0.2">
      <c r="A557" s="158"/>
      <c r="B557" s="158"/>
      <c r="C557" s="74"/>
      <c r="D557" s="75"/>
      <c r="E557" s="75"/>
      <c r="F557" s="69"/>
      <c r="G557" s="69"/>
      <c r="H557" s="69"/>
      <c r="I557" s="69"/>
      <c r="J557" s="69"/>
      <c r="K557" s="69"/>
      <c r="L557" s="69"/>
      <c r="M557" s="69"/>
      <c r="N557" s="69"/>
      <c r="O557" s="146"/>
      <c r="P557" s="69"/>
      <c r="Q557" s="69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</row>
    <row r="558" spans="1:35" x14ac:dyDescent="0.2">
      <c r="A558" s="158"/>
      <c r="B558" s="158"/>
      <c r="C558" s="74"/>
      <c r="D558" s="75"/>
      <c r="E558" s="75"/>
      <c r="F558" s="69"/>
      <c r="G558" s="69"/>
      <c r="H558" s="69"/>
      <c r="I558" s="69"/>
      <c r="J558" s="69"/>
      <c r="K558" s="69"/>
      <c r="L558" s="69"/>
      <c r="M558" s="69"/>
      <c r="N558" s="69"/>
      <c r="O558" s="146"/>
      <c r="P558" s="69"/>
      <c r="Q558" s="69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</row>
    <row r="559" spans="1:35" x14ac:dyDescent="0.2">
      <c r="A559" s="158"/>
      <c r="B559" s="158"/>
      <c r="C559" s="74"/>
      <c r="D559" s="75"/>
      <c r="E559" s="75"/>
      <c r="F559" s="69"/>
      <c r="G559" s="69"/>
      <c r="H559" s="69"/>
      <c r="I559" s="69"/>
      <c r="J559" s="69"/>
      <c r="K559" s="69"/>
      <c r="L559" s="69"/>
      <c r="M559" s="69"/>
      <c r="N559" s="69"/>
      <c r="O559" s="146"/>
      <c r="P559" s="69"/>
      <c r="Q559" s="69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</row>
    <row r="560" spans="1:35" x14ac:dyDescent="0.2">
      <c r="A560" s="158"/>
      <c r="B560" s="158"/>
      <c r="C560" s="74"/>
      <c r="D560" s="75"/>
      <c r="E560" s="75"/>
      <c r="F560" s="69"/>
      <c r="G560" s="69"/>
      <c r="H560" s="69"/>
      <c r="I560" s="69"/>
      <c r="J560" s="69"/>
      <c r="K560" s="69"/>
      <c r="L560" s="69"/>
      <c r="M560" s="69"/>
      <c r="N560" s="69"/>
      <c r="O560" s="146"/>
      <c r="P560" s="69"/>
      <c r="Q560" s="69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</row>
    <row r="561" spans="1:35" x14ac:dyDescent="0.2">
      <c r="A561" s="158"/>
      <c r="B561" s="158"/>
      <c r="C561" s="74"/>
      <c r="D561" s="75"/>
      <c r="E561" s="75"/>
      <c r="F561" s="69"/>
      <c r="G561" s="69"/>
      <c r="H561" s="69"/>
      <c r="I561" s="69"/>
      <c r="J561" s="69"/>
      <c r="K561" s="69"/>
      <c r="L561" s="69"/>
      <c r="M561" s="69"/>
      <c r="N561" s="69"/>
      <c r="O561" s="146"/>
      <c r="P561" s="69"/>
      <c r="Q561" s="69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</row>
    <row r="562" spans="1:35" x14ac:dyDescent="0.2">
      <c r="A562" s="158"/>
      <c r="B562" s="158"/>
      <c r="C562" s="74"/>
      <c r="D562" s="75"/>
      <c r="E562" s="75"/>
      <c r="F562" s="69"/>
      <c r="G562" s="69"/>
      <c r="H562" s="69"/>
      <c r="I562" s="69"/>
      <c r="J562" s="69"/>
      <c r="K562" s="69"/>
      <c r="L562" s="69"/>
      <c r="M562" s="69"/>
      <c r="N562" s="69"/>
      <c r="O562" s="146"/>
      <c r="P562" s="69"/>
      <c r="Q562" s="69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</row>
    <row r="563" spans="1:35" x14ac:dyDescent="0.2">
      <c r="A563" s="158"/>
      <c r="B563" s="158"/>
      <c r="C563" s="74"/>
      <c r="D563" s="75"/>
      <c r="E563" s="75"/>
      <c r="F563" s="69"/>
      <c r="G563" s="69"/>
      <c r="H563" s="69"/>
      <c r="I563" s="69"/>
      <c r="J563" s="69"/>
      <c r="K563" s="69"/>
      <c r="L563" s="69"/>
      <c r="M563" s="69"/>
      <c r="N563" s="69"/>
      <c r="O563" s="146"/>
      <c r="P563" s="69"/>
      <c r="Q563" s="69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</row>
    <row r="564" spans="1:35" x14ac:dyDescent="0.2">
      <c r="A564" s="158"/>
      <c r="B564" s="158"/>
      <c r="C564" s="74"/>
      <c r="D564" s="75"/>
      <c r="E564" s="75"/>
      <c r="F564" s="69"/>
      <c r="G564" s="69"/>
      <c r="H564" s="69"/>
      <c r="I564" s="69"/>
      <c r="J564" s="69"/>
      <c r="K564" s="69"/>
      <c r="L564" s="69"/>
      <c r="M564" s="69"/>
      <c r="N564" s="69"/>
      <c r="O564" s="146"/>
      <c r="P564" s="69"/>
      <c r="Q564" s="69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</row>
    <row r="565" spans="1:35" x14ac:dyDescent="0.2">
      <c r="A565" s="158"/>
      <c r="B565" s="158"/>
      <c r="C565" s="74"/>
      <c r="D565" s="75"/>
      <c r="E565" s="75"/>
      <c r="F565" s="69"/>
      <c r="G565" s="69"/>
      <c r="H565" s="69"/>
      <c r="I565" s="69"/>
      <c r="J565" s="69"/>
      <c r="K565" s="69"/>
      <c r="L565" s="69"/>
      <c r="M565" s="69"/>
      <c r="N565" s="69"/>
      <c r="O565" s="146"/>
      <c r="P565" s="69"/>
      <c r="Q565" s="69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</row>
    <row r="566" spans="1:35" x14ac:dyDescent="0.2">
      <c r="A566" s="158"/>
      <c r="B566" s="158"/>
      <c r="C566" s="74"/>
      <c r="D566" s="75"/>
      <c r="E566" s="75"/>
      <c r="F566" s="69"/>
      <c r="G566" s="69"/>
      <c r="H566" s="69"/>
      <c r="I566" s="69"/>
      <c r="J566" s="69"/>
      <c r="K566" s="69"/>
      <c r="L566" s="69"/>
      <c r="M566" s="69"/>
      <c r="N566" s="69"/>
      <c r="O566" s="146"/>
      <c r="P566" s="69"/>
      <c r="Q566" s="69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</row>
    <row r="567" spans="1:35" x14ac:dyDescent="0.2">
      <c r="A567" s="158"/>
      <c r="B567" s="158"/>
      <c r="C567" s="74"/>
      <c r="D567" s="75"/>
      <c r="E567" s="75"/>
      <c r="F567" s="69"/>
      <c r="G567" s="69"/>
      <c r="H567" s="69"/>
      <c r="I567" s="69"/>
      <c r="J567" s="69"/>
      <c r="K567" s="69"/>
      <c r="L567" s="69"/>
      <c r="M567" s="69"/>
      <c r="N567" s="69"/>
      <c r="O567" s="146"/>
      <c r="P567" s="69"/>
      <c r="Q567" s="69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</row>
    <row r="568" spans="1:35" x14ac:dyDescent="0.2">
      <c r="A568" s="158"/>
      <c r="B568" s="158"/>
      <c r="C568" s="74"/>
      <c r="D568" s="75"/>
      <c r="E568" s="75"/>
      <c r="F568" s="69"/>
      <c r="G568" s="69"/>
      <c r="H568" s="69"/>
      <c r="I568" s="69"/>
      <c r="J568" s="69"/>
      <c r="K568" s="69"/>
      <c r="L568" s="69"/>
      <c r="M568" s="69"/>
      <c r="N568" s="69"/>
      <c r="O568" s="146"/>
      <c r="P568" s="69"/>
      <c r="Q568" s="69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</row>
    <row r="569" spans="1:35" x14ac:dyDescent="0.2">
      <c r="A569" s="158"/>
      <c r="B569" s="158"/>
      <c r="C569" s="74"/>
      <c r="D569" s="75"/>
      <c r="E569" s="75"/>
      <c r="F569" s="69"/>
      <c r="G569" s="69"/>
      <c r="H569" s="69"/>
      <c r="I569" s="69"/>
      <c r="J569" s="69"/>
      <c r="K569" s="69"/>
      <c r="L569" s="69"/>
      <c r="M569" s="69"/>
      <c r="N569" s="69"/>
      <c r="O569" s="146"/>
      <c r="P569" s="69"/>
      <c r="Q569" s="69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</row>
    <row r="570" spans="1:35" x14ac:dyDescent="0.2">
      <c r="A570" s="158"/>
      <c r="B570" s="158"/>
      <c r="C570" s="74"/>
      <c r="D570" s="75"/>
      <c r="E570" s="75"/>
      <c r="F570" s="69"/>
      <c r="G570" s="69"/>
      <c r="H570" s="69"/>
      <c r="I570" s="69"/>
      <c r="J570" s="69"/>
      <c r="K570" s="69"/>
      <c r="L570" s="69"/>
      <c r="M570" s="69"/>
      <c r="N570" s="69"/>
      <c r="O570" s="146"/>
      <c r="P570" s="69"/>
      <c r="Q570" s="69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</row>
    <row r="571" spans="1:35" x14ac:dyDescent="0.2">
      <c r="A571" s="158"/>
      <c r="B571" s="158"/>
      <c r="C571" s="74"/>
      <c r="D571" s="75"/>
      <c r="E571" s="75"/>
      <c r="F571" s="69"/>
      <c r="G571" s="69"/>
      <c r="H571" s="69"/>
      <c r="I571" s="69"/>
      <c r="J571" s="69"/>
      <c r="K571" s="69"/>
      <c r="L571" s="69"/>
      <c r="M571" s="69"/>
      <c r="N571" s="69"/>
      <c r="O571" s="146"/>
      <c r="P571" s="69"/>
      <c r="Q571" s="69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</row>
    <row r="572" spans="1:35" x14ac:dyDescent="0.2">
      <c r="A572" s="158"/>
      <c r="B572" s="158"/>
      <c r="C572" s="74"/>
      <c r="D572" s="75"/>
      <c r="E572" s="75"/>
      <c r="F572" s="69"/>
      <c r="G572" s="69"/>
      <c r="H572" s="69"/>
      <c r="I572" s="69"/>
      <c r="J572" s="69"/>
      <c r="K572" s="69"/>
      <c r="L572" s="69"/>
      <c r="M572" s="69"/>
      <c r="N572" s="69"/>
      <c r="O572" s="146"/>
      <c r="P572" s="69"/>
      <c r="Q572" s="69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</row>
    <row r="573" spans="1:35" x14ac:dyDescent="0.2">
      <c r="A573" s="158"/>
      <c r="B573" s="158"/>
      <c r="C573" s="74"/>
      <c r="D573" s="75"/>
      <c r="E573" s="75"/>
      <c r="F573" s="69"/>
      <c r="G573" s="69"/>
      <c r="H573" s="69"/>
      <c r="I573" s="69"/>
      <c r="J573" s="69"/>
      <c r="K573" s="69"/>
      <c r="L573" s="69"/>
      <c r="M573" s="69"/>
      <c r="N573" s="69"/>
      <c r="O573" s="146"/>
      <c r="P573" s="69"/>
      <c r="Q573" s="69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</row>
    <row r="574" spans="1:35" x14ac:dyDescent="0.2">
      <c r="A574" s="158"/>
      <c r="B574" s="158"/>
      <c r="C574" s="74"/>
      <c r="D574" s="75"/>
      <c r="E574" s="75"/>
      <c r="F574" s="69"/>
      <c r="G574" s="69"/>
      <c r="H574" s="69"/>
      <c r="I574" s="69"/>
      <c r="J574" s="69"/>
      <c r="K574" s="69"/>
      <c r="L574" s="69"/>
      <c r="M574" s="69"/>
      <c r="N574" s="69"/>
      <c r="O574" s="146"/>
      <c r="P574" s="69"/>
      <c r="Q574" s="69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</row>
    <row r="575" spans="1:35" x14ac:dyDescent="0.2">
      <c r="A575" s="158"/>
      <c r="B575" s="158"/>
      <c r="C575" s="74"/>
      <c r="D575" s="75"/>
      <c r="E575" s="75"/>
      <c r="F575" s="69"/>
      <c r="G575" s="69"/>
      <c r="H575" s="69"/>
      <c r="I575" s="69"/>
      <c r="J575" s="69"/>
      <c r="K575" s="69"/>
      <c r="L575" s="69"/>
      <c r="M575" s="69"/>
      <c r="N575" s="69"/>
      <c r="O575" s="146"/>
      <c r="P575" s="69"/>
      <c r="Q575" s="69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</row>
    <row r="576" spans="1:35" x14ac:dyDescent="0.2">
      <c r="A576" s="158"/>
      <c r="B576" s="158"/>
      <c r="C576" s="74"/>
      <c r="D576" s="75"/>
      <c r="E576" s="75"/>
      <c r="F576" s="69"/>
      <c r="G576" s="69"/>
      <c r="H576" s="69"/>
      <c r="I576" s="69"/>
      <c r="J576" s="69"/>
      <c r="K576" s="69"/>
      <c r="L576" s="69"/>
      <c r="M576" s="69"/>
      <c r="N576" s="69"/>
      <c r="O576" s="146"/>
      <c r="P576" s="69"/>
      <c r="Q576" s="69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</row>
    <row r="577" spans="1:35" x14ac:dyDescent="0.2">
      <c r="A577" s="158"/>
      <c r="B577" s="158"/>
      <c r="C577" s="74"/>
      <c r="D577" s="75"/>
      <c r="E577" s="75"/>
      <c r="F577" s="69"/>
      <c r="G577" s="69"/>
      <c r="H577" s="69"/>
      <c r="I577" s="69"/>
      <c r="J577" s="69"/>
      <c r="K577" s="69"/>
      <c r="L577" s="69"/>
      <c r="M577" s="69"/>
      <c r="N577" s="69"/>
      <c r="O577" s="146"/>
      <c r="P577" s="69"/>
      <c r="Q577" s="69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</row>
    <row r="578" spans="1:35" x14ac:dyDescent="0.2">
      <c r="A578" s="158"/>
      <c r="B578" s="158"/>
      <c r="C578" s="74"/>
      <c r="D578" s="75"/>
      <c r="E578" s="75"/>
      <c r="F578" s="69"/>
      <c r="G578" s="69"/>
      <c r="H578" s="69"/>
      <c r="I578" s="69"/>
      <c r="J578" s="69"/>
      <c r="K578" s="69"/>
      <c r="L578" s="69"/>
      <c r="M578" s="69"/>
      <c r="N578" s="69"/>
      <c r="O578" s="146"/>
      <c r="P578" s="69"/>
      <c r="Q578" s="69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</row>
    <row r="579" spans="1:35" x14ac:dyDescent="0.2">
      <c r="A579" s="158"/>
      <c r="B579" s="158"/>
      <c r="C579" s="74"/>
      <c r="D579" s="75"/>
      <c r="E579" s="75"/>
      <c r="F579" s="69"/>
      <c r="G579" s="69"/>
      <c r="H579" s="69"/>
      <c r="I579" s="69"/>
      <c r="J579" s="69"/>
      <c r="K579" s="69"/>
      <c r="L579" s="69"/>
      <c r="M579" s="69"/>
      <c r="N579" s="69"/>
      <c r="O579" s="146"/>
      <c r="P579" s="69"/>
      <c r="Q579" s="69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</row>
    <row r="580" spans="1:35" x14ac:dyDescent="0.2">
      <c r="A580" s="158"/>
      <c r="B580" s="158"/>
      <c r="C580" s="74"/>
      <c r="D580" s="75"/>
      <c r="E580" s="75"/>
      <c r="F580" s="69"/>
      <c r="G580" s="69"/>
      <c r="H580" s="69"/>
      <c r="I580" s="69"/>
      <c r="J580" s="69"/>
      <c r="K580" s="69"/>
      <c r="L580" s="69"/>
      <c r="M580" s="69"/>
      <c r="N580" s="69"/>
      <c r="O580" s="146"/>
      <c r="P580" s="69"/>
      <c r="Q580" s="69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</row>
    <row r="581" spans="1:35" x14ac:dyDescent="0.2">
      <c r="A581" s="158"/>
      <c r="B581" s="158"/>
      <c r="C581" s="74"/>
      <c r="D581" s="75"/>
      <c r="E581" s="75"/>
      <c r="F581" s="69"/>
      <c r="G581" s="69"/>
      <c r="H581" s="69"/>
      <c r="I581" s="69"/>
      <c r="J581" s="69"/>
      <c r="K581" s="69"/>
      <c r="L581" s="69"/>
      <c r="M581" s="69"/>
      <c r="N581" s="69"/>
      <c r="O581" s="146"/>
      <c r="P581" s="69"/>
      <c r="Q581" s="69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</row>
    <row r="582" spans="1:35" x14ac:dyDescent="0.2">
      <c r="A582" s="158"/>
      <c r="B582" s="158"/>
      <c r="C582" s="74"/>
      <c r="D582" s="75"/>
      <c r="E582" s="75"/>
      <c r="F582" s="69"/>
      <c r="G582" s="69"/>
      <c r="H582" s="69"/>
      <c r="I582" s="69"/>
      <c r="J582" s="69"/>
      <c r="K582" s="69"/>
      <c r="L582" s="69"/>
      <c r="M582" s="69"/>
      <c r="N582" s="69"/>
      <c r="O582" s="146"/>
      <c r="P582" s="69"/>
      <c r="Q582" s="69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</row>
    <row r="583" spans="1:35" x14ac:dyDescent="0.2">
      <c r="A583" s="158"/>
      <c r="B583" s="158"/>
      <c r="C583" s="74"/>
      <c r="D583" s="75"/>
      <c r="E583" s="75"/>
      <c r="F583" s="69"/>
      <c r="G583" s="69"/>
      <c r="H583" s="69"/>
      <c r="I583" s="69"/>
      <c r="J583" s="69"/>
      <c r="K583" s="69"/>
      <c r="L583" s="69"/>
      <c r="M583" s="69"/>
      <c r="N583" s="69"/>
      <c r="O583" s="146"/>
      <c r="P583" s="69"/>
      <c r="Q583" s="69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</row>
    <row r="584" spans="1:35" x14ac:dyDescent="0.2">
      <c r="A584" s="158"/>
      <c r="B584" s="158"/>
      <c r="C584" s="74"/>
      <c r="D584" s="75"/>
      <c r="E584" s="75"/>
      <c r="F584" s="69"/>
      <c r="G584" s="69"/>
      <c r="H584" s="69"/>
      <c r="I584" s="69"/>
      <c r="J584" s="69"/>
      <c r="K584" s="69"/>
      <c r="L584" s="69"/>
      <c r="M584" s="69"/>
      <c r="N584" s="69"/>
      <c r="O584" s="146"/>
      <c r="P584" s="69"/>
      <c r="Q584" s="69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</row>
    <row r="585" spans="1:35" x14ac:dyDescent="0.2">
      <c r="A585" s="158"/>
      <c r="B585" s="158"/>
      <c r="C585" s="74"/>
      <c r="D585" s="75"/>
      <c r="E585" s="75"/>
      <c r="F585" s="69"/>
      <c r="G585" s="69"/>
      <c r="H585" s="69"/>
      <c r="I585" s="69"/>
      <c r="J585" s="69"/>
      <c r="K585" s="69"/>
      <c r="L585" s="69"/>
      <c r="M585" s="69"/>
      <c r="N585" s="69"/>
      <c r="O585" s="146"/>
      <c r="P585" s="69"/>
      <c r="Q585" s="69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</row>
    <row r="586" spans="1:35" x14ac:dyDescent="0.2">
      <c r="A586" s="158"/>
      <c r="B586" s="158"/>
      <c r="C586" s="74"/>
      <c r="D586" s="75"/>
      <c r="E586" s="75"/>
      <c r="F586" s="69"/>
      <c r="G586" s="69"/>
      <c r="H586" s="69"/>
      <c r="I586" s="69"/>
      <c r="J586" s="69"/>
      <c r="K586" s="69"/>
      <c r="L586" s="69"/>
      <c r="M586" s="69"/>
      <c r="N586" s="69"/>
      <c r="O586" s="146"/>
      <c r="P586" s="69"/>
      <c r="Q586" s="69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</row>
    <row r="587" spans="1:35" x14ac:dyDescent="0.2">
      <c r="A587" s="158"/>
      <c r="B587" s="158"/>
      <c r="C587" s="74"/>
      <c r="D587" s="75"/>
      <c r="E587" s="75"/>
      <c r="F587" s="69"/>
      <c r="G587" s="69"/>
      <c r="H587" s="69"/>
      <c r="I587" s="69"/>
      <c r="J587" s="69"/>
      <c r="K587" s="69"/>
      <c r="L587" s="69"/>
      <c r="M587" s="69"/>
      <c r="N587" s="69"/>
      <c r="O587" s="146"/>
      <c r="P587" s="69"/>
      <c r="Q587" s="69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</row>
    <row r="588" spans="1:35" x14ac:dyDescent="0.2">
      <c r="A588" s="158"/>
      <c r="B588" s="158"/>
      <c r="C588" s="74"/>
      <c r="D588" s="75"/>
      <c r="E588" s="75"/>
      <c r="F588" s="69"/>
      <c r="G588" s="69"/>
      <c r="H588" s="69"/>
      <c r="I588" s="69"/>
      <c r="J588" s="69"/>
      <c r="K588" s="69"/>
      <c r="L588" s="69"/>
      <c r="M588" s="69"/>
      <c r="N588" s="69"/>
      <c r="O588" s="146"/>
      <c r="P588" s="69"/>
      <c r="Q588" s="69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</row>
    <row r="589" spans="1:35" x14ac:dyDescent="0.2">
      <c r="A589" s="158"/>
      <c r="B589" s="158"/>
      <c r="C589" s="74"/>
      <c r="D589" s="75"/>
      <c r="E589" s="75"/>
      <c r="F589" s="69"/>
      <c r="G589" s="69"/>
      <c r="H589" s="69"/>
      <c r="I589" s="69"/>
      <c r="J589" s="69"/>
      <c r="K589" s="69"/>
      <c r="L589" s="69"/>
      <c r="M589" s="69"/>
      <c r="N589" s="69"/>
      <c r="O589" s="146"/>
      <c r="P589" s="69"/>
      <c r="Q589" s="69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</row>
    <row r="590" spans="1:35" x14ac:dyDescent="0.2">
      <c r="A590" s="158"/>
      <c r="B590" s="158"/>
      <c r="C590" s="74"/>
      <c r="D590" s="75"/>
      <c r="E590" s="75"/>
      <c r="F590" s="69"/>
      <c r="G590" s="69"/>
      <c r="H590" s="69"/>
      <c r="I590" s="69"/>
      <c r="J590" s="69"/>
      <c r="K590" s="69"/>
      <c r="L590" s="69"/>
      <c r="M590" s="69"/>
      <c r="N590" s="69"/>
      <c r="O590" s="146"/>
      <c r="P590" s="69"/>
      <c r="Q590" s="69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</row>
    <row r="591" spans="1:35" x14ac:dyDescent="0.2">
      <c r="A591" s="158"/>
      <c r="B591" s="158"/>
      <c r="C591" s="74"/>
      <c r="D591" s="75"/>
      <c r="E591" s="75"/>
      <c r="F591" s="69"/>
      <c r="G591" s="69"/>
      <c r="H591" s="69"/>
      <c r="I591" s="69"/>
      <c r="J591" s="69"/>
      <c r="K591" s="69"/>
      <c r="L591" s="69"/>
      <c r="M591" s="69"/>
      <c r="N591" s="69"/>
      <c r="O591" s="146"/>
      <c r="P591" s="69"/>
      <c r="Q591" s="69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</row>
    <row r="592" spans="1:35" x14ac:dyDescent="0.2">
      <c r="A592" s="158"/>
      <c r="B592" s="158"/>
      <c r="C592" s="74"/>
      <c r="D592" s="75"/>
      <c r="E592" s="75"/>
      <c r="F592" s="69"/>
      <c r="G592" s="69"/>
      <c r="H592" s="69"/>
      <c r="I592" s="69"/>
      <c r="J592" s="69"/>
      <c r="K592" s="69"/>
      <c r="L592" s="69"/>
      <c r="M592" s="69"/>
      <c r="N592" s="69"/>
      <c r="O592" s="146"/>
      <c r="P592" s="69"/>
      <c r="Q592" s="69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</row>
    <row r="593" spans="1:35" x14ac:dyDescent="0.2">
      <c r="A593" s="158"/>
      <c r="B593" s="158"/>
      <c r="C593" s="74"/>
      <c r="D593" s="75"/>
      <c r="E593" s="75"/>
      <c r="F593" s="69"/>
      <c r="G593" s="69"/>
      <c r="H593" s="69"/>
      <c r="I593" s="69"/>
      <c r="J593" s="69"/>
      <c r="K593" s="69"/>
      <c r="L593" s="69"/>
      <c r="M593" s="69"/>
      <c r="N593" s="69"/>
      <c r="O593" s="146"/>
      <c r="P593" s="69"/>
      <c r="Q593" s="69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</row>
    <row r="594" spans="1:35" x14ac:dyDescent="0.2">
      <c r="A594" s="158"/>
      <c r="B594" s="158"/>
      <c r="C594" s="74"/>
      <c r="D594" s="75"/>
      <c r="E594" s="75"/>
      <c r="F594" s="69"/>
      <c r="G594" s="69"/>
      <c r="H594" s="69"/>
      <c r="I594" s="69"/>
      <c r="J594" s="69"/>
      <c r="K594" s="69"/>
      <c r="L594" s="69"/>
      <c r="M594" s="69"/>
      <c r="N594" s="69"/>
      <c r="O594" s="146"/>
      <c r="P594" s="69"/>
      <c r="Q594" s="69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</row>
    <row r="595" spans="1:35" x14ac:dyDescent="0.2">
      <c r="A595" s="158"/>
      <c r="B595" s="158"/>
      <c r="C595" s="74"/>
      <c r="D595" s="75"/>
      <c r="E595" s="75"/>
      <c r="F595" s="69"/>
      <c r="G595" s="69"/>
      <c r="H595" s="69"/>
      <c r="I595" s="69"/>
      <c r="J595" s="69"/>
      <c r="K595" s="69"/>
      <c r="L595" s="69"/>
      <c r="M595" s="69"/>
      <c r="N595" s="69"/>
      <c r="O595" s="146"/>
      <c r="P595" s="69"/>
      <c r="Q595" s="69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</row>
    <row r="596" spans="1:35" x14ac:dyDescent="0.2">
      <c r="A596" s="158"/>
      <c r="B596" s="158"/>
      <c r="C596" s="74"/>
      <c r="D596" s="75"/>
      <c r="E596" s="75"/>
      <c r="F596" s="69"/>
      <c r="G596" s="69"/>
      <c r="H596" s="69"/>
      <c r="I596" s="69"/>
      <c r="J596" s="69"/>
      <c r="K596" s="69"/>
      <c r="L596" s="69"/>
      <c r="M596" s="69"/>
      <c r="N596" s="69"/>
      <c r="O596" s="146"/>
      <c r="P596" s="69"/>
      <c r="Q596" s="69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</row>
    <row r="597" spans="1:35" x14ac:dyDescent="0.2">
      <c r="A597" s="158"/>
      <c r="B597" s="158"/>
      <c r="C597" s="74"/>
      <c r="D597" s="75"/>
      <c r="E597" s="75"/>
      <c r="F597" s="69"/>
      <c r="G597" s="69"/>
      <c r="H597" s="69"/>
      <c r="I597" s="69"/>
      <c r="J597" s="69"/>
      <c r="K597" s="69"/>
      <c r="L597" s="69"/>
      <c r="M597" s="69"/>
      <c r="N597" s="69"/>
      <c r="O597" s="146"/>
      <c r="P597" s="69"/>
      <c r="Q597" s="69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</row>
    <row r="598" spans="1:35" x14ac:dyDescent="0.2">
      <c r="A598" s="158"/>
      <c r="B598" s="158"/>
      <c r="C598" s="74"/>
      <c r="D598" s="75"/>
      <c r="E598" s="75"/>
      <c r="F598" s="69"/>
      <c r="G598" s="69"/>
      <c r="H598" s="69"/>
      <c r="I598" s="69"/>
      <c r="J598" s="69"/>
      <c r="K598" s="69"/>
      <c r="L598" s="69"/>
      <c r="M598" s="69"/>
      <c r="N598" s="69"/>
      <c r="O598" s="146"/>
      <c r="P598" s="69"/>
      <c r="Q598" s="69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</row>
    <row r="599" spans="1:35" x14ac:dyDescent="0.2">
      <c r="A599" s="158"/>
      <c r="B599" s="158"/>
      <c r="C599" s="74"/>
      <c r="D599" s="75"/>
      <c r="E599" s="75"/>
      <c r="F599" s="69"/>
      <c r="G599" s="69"/>
      <c r="H599" s="69"/>
      <c r="I599" s="69"/>
      <c r="J599" s="69"/>
      <c r="K599" s="69"/>
      <c r="L599" s="69"/>
      <c r="M599" s="69"/>
      <c r="N599" s="69"/>
      <c r="O599" s="146"/>
      <c r="P599" s="69"/>
      <c r="Q599" s="69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</row>
    <row r="600" spans="1:35" x14ac:dyDescent="0.2">
      <c r="A600" s="158"/>
      <c r="B600" s="158"/>
      <c r="C600" s="74"/>
      <c r="D600" s="75"/>
      <c r="E600" s="75"/>
      <c r="F600" s="69"/>
      <c r="G600" s="69"/>
      <c r="H600" s="69"/>
      <c r="I600" s="69"/>
      <c r="J600" s="69"/>
      <c r="K600" s="69"/>
      <c r="L600" s="69"/>
      <c r="M600" s="69"/>
      <c r="N600" s="69"/>
      <c r="O600" s="146"/>
      <c r="P600" s="69"/>
      <c r="Q600" s="69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</row>
    <row r="601" spans="1:35" x14ac:dyDescent="0.2">
      <c r="A601" s="158"/>
      <c r="B601" s="158"/>
      <c r="C601" s="74"/>
      <c r="D601" s="75"/>
      <c r="E601" s="75"/>
      <c r="F601" s="69"/>
      <c r="G601" s="69"/>
      <c r="H601" s="69"/>
      <c r="I601" s="69"/>
      <c r="J601" s="69"/>
      <c r="K601" s="69"/>
      <c r="L601" s="69"/>
      <c r="M601" s="69"/>
      <c r="N601" s="69"/>
      <c r="O601" s="146"/>
      <c r="P601" s="69"/>
      <c r="Q601" s="69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</row>
    <row r="602" spans="1:35" x14ac:dyDescent="0.2">
      <c r="A602" s="158"/>
      <c r="B602" s="158"/>
      <c r="C602" s="74"/>
      <c r="D602" s="75"/>
      <c r="E602" s="75"/>
      <c r="F602" s="69"/>
      <c r="G602" s="69"/>
      <c r="H602" s="69"/>
      <c r="I602" s="69"/>
      <c r="J602" s="69"/>
      <c r="K602" s="69"/>
      <c r="L602" s="69"/>
      <c r="M602" s="69"/>
      <c r="N602" s="69"/>
      <c r="O602" s="146"/>
      <c r="P602" s="69"/>
      <c r="Q602" s="69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</row>
    <row r="603" spans="1:35" x14ac:dyDescent="0.2">
      <c r="A603" s="158"/>
      <c r="B603" s="158"/>
      <c r="C603" s="74"/>
      <c r="D603" s="75"/>
      <c r="E603" s="75"/>
      <c r="F603" s="69"/>
      <c r="G603" s="69"/>
      <c r="H603" s="69"/>
      <c r="I603" s="69"/>
      <c r="J603" s="69"/>
      <c r="K603" s="69"/>
      <c r="L603" s="69"/>
      <c r="M603" s="69"/>
      <c r="N603" s="69"/>
      <c r="O603" s="146"/>
      <c r="P603" s="69"/>
      <c r="Q603" s="69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</row>
    <row r="604" spans="1:35" x14ac:dyDescent="0.2">
      <c r="A604" s="158"/>
      <c r="B604" s="158"/>
      <c r="C604" s="74"/>
      <c r="D604" s="75"/>
      <c r="E604" s="75"/>
      <c r="F604" s="69"/>
      <c r="G604" s="69"/>
      <c r="H604" s="69"/>
      <c r="I604" s="69"/>
      <c r="J604" s="69"/>
      <c r="K604" s="69"/>
      <c r="L604" s="69"/>
      <c r="M604" s="69"/>
      <c r="N604" s="69"/>
      <c r="O604" s="146"/>
      <c r="P604" s="69"/>
      <c r="Q604" s="69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</row>
    <row r="605" spans="1:35" x14ac:dyDescent="0.2">
      <c r="A605" s="158"/>
      <c r="B605" s="158"/>
      <c r="C605" s="74"/>
      <c r="D605" s="75"/>
      <c r="E605" s="75"/>
      <c r="F605" s="69"/>
      <c r="G605" s="69"/>
      <c r="H605" s="69"/>
      <c r="I605" s="69"/>
      <c r="J605" s="69"/>
      <c r="K605" s="69"/>
      <c r="L605" s="69"/>
      <c r="M605" s="69"/>
      <c r="N605" s="69"/>
      <c r="O605" s="146"/>
      <c r="P605" s="69"/>
      <c r="Q605" s="69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</row>
    <row r="606" spans="1:35" x14ac:dyDescent="0.2">
      <c r="A606" s="158"/>
      <c r="B606" s="158"/>
      <c r="C606" s="74"/>
      <c r="D606" s="75"/>
      <c r="E606" s="75"/>
      <c r="F606" s="69"/>
      <c r="G606" s="69"/>
      <c r="H606" s="69"/>
      <c r="I606" s="69"/>
      <c r="J606" s="69"/>
      <c r="K606" s="69"/>
      <c r="L606" s="69"/>
      <c r="M606" s="69"/>
      <c r="N606" s="69"/>
      <c r="O606" s="146"/>
      <c r="P606" s="69"/>
      <c r="Q606" s="69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</row>
    <row r="607" spans="1:35" x14ac:dyDescent="0.2">
      <c r="A607" s="158"/>
      <c r="B607" s="158"/>
      <c r="C607" s="74"/>
      <c r="D607" s="75"/>
      <c r="E607" s="75"/>
      <c r="F607" s="69"/>
      <c r="G607" s="69"/>
      <c r="H607" s="69"/>
      <c r="I607" s="69"/>
      <c r="J607" s="69"/>
      <c r="K607" s="69"/>
      <c r="L607" s="69"/>
      <c r="M607" s="69"/>
      <c r="N607" s="69"/>
      <c r="O607" s="146"/>
      <c r="P607" s="69"/>
      <c r="Q607" s="69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</row>
    <row r="608" spans="1:35" x14ac:dyDescent="0.2">
      <c r="A608" s="158"/>
      <c r="B608" s="158"/>
      <c r="C608" s="74"/>
      <c r="D608" s="75"/>
      <c r="E608" s="75"/>
      <c r="F608" s="69"/>
      <c r="G608" s="69"/>
      <c r="H608" s="69"/>
      <c r="I608" s="69"/>
      <c r="J608" s="69"/>
      <c r="K608" s="69"/>
      <c r="L608" s="69"/>
      <c r="M608" s="69"/>
      <c r="N608" s="69"/>
      <c r="O608" s="146"/>
      <c r="P608" s="69"/>
      <c r="Q608" s="69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</row>
    <row r="609" spans="1:35" x14ac:dyDescent="0.2">
      <c r="A609" s="158"/>
      <c r="B609" s="158"/>
      <c r="C609" s="74"/>
      <c r="D609" s="75"/>
      <c r="E609" s="75"/>
      <c r="F609" s="69"/>
      <c r="G609" s="69"/>
      <c r="H609" s="69"/>
      <c r="I609" s="69"/>
      <c r="J609" s="69"/>
      <c r="K609" s="69"/>
      <c r="L609" s="69"/>
      <c r="M609" s="69"/>
      <c r="N609" s="69"/>
      <c r="O609" s="146"/>
      <c r="P609" s="69"/>
      <c r="Q609" s="69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</row>
    <row r="610" spans="1:35" x14ac:dyDescent="0.2">
      <c r="A610" s="158"/>
      <c r="B610" s="158"/>
      <c r="C610" s="74"/>
      <c r="D610" s="75"/>
      <c r="E610" s="75"/>
      <c r="F610" s="69"/>
      <c r="G610" s="69"/>
      <c r="H610" s="69"/>
      <c r="I610" s="69"/>
      <c r="J610" s="69"/>
      <c r="K610" s="69"/>
      <c r="L610" s="69"/>
      <c r="M610" s="69"/>
      <c r="N610" s="69"/>
      <c r="O610" s="146"/>
      <c r="P610" s="69"/>
      <c r="Q610" s="69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</row>
    <row r="611" spans="1:35" x14ac:dyDescent="0.2">
      <c r="A611" s="158"/>
      <c r="B611" s="158"/>
      <c r="C611" s="74"/>
      <c r="D611" s="75"/>
      <c r="E611" s="75"/>
      <c r="F611" s="69"/>
      <c r="G611" s="69"/>
      <c r="H611" s="69"/>
      <c r="I611" s="69"/>
      <c r="J611" s="69"/>
      <c r="K611" s="69"/>
      <c r="L611" s="69"/>
      <c r="M611" s="69"/>
      <c r="N611" s="69"/>
      <c r="O611" s="146"/>
      <c r="P611" s="69"/>
      <c r="Q611" s="69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</row>
    <row r="612" spans="1:35" x14ac:dyDescent="0.2">
      <c r="A612" s="158"/>
      <c r="B612" s="158"/>
      <c r="C612" s="74"/>
      <c r="D612" s="75"/>
      <c r="E612" s="75"/>
      <c r="F612" s="69"/>
      <c r="G612" s="69"/>
      <c r="H612" s="69"/>
      <c r="I612" s="69"/>
      <c r="J612" s="69"/>
      <c r="K612" s="69"/>
      <c r="L612" s="69"/>
      <c r="M612" s="69"/>
      <c r="N612" s="69"/>
      <c r="O612" s="146"/>
      <c r="P612" s="69"/>
      <c r="Q612" s="69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</row>
    <row r="613" spans="1:35" x14ac:dyDescent="0.2">
      <c r="A613" s="158"/>
      <c r="B613" s="158"/>
      <c r="C613" s="74"/>
      <c r="D613" s="75"/>
      <c r="E613" s="75"/>
      <c r="F613" s="69"/>
      <c r="G613" s="69"/>
      <c r="H613" s="69"/>
      <c r="I613" s="69"/>
      <c r="J613" s="69"/>
      <c r="K613" s="69"/>
      <c r="L613" s="69"/>
      <c r="M613" s="69"/>
      <c r="N613" s="69"/>
      <c r="O613" s="146"/>
      <c r="P613" s="69"/>
      <c r="Q613" s="69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</row>
    <row r="614" spans="1:35" x14ac:dyDescent="0.2">
      <c r="A614" s="158"/>
      <c r="B614" s="158"/>
      <c r="C614" s="74"/>
      <c r="D614" s="75"/>
      <c r="E614" s="75"/>
      <c r="F614" s="69"/>
      <c r="G614" s="69"/>
      <c r="H614" s="69"/>
      <c r="I614" s="69"/>
      <c r="J614" s="69"/>
      <c r="K614" s="69"/>
      <c r="L614" s="69"/>
      <c r="M614" s="69"/>
      <c r="N614" s="69"/>
      <c r="O614" s="146"/>
      <c r="P614" s="69"/>
      <c r="Q614" s="69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</row>
    <row r="615" spans="1:35" x14ac:dyDescent="0.2">
      <c r="A615" s="158"/>
      <c r="B615" s="158"/>
      <c r="C615" s="74"/>
      <c r="D615" s="75"/>
      <c r="E615" s="75"/>
      <c r="F615" s="69"/>
      <c r="G615" s="69"/>
      <c r="H615" s="69"/>
      <c r="I615" s="69"/>
      <c r="J615" s="69"/>
      <c r="K615" s="69"/>
      <c r="L615" s="69"/>
      <c r="M615" s="69"/>
      <c r="N615" s="69"/>
      <c r="O615" s="146"/>
      <c r="P615" s="69"/>
      <c r="Q615" s="69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</row>
    <row r="616" spans="1:35" x14ac:dyDescent="0.2">
      <c r="A616" s="158"/>
      <c r="B616" s="158"/>
      <c r="C616" s="74"/>
      <c r="D616" s="75"/>
      <c r="E616" s="75"/>
      <c r="F616" s="69"/>
      <c r="G616" s="69"/>
      <c r="H616" s="69"/>
      <c r="I616" s="69"/>
      <c r="J616" s="69"/>
      <c r="K616" s="69"/>
      <c r="L616" s="69"/>
      <c r="M616" s="69"/>
      <c r="N616" s="69"/>
      <c r="O616" s="146"/>
      <c r="P616" s="69"/>
      <c r="Q616" s="69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</row>
    <row r="617" spans="1:35" x14ac:dyDescent="0.2">
      <c r="A617" s="158"/>
      <c r="B617" s="158"/>
      <c r="C617" s="74"/>
      <c r="D617" s="75"/>
      <c r="E617" s="75"/>
      <c r="F617" s="69"/>
      <c r="G617" s="69"/>
      <c r="H617" s="69"/>
      <c r="I617" s="69"/>
      <c r="J617" s="69"/>
      <c r="K617" s="69"/>
      <c r="L617" s="69"/>
      <c r="M617" s="69"/>
      <c r="N617" s="69"/>
      <c r="O617" s="146"/>
      <c r="P617" s="69"/>
      <c r="Q617" s="69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</row>
    <row r="618" spans="1:35" x14ac:dyDescent="0.2">
      <c r="A618" s="158"/>
      <c r="B618" s="158"/>
      <c r="C618" s="74"/>
      <c r="D618" s="75"/>
      <c r="E618" s="75"/>
      <c r="F618" s="69"/>
      <c r="G618" s="69"/>
      <c r="H618" s="69"/>
      <c r="I618" s="69"/>
      <c r="J618" s="69"/>
      <c r="K618" s="69"/>
      <c r="L618" s="69"/>
      <c r="M618" s="69"/>
      <c r="N618" s="69"/>
      <c r="O618" s="146"/>
      <c r="P618" s="69"/>
      <c r="Q618" s="69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</row>
    <row r="619" spans="1:35" x14ac:dyDescent="0.2">
      <c r="A619" s="158"/>
      <c r="B619" s="158"/>
      <c r="C619" s="74"/>
      <c r="D619" s="75"/>
      <c r="E619" s="75"/>
      <c r="F619" s="69"/>
      <c r="G619" s="69"/>
      <c r="H619" s="69"/>
      <c r="I619" s="69"/>
      <c r="J619" s="69"/>
      <c r="K619" s="69"/>
      <c r="L619" s="69"/>
      <c r="M619" s="69"/>
      <c r="N619" s="69"/>
      <c r="O619" s="146"/>
      <c r="P619" s="69"/>
      <c r="Q619" s="69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</row>
    <row r="620" spans="1:35" x14ac:dyDescent="0.2">
      <c r="A620" s="158"/>
      <c r="B620" s="158"/>
      <c r="C620" s="74"/>
      <c r="D620" s="75"/>
      <c r="E620" s="75"/>
      <c r="F620" s="69"/>
      <c r="G620" s="69"/>
      <c r="H620" s="69"/>
      <c r="I620" s="69"/>
      <c r="J620" s="69"/>
      <c r="K620" s="69"/>
      <c r="L620" s="69"/>
      <c r="M620" s="69"/>
      <c r="N620" s="69"/>
      <c r="O620" s="146"/>
      <c r="P620" s="69"/>
      <c r="Q620" s="69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</row>
    <row r="621" spans="1:35" x14ac:dyDescent="0.2">
      <c r="A621" s="158"/>
      <c r="B621" s="158"/>
      <c r="C621" s="74"/>
      <c r="D621" s="75"/>
      <c r="E621" s="75"/>
      <c r="F621" s="69"/>
      <c r="G621" s="69"/>
      <c r="H621" s="69"/>
      <c r="I621" s="69"/>
      <c r="J621" s="69"/>
      <c r="K621" s="69"/>
      <c r="L621" s="69"/>
      <c r="M621" s="69"/>
      <c r="N621" s="69"/>
      <c r="O621" s="146"/>
      <c r="P621" s="69"/>
      <c r="Q621" s="69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</row>
    <row r="622" spans="1:35" x14ac:dyDescent="0.2">
      <c r="A622" s="158"/>
      <c r="B622" s="158"/>
      <c r="C622" s="74"/>
      <c r="D622" s="75"/>
      <c r="E622" s="75"/>
      <c r="F622" s="69"/>
      <c r="G622" s="69"/>
      <c r="H622" s="69"/>
      <c r="I622" s="69"/>
      <c r="J622" s="69"/>
      <c r="K622" s="69"/>
      <c r="L622" s="69"/>
      <c r="M622" s="69"/>
      <c r="N622" s="69"/>
      <c r="O622" s="146"/>
      <c r="P622" s="69"/>
      <c r="Q622" s="69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</row>
    <row r="623" spans="1:35" x14ac:dyDescent="0.2">
      <c r="A623" s="158"/>
      <c r="B623" s="158"/>
      <c r="C623" s="74"/>
      <c r="D623" s="75"/>
      <c r="E623" s="75"/>
      <c r="F623" s="69"/>
      <c r="G623" s="69"/>
      <c r="H623" s="69"/>
      <c r="I623" s="69"/>
      <c r="J623" s="69"/>
      <c r="K623" s="69"/>
      <c r="L623" s="69"/>
      <c r="M623" s="69"/>
      <c r="N623" s="69"/>
      <c r="O623" s="146"/>
      <c r="P623" s="69"/>
      <c r="Q623" s="69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</row>
    <row r="624" spans="1:35" x14ac:dyDescent="0.2">
      <c r="A624" s="158"/>
      <c r="B624" s="158"/>
      <c r="C624" s="74"/>
      <c r="D624" s="75"/>
      <c r="E624" s="75"/>
      <c r="F624" s="69"/>
      <c r="G624" s="69"/>
      <c r="H624" s="69"/>
      <c r="I624" s="69"/>
      <c r="J624" s="69"/>
      <c r="K624" s="69"/>
      <c r="L624" s="69"/>
      <c r="M624" s="69"/>
      <c r="N624" s="69"/>
      <c r="O624" s="146"/>
      <c r="P624" s="69"/>
      <c r="Q624" s="69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</row>
    <row r="625" spans="1:35" x14ac:dyDescent="0.2">
      <c r="A625" s="158"/>
      <c r="B625" s="158"/>
      <c r="C625" s="74"/>
      <c r="D625" s="75"/>
      <c r="E625" s="75"/>
      <c r="F625" s="69"/>
      <c r="G625" s="69"/>
      <c r="H625" s="69"/>
      <c r="I625" s="69"/>
      <c r="J625" s="69"/>
      <c r="K625" s="69"/>
      <c r="L625" s="69"/>
      <c r="M625" s="69"/>
      <c r="N625" s="69"/>
      <c r="O625" s="146"/>
      <c r="P625" s="69"/>
      <c r="Q625" s="69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</row>
    <row r="626" spans="1:35" x14ac:dyDescent="0.2">
      <c r="A626" s="158"/>
      <c r="B626" s="158"/>
      <c r="C626" s="74"/>
      <c r="D626" s="75"/>
      <c r="E626" s="75"/>
      <c r="F626" s="69"/>
      <c r="G626" s="69"/>
      <c r="H626" s="69"/>
      <c r="I626" s="69"/>
      <c r="J626" s="69"/>
      <c r="K626" s="69"/>
      <c r="L626" s="69"/>
      <c r="M626" s="69"/>
      <c r="N626" s="69"/>
      <c r="O626" s="146"/>
      <c r="P626" s="69"/>
      <c r="Q626" s="69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</row>
    <row r="627" spans="1:35" x14ac:dyDescent="0.2">
      <c r="A627" s="158"/>
      <c r="B627" s="158"/>
      <c r="C627" s="74"/>
      <c r="D627" s="75"/>
      <c r="E627" s="75"/>
      <c r="F627" s="69"/>
      <c r="G627" s="69"/>
      <c r="H627" s="69"/>
      <c r="I627" s="69"/>
      <c r="J627" s="69"/>
      <c r="K627" s="69"/>
      <c r="L627" s="69"/>
      <c r="M627" s="69"/>
      <c r="N627" s="69"/>
      <c r="O627" s="146"/>
      <c r="P627" s="69"/>
      <c r="Q627" s="69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</row>
    <row r="628" spans="1:35" x14ac:dyDescent="0.2">
      <c r="A628" s="158"/>
      <c r="B628" s="158"/>
      <c r="C628" s="74"/>
      <c r="D628" s="75"/>
      <c r="E628" s="75"/>
      <c r="F628" s="69"/>
      <c r="G628" s="69"/>
      <c r="H628" s="69"/>
      <c r="I628" s="69"/>
      <c r="J628" s="69"/>
      <c r="K628" s="69"/>
      <c r="L628" s="69"/>
      <c r="M628" s="69"/>
      <c r="N628" s="69"/>
      <c r="O628" s="146"/>
      <c r="P628" s="69"/>
      <c r="Q628" s="69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</row>
    <row r="629" spans="1:35" x14ac:dyDescent="0.2">
      <c r="A629" s="45"/>
      <c r="B629" s="45"/>
      <c r="C629" s="74"/>
      <c r="D629" s="75"/>
      <c r="E629" s="75"/>
      <c r="F629" s="69"/>
      <c r="G629" s="69"/>
      <c r="H629" s="69"/>
      <c r="I629" s="69"/>
      <c r="J629" s="69"/>
      <c r="K629" s="69"/>
      <c r="L629" s="69"/>
      <c r="M629" s="69"/>
      <c r="N629" s="69"/>
      <c r="O629" s="146"/>
      <c r="P629" s="69"/>
      <c r="Q629" s="69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</row>
    <row r="630" spans="1:35" x14ac:dyDescent="0.2">
      <c r="A630" s="45"/>
      <c r="B630" s="45"/>
      <c r="C630" s="74"/>
      <c r="D630" s="75"/>
      <c r="E630" s="75"/>
      <c r="F630" s="69"/>
      <c r="G630" s="69"/>
      <c r="H630" s="69"/>
      <c r="I630" s="69"/>
      <c r="J630" s="69"/>
      <c r="K630" s="69"/>
      <c r="L630" s="69"/>
      <c r="M630" s="69"/>
      <c r="N630" s="69"/>
      <c r="O630" s="146"/>
      <c r="P630" s="69"/>
      <c r="Q630" s="69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</row>
    <row r="631" spans="1:35" x14ac:dyDescent="0.2">
      <c r="A631" s="45"/>
      <c r="B631" s="45"/>
      <c r="C631" s="74"/>
      <c r="D631" s="75"/>
      <c r="E631" s="75"/>
      <c r="F631" s="69"/>
      <c r="G631" s="69"/>
      <c r="H631" s="69"/>
      <c r="I631" s="69"/>
      <c r="J631" s="69"/>
      <c r="K631" s="69"/>
      <c r="L631" s="69"/>
      <c r="M631" s="69"/>
      <c r="N631" s="69"/>
      <c r="O631" s="146"/>
      <c r="P631" s="69"/>
      <c r="Q631" s="69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</row>
    <row r="632" spans="1:35" x14ac:dyDescent="0.2">
      <c r="A632" s="45"/>
      <c r="B632" s="45"/>
      <c r="C632" s="74"/>
      <c r="D632" s="75"/>
      <c r="E632" s="75"/>
      <c r="F632" s="69"/>
      <c r="G632" s="69"/>
      <c r="H632" s="69"/>
      <c r="I632" s="69"/>
      <c r="J632" s="69"/>
      <c r="K632" s="69"/>
      <c r="L632" s="69"/>
      <c r="M632" s="69"/>
      <c r="N632" s="69"/>
      <c r="O632" s="146"/>
      <c r="P632" s="69"/>
      <c r="Q632" s="69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</row>
    <row r="633" spans="1:35" x14ac:dyDescent="0.2">
      <c r="A633" s="45"/>
      <c r="B633" s="45"/>
      <c r="C633" s="74"/>
      <c r="D633" s="75"/>
      <c r="E633" s="75"/>
      <c r="F633" s="69"/>
      <c r="G633" s="69"/>
      <c r="H633" s="69"/>
      <c r="I633" s="69"/>
      <c r="J633" s="69"/>
      <c r="K633" s="69"/>
      <c r="L633" s="69"/>
      <c r="M633" s="69"/>
      <c r="N633" s="69"/>
      <c r="O633" s="146"/>
      <c r="P633" s="69"/>
      <c r="Q633" s="69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</row>
    <row r="634" spans="1:35" x14ac:dyDescent="0.2">
      <c r="A634" s="45"/>
      <c r="B634" s="45"/>
      <c r="C634" s="74"/>
      <c r="D634" s="75"/>
      <c r="E634" s="75"/>
      <c r="F634" s="69"/>
      <c r="G634" s="69"/>
      <c r="H634" s="69"/>
      <c r="I634" s="69"/>
      <c r="J634" s="69"/>
      <c r="K634" s="69"/>
      <c r="L634" s="69"/>
      <c r="M634" s="69"/>
      <c r="N634" s="69"/>
      <c r="O634" s="146"/>
      <c r="P634" s="69"/>
      <c r="Q634" s="69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</row>
    <row r="635" spans="1:35" x14ac:dyDescent="0.2">
      <c r="A635" s="45"/>
      <c r="B635" s="45"/>
      <c r="C635" s="74"/>
      <c r="D635" s="75"/>
      <c r="E635" s="75"/>
      <c r="F635" s="69"/>
      <c r="G635" s="69"/>
      <c r="H635" s="69"/>
      <c r="I635" s="69"/>
      <c r="J635" s="69"/>
      <c r="K635" s="69"/>
      <c r="L635" s="69"/>
      <c r="M635" s="69"/>
      <c r="N635" s="69"/>
      <c r="O635" s="146"/>
      <c r="P635" s="69"/>
      <c r="Q635" s="69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</row>
    <row r="636" spans="1:35" x14ac:dyDescent="0.2">
      <c r="A636" s="45"/>
      <c r="B636" s="45"/>
      <c r="C636" s="74"/>
      <c r="D636" s="75"/>
      <c r="E636" s="75"/>
      <c r="F636" s="69"/>
      <c r="G636" s="69"/>
      <c r="H636" s="69"/>
      <c r="I636" s="69"/>
      <c r="J636" s="69"/>
      <c r="K636" s="69"/>
      <c r="L636" s="69"/>
      <c r="M636" s="69"/>
      <c r="N636" s="69"/>
      <c r="O636" s="146"/>
      <c r="P636" s="69"/>
      <c r="Q636" s="69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</row>
    <row r="637" spans="1:35" x14ac:dyDescent="0.2">
      <c r="A637" s="45"/>
      <c r="B637" s="45"/>
      <c r="C637" s="74"/>
      <c r="D637" s="75"/>
      <c r="E637" s="75"/>
      <c r="F637" s="69"/>
      <c r="G637" s="69"/>
      <c r="H637" s="69"/>
      <c r="I637" s="69"/>
      <c r="J637" s="69"/>
      <c r="K637" s="69"/>
      <c r="L637" s="69"/>
      <c r="M637" s="69"/>
      <c r="N637" s="69"/>
      <c r="O637" s="146"/>
      <c r="P637" s="69"/>
      <c r="Q637" s="69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</row>
    <row r="638" spans="1:35" x14ac:dyDescent="0.2">
      <c r="A638" s="45"/>
      <c r="B638" s="45"/>
      <c r="C638" s="74"/>
      <c r="D638" s="75"/>
      <c r="E638" s="75"/>
      <c r="F638" s="69"/>
      <c r="G638" s="69"/>
      <c r="H638" s="69"/>
      <c r="I638" s="69"/>
      <c r="J638" s="69"/>
      <c r="K638" s="69"/>
      <c r="L638" s="69"/>
      <c r="M638" s="69"/>
      <c r="N638" s="69"/>
      <c r="O638" s="146"/>
      <c r="P638" s="69"/>
      <c r="Q638" s="69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</row>
    <row r="639" spans="1:35" x14ac:dyDescent="0.2">
      <c r="A639" s="45"/>
      <c r="B639" s="45"/>
      <c r="C639" s="74"/>
      <c r="D639" s="75"/>
      <c r="E639" s="75"/>
      <c r="F639" s="69"/>
      <c r="G639" s="69"/>
      <c r="H639" s="69"/>
      <c r="I639" s="69"/>
      <c r="J639" s="69"/>
      <c r="K639" s="69"/>
      <c r="L639" s="69"/>
      <c r="M639" s="69"/>
      <c r="N639" s="69"/>
      <c r="O639" s="146"/>
      <c r="P639" s="69"/>
      <c r="Q639" s="69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</row>
    <row r="640" spans="1:35" x14ac:dyDescent="0.2">
      <c r="A640" s="45"/>
      <c r="B640" s="45"/>
      <c r="C640" s="74"/>
      <c r="D640" s="75"/>
      <c r="E640" s="75"/>
      <c r="F640" s="69"/>
      <c r="G640" s="69"/>
      <c r="H640" s="69"/>
      <c r="I640" s="69"/>
      <c r="J640" s="69"/>
      <c r="K640" s="69"/>
      <c r="L640" s="69"/>
      <c r="M640" s="69"/>
      <c r="N640" s="69"/>
      <c r="O640" s="146"/>
      <c r="P640" s="69"/>
      <c r="Q640" s="69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</row>
    <row r="641" spans="1:35" x14ac:dyDescent="0.2">
      <c r="A641" s="45"/>
      <c r="B641" s="45"/>
      <c r="C641" s="74"/>
      <c r="D641" s="75"/>
      <c r="E641" s="75"/>
      <c r="F641" s="69"/>
      <c r="G641" s="69"/>
      <c r="H641" s="69"/>
      <c r="I641" s="69"/>
      <c r="J641" s="69"/>
      <c r="K641" s="69"/>
      <c r="L641" s="69"/>
      <c r="M641" s="69"/>
      <c r="N641" s="69"/>
      <c r="O641" s="146"/>
      <c r="P641" s="69"/>
      <c r="Q641" s="69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</row>
    <row r="642" spans="1:35" x14ac:dyDescent="0.2">
      <c r="A642" s="45"/>
      <c r="B642" s="45"/>
      <c r="C642" s="74"/>
      <c r="D642" s="75"/>
      <c r="E642" s="75"/>
      <c r="F642" s="69"/>
      <c r="G642" s="69"/>
      <c r="H642" s="69"/>
      <c r="I642" s="69"/>
      <c r="J642" s="69"/>
      <c r="K642" s="69"/>
      <c r="L642" s="69"/>
      <c r="M642" s="69"/>
      <c r="N642" s="69"/>
      <c r="O642" s="146"/>
      <c r="P642" s="69"/>
      <c r="Q642" s="69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</row>
    <row r="643" spans="1:35" x14ac:dyDescent="0.2">
      <c r="A643" s="45"/>
      <c r="B643" s="45"/>
      <c r="C643" s="74"/>
      <c r="D643" s="75"/>
      <c r="E643" s="75"/>
      <c r="F643" s="69"/>
      <c r="G643" s="69"/>
      <c r="H643" s="69"/>
      <c r="I643" s="69"/>
      <c r="J643" s="69"/>
      <c r="K643" s="69"/>
      <c r="L643" s="69"/>
      <c r="M643" s="69"/>
      <c r="N643" s="69"/>
      <c r="O643" s="146"/>
      <c r="P643" s="69"/>
      <c r="Q643" s="69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</row>
    <row r="644" spans="1:35" x14ac:dyDescent="0.2">
      <c r="A644" s="45"/>
      <c r="B644" s="45"/>
      <c r="C644" s="74"/>
      <c r="D644" s="75"/>
      <c r="E644" s="75"/>
      <c r="F644" s="69"/>
      <c r="G644" s="69"/>
      <c r="H644" s="69"/>
      <c r="I644" s="69"/>
      <c r="J644" s="69"/>
      <c r="K644" s="69"/>
      <c r="L644" s="69"/>
      <c r="M644" s="69"/>
      <c r="N644" s="69"/>
      <c r="O644" s="146"/>
      <c r="P644" s="69"/>
      <c r="Q644" s="69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</row>
    <row r="645" spans="1:35" x14ac:dyDescent="0.2">
      <c r="A645" s="45"/>
      <c r="B645" s="45"/>
      <c r="C645" s="74"/>
      <c r="D645" s="75"/>
      <c r="E645" s="75"/>
      <c r="F645" s="69"/>
      <c r="G645" s="69"/>
      <c r="H645" s="69"/>
      <c r="I645" s="69"/>
      <c r="J645" s="69"/>
      <c r="K645" s="69"/>
      <c r="L645" s="69"/>
      <c r="M645" s="69"/>
      <c r="N645" s="69"/>
      <c r="O645" s="146"/>
      <c r="P645" s="69"/>
      <c r="Q645" s="69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</row>
    <row r="646" spans="1:35" x14ac:dyDescent="0.2">
      <c r="A646" s="45"/>
      <c r="B646" s="45"/>
      <c r="C646" s="74"/>
      <c r="D646" s="75"/>
      <c r="E646" s="75"/>
      <c r="F646" s="69"/>
      <c r="G646" s="69"/>
      <c r="H646" s="69"/>
      <c r="I646" s="69"/>
      <c r="J646" s="69"/>
      <c r="K646" s="69"/>
      <c r="L646" s="69"/>
      <c r="M646" s="69"/>
      <c r="N646" s="69"/>
      <c r="O646" s="146"/>
      <c r="P646" s="69"/>
      <c r="Q646" s="69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</row>
    <row r="647" spans="1:35" x14ac:dyDescent="0.2">
      <c r="A647" s="45"/>
      <c r="B647" s="45"/>
      <c r="C647" s="74"/>
      <c r="D647" s="75"/>
      <c r="E647" s="75"/>
      <c r="F647" s="69"/>
      <c r="G647" s="69"/>
      <c r="H647" s="69"/>
      <c r="I647" s="69"/>
      <c r="J647" s="69"/>
      <c r="K647" s="69"/>
      <c r="L647" s="69"/>
      <c r="M647" s="69"/>
      <c r="N647" s="69"/>
      <c r="O647" s="146"/>
      <c r="P647" s="69"/>
      <c r="Q647" s="69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</row>
    <row r="648" spans="1:35" x14ac:dyDescent="0.2">
      <c r="A648" s="45"/>
      <c r="B648" s="45"/>
      <c r="C648" s="74"/>
      <c r="D648" s="75"/>
      <c r="E648" s="75"/>
      <c r="F648" s="69"/>
      <c r="G648" s="69"/>
      <c r="H648" s="69"/>
      <c r="I648" s="69"/>
      <c r="J648" s="69"/>
      <c r="K648" s="69"/>
      <c r="L648" s="69"/>
      <c r="M648" s="69"/>
      <c r="N648" s="69"/>
      <c r="O648" s="146"/>
      <c r="P648" s="69"/>
      <c r="Q648" s="69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</row>
    <row r="649" spans="1:35" x14ac:dyDescent="0.2">
      <c r="A649" s="45"/>
      <c r="B649" s="45"/>
      <c r="C649" s="74"/>
      <c r="D649" s="75"/>
      <c r="E649" s="75"/>
      <c r="F649" s="69"/>
      <c r="G649" s="69"/>
      <c r="H649" s="69"/>
      <c r="I649" s="69"/>
      <c r="J649" s="69"/>
      <c r="K649" s="69"/>
      <c r="L649" s="69"/>
      <c r="M649" s="69"/>
      <c r="N649" s="69"/>
      <c r="O649" s="146"/>
      <c r="P649" s="69"/>
      <c r="Q649" s="69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</row>
    <row r="650" spans="1:35" x14ac:dyDescent="0.2">
      <c r="A650" s="45"/>
      <c r="B650" s="45"/>
      <c r="C650" s="74"/>
      <c r="D650" s="75"/>
      <c r="E650" s="75"/>
      <c r="F650" s="69"/>
      <c r="G650" s="69"/>
      <c r="H650" s="69"/>
      <c r="I650" s="69"/>
      <c r="J650" s="69"/>
      <c r="K650" s="69"/>
      <c r="L650" s="69"/>
      <c r="M650" s="69"/>
      <c r="N650" s="69"/>
      <c r="O650" s="146"/>
      <c r="P650" s="69"/>
      <c r="Q650" s="69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</row>
    <row r="651" spans="1:35" x14ac:dyDescent="0.2">
      <c r="A651" s="45"/>
      <c r="B651" s="45"/>
      <c r="C651" s="74"/>
      <c r="D651" s="75"/>
      <c r="E651" s="75"/>
      <c r="F651" s="69"/>
      <c r="G651" s="69"/>
      <c r="H651" s="69"/>
      <c r="I651" s="69"/>
      <c r="J651" s="69"/>
      <c r="K651" s="69"/>
      <c r="L651" s="69"/>
      <c r="M651" s="69"/>
      <c r="N651" s="69"/>
      <c r="O651" s="146"/>
      <c r="P651" s="69"/>
      <c r="Q651" s="69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</row>
    <row r="652" spans="1:35" x14ac:dyDescent="0.2">
      <c r="A652" s="45"/>
      <c r="B652" s="45"/>
      <c r="C652" s="74"/>
      <c r="D652" s="75"/>
      <c r="E652" s="75"/>
      <c r="F652" s="69"/>
      <c r="G652" s="69"/>
      <c r="H652" s="69"/>
      <c r="I652" s="69"/>
      <c r="J652" s="69"/>
      <c r="K652" s="69"/>
      <c r="L652" s="69"/>
      <c r="M652" s="69"/>
      <c r="N652" s="69"/>
      <c r="O652" s="146"/>
      <c r="P652" s="69"/>
      <c r="Q652" s="69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</row>
    <row r="653" spans="1:35" x14ac:dyDescent="0.2">
      <c r="A653" s="45"/>
      <c r="B653" s="45"/>
      <c r="C653" s="74"/>
      <c r="D653" s="75"/>
      <c r="E653" s="75"/>
      <c r="F653" s="69"/>
      <c r="G653" s="69"/>
      <c r="H653" s="69"/>
      <c r="I653" s="69"/>
      <c r="J653" s="69"/>
      <c r="K653" s="69"/>
      <c r="L653" s="69"/>
      <c r="M653" s="69"/>
      <c r="N653" s="69"/>
      <c r="O653" s="146"/>
      <c r="P653" s="69"/>
      <c r="Q653" s="69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</row>
    <row r="654" spans="1:35" x14ac:dyDescent="0.2">
      <c r="A654" s="45"/>
      <c r="B654" s="45"/>
      <c r="C654" s="74"/>
      <c r="D654" s="75"/>
      <c r="E654" s="75"/>
      <c r="F654" s="69"/>
      <c r="G654" s="69"/>
      <c r="H654" s="69"/>
      <c r="I654" s="69"/>
      <c r="J654" s="69"/>
      <c r="K654" s="69"/>
      <c r="L654" s="69"/>
      <c r="M654" s="69"/>
      <c r="N654" s="69"/>
      <c r="O654" s="146"/>
      <c r="P654" s="69"/>
      <c r="Q654" s="69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</row>
    <row r="655" spans="1:35" x14ac:dyDescent="0.2">
      <c r="A655" s="45"/>
      <c r="B655" s="45"/>
      <c r="C655" s="74"/>
      <c r="D655" s="75"/>
      <c r="E655" s="75"/>
      <c r="F655" s="69"/>
      <c r="G655" s="69"/>
      <c r="H655" s="69"/>
      <c r="I655" s="69"/>
      <c r="J655" s="69"/>
      <c r="K655" s="69"/>
      <c r="L655" s="69"/>
      <c r="M655" s="69"/>
      <c r="N655" s="69"/>
      <c r="O655" s="146"/>
      <c r="P655" s="69"/>
      <c r="Q655" s="69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</row>
    <row r="656" spans="1:35" x14ac:dyDescent="0.2">
      <c r="A656" s="45"/>
      <c r="B656" s="45"/>
      <c r="C656" s="74"/>
      <c r="D656" s="75"/>
      <c r="E656" s="75"/>
      <c r="F656" s="69"/>
      <c r="G656" s="69"/>
      <c r="H656" s="69"/>
      <c r="I656" s="69"/>
      <c r="J656" s="69"/>
      <c r="K656" s="69"/>
      <c r="L656" s="69"/>
      <c r="M656" s="69"/>
      <c r="N656" s="69"/>
      <c r="O656" s="146"/>
      <c r="P656" s="69"/>
      <c r="Q656" s="69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</row>
    <row r="657" spans="1:35" x14ac:dyDescent="0.2">
      <c r="A657" s="45"/>
      <c r="B657" s="45"/>
      <c r="C657" s="74"/>
      <c r="D657" s="75"/>
      <c r="E657" s="75"/>
      <c r="F657" s="69"/>
      <c r="G657" s="69"/>
      <c r="H657" s="69"/>
      <c r="I657" s="69"/>
      <c r="J657" s="69"/>
      <c r="K657" s="69"/>
      <c r="L657" s="69"/>
      <c r="M657" s="69"/>
      <c r="N657" s="69"/>
      <c r="O657" s="146"/>
      <c r="P657" s="69"/>
      <c r="Q657" s="69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</row>
    <row r="658" spans="1:35" x14ac:dyDescent="0.2">
      <c r="A658" s="45"/>
      <c r="B658" s="45"/>
      <c r="C658" s="74"/>
      <c r="D658" s="75"/>
      <c r="E658" s="75"/>
      <c r="F658" s="69"/>
      <c r="G658" s="69"/>
      <c r="H658" s="69"/>
      <c r="I658" s="69"/>
      <c r="J658" s="69"/>
      <c r="K658" s="69"/>
      <c r="L658" s="69"/>
      <c r="M658" s="69"/>
      <c r="N658" s="69"/>
      <c r="O658" s="146"/>
      <c r="P658" s="69"/>
      <c r="Q658" s="69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</row>
    <row r="659" spans="1:35" x14ac:dyDescent="0.2">
      <c r="A659" s="45"/>
      <c r="B659" s="45"/>
      <c r="C659" s="74"/>
      <c r="D659" s="75"/>
      <c r="E659" s="75"/>
      <c r="F659" s="69"/>
      <c r="G659" s="69"/>
      <c r="H659" s="69"/>
      <c r="I659" s="69"/>
      <c r="J659" s="69"/>
      <c r="K659" s="69"/>
      <c r="L659" s="69"/>
      <c r="M659" s="69"/>
      <c r="N659" s="69"/>
      <c r="O659" s="146"/>
      <c r="P659" s="69"/>
      <c r="Q659" s="69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</row>
    <row r="660" spans="1:35" x14ac:dyDescent="0.2">
      <c r="A660" s="45"/>
      <c r="B660" s="45"/>
      <c r="C660" s="74"/>
      <c r="D660" s="75"/>
      <c r="E660" s="75"/>
      <c r="F660" s="69"/>
      <c r="G660" s="69"/>
      <c r="H660" s="69"/>
      <c r="I660" s="69"/>
      <c r="J660" s="69"/>
      <c r="K660" s="69"/>
      <c r="L660" s="69"/>
      <c r="M660" s="69"/>
      <c r="N660" s="69"/>
      <c r="O660" s="146"/>
      <c r="P660" s="69"/>
      <c r="Q660" s="69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</row>
    <row r="661" spans="1:35" x14ac:dyDescent="0.2">
      <c r="A661" s="45"/>
      <c r="B661" s="45"/>
      <c r="C661" s="74"/>
      <c r="D661" s="75"/>
      <c r="E661" s="75"/>
      <c r="F661" s="69"/>
      <c r="G661" s="69"/>
      <c r="H661" s="69"/>
      <c r="I661" s="69"/>
      <c r="J661" s="69"/>
      <c r="K661" s="69"/>
      <c r="L661" s="69"/>
      <c r="M661" s="69"/>
      <c r="N661" s="69"/>
      <c r="O661" s="146"/>
      <c r="P661" s="69"/>
      <c r="Q661" s="69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</row>
    <row r="662" spans="1:35" x14ac:dyDescent="0.2">
      <c r="A662" s="45"/>
      <c r="B662" s="45"/>
      <c r="C662" s="74"/>
      <c r="D662" s="75"/>
      <c r="E662" s="75"/>
      <c r="F662" s="69"/>
      <c r="G662" s="69"/>
      <c r="H662" s="69"/>
      <c r="I662" s="69"/>
      <c r="J662" s="69"/>
      <c r="K662" s="69"/>
      <c r="L662" s="69"/>
      <c r="M662" s="69"/>
      <c r="N662" s="69"/>
      <c r="O662" s="146"/>
      <c r="P662" s="69"/>
      <c r="Q662" s="69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</row>
    <row r="663" spans="1:35" x14ac:dyDescent="0.2">
      <c r="A663" s="45"/>
      <c r="B663" s="45"/>
      <c r="C663" s="74"/>
      <c r="D663" s="75"/>
      <c r="E663" s="75"/>
      <c r="F663" s="69"/>
      <c r="G663" s="69"/>
      <c r="H663" s="69"/>
      <c r="I663" s="69"/>
      <c r="J663" s="69"/>
      <c r="K663" s="69"/>
      <c r="L663" s="69"/>
      <c r="M663" s="69"/>
      <c r="N663" s="69"/>
      <c r="O663" s="146"/>
      <c r="P663" s="69"/>
      <c r="Q663" s="69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</row>
    <row r="664" spans="1:35" x14ac:dyDescent="0.2">
      <c r="A664" s="45"/>
      <c r="B664" s="45"/>
      <c r="C664" s="74"/>
      <c r="D664" s="75"/>
      <c r="E664" s="75"/>
      <c r="F664" s="69"/>
      <c r="G664" s="69"/>
      <c r="H664" s="69"/>
      <c r="I664" s="69"/>
      <c r="J664" s="69"/>
      <c r="K664" s="69"/>
      <c r="L664" s="69"/>
      <c r="M664" s="69"/>
      <c r="N664" s="69"/>
      <c r="O664" s="146"/>
      <c r="P664" s="69"/>
      <c r="Q664" s="69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</row>
    <row r="665" spans="1:35" x14ac:dyDescent="0.2">
      <c r="A665" s="45"/>
      <c r="B665" s="45"/>
      <c r="C665" s="74"/>
      <c r="D665" s="75"/>
      <c r="E665" s="75"/>
      <c r="F665" s="69"/>
      <c r="G665" s="69"/>
      <c r="H665" s="69"/>
      <c r="I665" s="69"/>
      <c r="J665" s="69"/>
      <c r="K665" s="69"/>
      <c r="L665" s="69"/>
      <c r="M665" s="69"/>
      <c r="N665" s="69"/>
      <c r="O665" s="146"/>
      <c r="P665" s="69"/>
      <c r="Q665" s="69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</row>
    <row r="666" spans="1:35" x14ac:dyDescent="0.2">
      <c r="A666" s="45"/>
      <c r="B666" s="45"/>
      <c r="C666" s="74"/>
      <c r="D666" s="75"/>
      <c r="E666" s="75"/>
      <c r="F666" s="69"/>
      <c r="G666" s="69"/>
      <c r="H666" s="69"/>
      <c r="I666" s="69"/>
      <c r="J666" s="69"/>
      <c r="K666" s="69"/>
      <c r="L666" s="69"/>
      <c r="M666" s="69"/>
      <c r="N666" s="69"/>
      <c r="O666" s="146"/>
      <c r="P666" s="69"/>
      <c r="Q666" s="69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</row>
    <row r="667" spans="1:35" x14ac:dyDescent="0.2">
      <c r="A667" s="45"/>
      <c r="B667" s="45"/>
      <c r="C667" s="74"/>
      <c r="D667" s="75"/>
      <c r="E667" s="75"/>
      <c r="F667" s="69"/>
      <c r="G667" s="69"/>
      <c r="H667" s="69"/>
      <c r="I667" s="69"/>
      <c r="J667" s="69"/>
      <c r="K667" s="69"/>
      <c r="L667" s="69"/>
      <c r="M667" s="69"/>
      <c r="N667" s="69"/>
      <c r="O667" s="146"/>
      <c r="P667" s="69"/>
      <c r="Q667" s="69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</row>
    <row r="668" spans="1:35" x14ac:dyDescent="0.2">
      <c r="A668" s="45"/>
      <c r="B668" s="45"/>
      <c r="C668" s="74"/>
      <c r="D668" s="75"/>
      <c r="E668" s="75"/>
      <c r="F668" s="69"/>
      <c r="G668" s="69"/>
      <c r="H668" s="69"/>
      <c r="I668" s="69"/>
      <c r="J668" s="69"/>
      <c r="K668" s="69"/>
      <c r="L668" s="69"/>
      <c r="M668" s="69"/>
      <c r="N668" s="69"/>
      <c r="O668" s="146"/>
      <c r="P668" s="69"/>
      <c r="Q668" s="69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</row>
    <row r="669" spans="1:35" x14ac:dyDescent="0.2">
      <c r="A669" s="45"/>
      <c r="B669" s="45"/>
      <c r="C669" s="74"/>
      <c r="D669" s="75"/>
      <c r="E669" s="75"/>
      <c r="F669" s="69"/>
      <c r="G669" s="69"/>
      <c r="H669" s="69"/>
      <c r="I669" s="69"/>
      <c r="J669" s="69"/>
      <c r="K669" s="69"/>
      <c r="L669" s="69"/>
      <c r="M669" s="69"/>
      <c r="N669" s="69"/>
      <c r="O669" s="146"/>
      <c r="P669" s="69"/>
      <c r="Q669" s="69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</row>
    <row r="670" spans="1:35" x14ac:dyDescent="0.2">
      <c r="A670" s="45"/>
      <c r="B670" s="45"/>
      <c r="C670" s="74"/>
      <c r="D670" s="75"/>
      <c r="E670" s="75"/>
      <c r="F670" s="69"/>
      <c r="G670" s="69"/>
      <c r="H670" s="69"/>
      <c r="I670" s="69"/>
      <c r="J670" s="69"/>
      <c r="K670" s="69"/>
      <c r="L670" s="69"/>
      <c r="M670" s="69"/>
      <c r="N670" s="69"/>
      <c r="O670" s="146"/>
      <c r="P670" s="69"/>
      <c r="Q670" s="69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</row>
    <row r="671" spans="1:35" x14ac:dyDescent="0.2">
      <c r="A671" s="45"/>
      <c r="B671" s="45"/>
      <c r="C671" s="74"/>
      <c r="D671" s="75"/>
      <c r="E671" s="75"/>
      <c r="F671" s="69"/>
      <c r="G671" s="69"/>
      <c r="H671" s="69"/>
      <c r="I671" s="69"/>
      <c r="J671" s="69"/>
      <c r="K671" s="69"/>
      <c r="L671" s="69"/>
      <c r="M671" s="69"/>
      <c r="N671" s="69"/>
      <c r="O671" s="146"/>
      <c r="P671" s="69"/>
      <c r="Q671" s="69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</row>
    <row r="672" spans="1:35" x14ac:dyDescent="0.2">
      <c r="A672" s="45"/>
      <c r="B672" s="45"/>
      <c r="C672" s="74"/>
      <c r="D672" s="75"/>
      <c r="E672" s="75"/>
      <c r="F672" s="69"/>
      <c r="G672" s="69"/>
      <c r="H672" s="69"/>
      <c r="I672" s="69"/>
      <c r="J672" s="69"/>
      <c r="K672" s="69"/>
      <c r="L672" s="69"/>
      <c r="M672" s="69"/>
      <c r="N672" s="69"/>
      <c r="O672" s="146"/>
      <c r="P672" s="69"/>
      <c r="Q672" s="69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</row>
    <row r="673" spans="1:35" x14ac:dyDescent="0.2">
      <c r="A673" s="45"/>
      <c r="B673" s="45"/>
      <c r="C673" s="74"/>
      <c r="D673" s="75"/>
      <c r="E673" s="75"/>
      <c r="F673" s="69"/>
      <c r="G673" s="69"/>
      <c r="H673" s="69"/>
      <c r="I673" s="69"/>
      <c r="J673" s="69"/>
      <c r="K673" s="69"/>
      <c r="L673" s="69"/>
      <c r="M673" s="69"/>
      <c r="N673" s="69"/>
      <c r="O673" s="146"/>
      <c r="P673" s="69"/>
      <c r="Q673" s="69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</row>
    <row r="674" spans="1:35" x14ac:dyDescent="0.2">
      <c r="A674" s="45"/>
      <c r="B674" s="45"/>
      <c r="C674" s="74"/>
      <c r="D674" s="75"/>
      <c r="E674" s="75"/>
      <c r="F674" s="69"/>
      <c r="G674" s="69"/>
      <c r="H674" s="69"/>
      <c r="I674" s="69"/>
      <c r="J674" s="69"/>
      <c r="K674" s="69"/>
      <c r="L674" s="69"/>
      <c r="M674" s="69"/>
      <c r="N674" s="69"/>
      <c r="O674" s="146"/>
      <c r="P674" s="69"/>
      <c r="Q674" s="69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</row>
    <row r="675" spans="1:35" x14ac:dyDescent="0.2">
      <c r="A675" s="45"/>
      <c r="B675" s="45"/>
      <c r="C675" s="74"/>
      <c r="D675" s="75"/>
      <c r="E675" s="75"/>
      <c r="F675" s="69"/>
      <c r="G675" s="69"/>
      <c r="H675" s="69"/>
      <c r="I675" s="69"/>
      <c r="J675" s="69"/>
      <c r="K675" s="69"/>
      <c r="L675" s="69"/>
      <c r="M675" s="69"/>
      <c r="N675" s="69"/>
      <c r="O675" s="146"/>
      <c r="P675" s="69"/>
      <c r="Q675" s="69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</row>
    <row r="676" spans="1:35" x14ac:dyDescent="0.2">
      <c r="A676" s="45"/>
      <c r="B676" s="45"/>
      <c r="C676" s="74"/>
      <c r="D676" s="75"/>
      <c r="E676" s="75"/>
      <c r="F676" s="69"/>
      <c r="G676" s="69"/>
      <c r="H676" s="69"/>
      <c r="I676" s="69"/>
      <c r="J676" s="69"/>
      <c r="K676" s="69"/>
      <c r="L676" s="69"/>
      <c r="M676" s="69"/>
      <c r="N676" s="69"/>
      <c r="O676" s="146"/>
      <c r="P676" s="69"/>
      <c r="Q676" s="69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</row>
    <row r="677" spans="1:35" x14ac:dyDescent="0.2">
      <c r="A677" s="45"/>
      <c r="B677" s="45"/>
      <c r="C677" s="74"/>
      <c r="D677" s="75"/>
      <c r="E677" s="75"/>
      <c r="F677" s="69"/>
      <c r="G677" s="69"/>
      <c r="H677" s="69"/>
      <c r="I677" s="69"/>
      <c r="J677" s="69"/>
      <c r="K677" s="69"/>
      <c r="L677" s="69"/>
      <c r="M677" s="69"/>
      <c r="N677" s="69"/>
      <c r="O677" s="146"/>
      <c r="P677" s="69"/>
      <c r="Q677" s="69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</row>
    <row r="678" spans="1:35" x14ac:dyDescent="0.2">
      <c r="A678" s="45"/>
      <c r="B678" s="45"/>
      <c r="C678" s="74"/>
      <c r="D678" s="75"/>
      <c r="E678" s="75"/>
      <c r="F678" s="69"/>
      <c r="G678" s="69"/>
      <c r="H678" s="69"/>
      <c r="I678" s="69"/>
      <c r="J678" s="69"/>
      <c r="K678" s="69"/>
      <c r="L678" s="69"/>
      <c r="M678" s="69"/>
      <c r="N678" s="69"/>
      <c r="O678" s="146"/>
      <c r="P678" s="69"/>
      <c r="Q678" s="69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</row>
    <row r="679" spans="1:35" x14ac:dyDescent="0.2">
      <c r="A679" s="45"/>
      <c r="B679" s="45"/>
      <c r="C679" s="74"/>
      <c r="D679" s="75"/>
      <c r="E679" s="75"/>
      <c r="F679" s="69"/>
      <c r="G679" s="69"/>
      <c r="H679" s="69"/>
      <c r="I679" s="69"/>
      <c r="J679" s="69"/>
      <c r="K679" s="69"/>
      <c r="L679" s="69"/>
      <c r="M679" s="69"/>
      <c r="N679" s="69"/>
      <c r="O679" s="146"/>
      <c r="P679" s="69"/>
      <c r="Q679" s="69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</row>
    <row r="680" spans="1:35" x14ac:dyDescent="0.2">
      <c r="A680" s="45"/>
      <c r="B680" s="45"/>
      <c r="C680" s="74"/>
      <c r="D680" s="75"/>
      <c r="E680" s="75"/>
      <c r="F680" s="69"/>
      <c r="G680" s="69"/>
      <c r="H680" s="69"/>
      <c r="I680" s="69"/>
      <c r="J680" s="69"/>
      <c r="K680" s="69"/>
      <c r="L680" s="69"/>
      <c r="M680" s="69"/>
      <c r="N680" s="69"/>
      <c r="O680" s="146"/>
      <c r="P680" s="69"/>
      <c r="Q680" s="69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</row>
    <row r="681" spans="1:35" x14ac:dyDescent="0.2">
      <c r="A681" s="45"/>
      <c r="B681" s="45"/>
      <c r="C681" s="74"/>
      <c r="D681" s="75"/>
      <c r="E681" s="75"/>
      <c r="F681" s="69"/>
      <c r="G681" s="69"/>
      <c r="H681" s="69"/>
      <c r="I681" s="69"/>
      <c r="J681" s="69"/>
      <c r="K681" s="69"/>
      <c r="L681" s="69"/>
      <c r="M681" s="69"/>
      <c r="N681" s="69"/>
      <c r="O681" s="146"/>
      <c r="P681" s="69"/>
      <c r="Q681" s="69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</row>
    <row r="682" spans="1:35" x14ac:dyDescent="0.2">
      <c r="A682" s="45"/>
      <c r="B682" s="45"/>
      <c r="C682" s="74"/>
      <c r="D682" s="75"/>
      <c r="E682" s="75"/>
      <c r="F682" s="69"/>
      <c r="G682" s="69"/>
      <c r="H682" s="69"/>
      <c r="I682" s="69"/>
      <c r="J682" s="69"/>
      <c r="K682" s="69"/>
      <c r="L682" s="69"/>
      <c r="M682" s="69"/>
      <c r="N682" s="69"/>
      <c r="O682" s="146"/>
      <c r="P682" s="69"/>
      <c r="Q682" s="69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</row>
    <row r="683" spans="1:35" x14ac:dyDescent="0.2">
      <c r="A683" s="45"/>
      <c r="B683" s="45"/>
      <c r="C683" s="74"/>
      <c r="D683" s="75"/>
      <c r="E683" s="75"/>
      <c r="F683" s="69"/>
      <c r="G683" s="69"/>
      <c r="H683" s="69"/>
      <c r="I683" s="69"/>
      <c r="J683" s="69"/>
      <c r="K683" s="69"/>
      <c r="L683" s="69"/>
      <c r="M683" s="69"/>
      <c r="N683" s="69"/>
      <c r="O683" s="146"/>
      <c r="P683" s="69"/>
      <c r="Q683" s="69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</row>
    <row r="684" spans="1:35" x14ac:dyDescent="0.2">
      <c r="A684" s="45"/>
      <c r="B684" s="45"/>
      <c r="C684" s="74"/>
      <c r="D684" s="75"/>
      <c r="E684" s="75"/>
      <c r="F684" s="69"/>
      <c r="G684" s="69"/>
      <c r="H684" s="69"/>
      <c r="I684" s="69"/>
      <c r="J684" s="69"/>
      <c r="K684" s="69"/>
      <c r="L684" s="69"/>
      <c r="M684" s="69"/>
      <c r="N684" s="69"/>
      <c r="O684" s="146"/>
      <c r="P684" s="69"/>
      <c r="Q684" s="69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</row>
    <row r="685" spans="1:35" x14ac:dyDescent="0.2">
      <c r="A685" s="45"/>
      <c r="B685" s="45"/>
      <c r="C685" s="74"/>
      <c r="D685" s="75"/>
      <c r="E685" s="75"/>
      <c r="F685" s="69"/>
      <c r="G685" s="69"/>
      <c r="H685" s="69"/>
      <c r="I685" s="69"/>
      <c r="J685" s="69"/>
      <c r="K685" s="69"/>
      <c r="L685" s="69"/>
      <c r="M685" s="69"/>
      <c r="N685" s="69"/>
      <c r="O685" s="146"/>
      <c r="P685" s="69"/>
      <c r="Q685" s="69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</row>
    <row r="686" spans="1:35" x14ac:dyDescent="0.2">
      <c r="A686" s="45"/>
      <c r="B686" s="45"/>
      <c r="C686" s="74"/>
      <c r="D686" s="75"/>
      <c r="E686" s="75"/>
      <c r="F686" s="69"/>
      <c r="G686" s="69"/>
      <c r="H686" s="69"/>
      <c r="I686" s="69"/>
      <c r="J686" s="69"/>
      <c r="K686" s="69"/>
      <c r="L686" s="69"/>
      <c r="M686" s="69"/>
      <c r="N686" s="69"/>
      <c r="O686" s="146"/>
      <c r="P686" s="69"/>
      <c r="Q686" s="69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</row>
    <row r="687" spans="1:35" x14ac:dyDescent="0.2">
      <c r="A687" s="45"/>
      <c r="B687" s="45"/>
      <c r="C687" s="74"/>
      <c r="D687" s="75"/>
      <c r="E687" s="75"/>
      <c r="F687" s="69"/>
      <c r="G687" s="69"/>
      <c r="H687" s="69"/>
      <c r="I687" s="69"/>
      <c r="J687" s="69"/>
      <c r="K687" s="69"/>
      <c r="L687" s="69"/>
      <c r="M687" s="69"/>
      <c r="N687" s="69"/>
      <c r="O687" s="146"/>
      <c r="P687" s="69"/>
      <c r="Q687" s="69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</row>
    <row r="688" spans="1:35" x14ac:dyDescent="0.2">
      <c r="A688" s="45"/>
      <c r="B688" s="45"/>
      <c r="C688" s="74"/>
      <c r="D688" s="75"/>
      <c r="E688" s="75"/>
      <c r="F688" s="69"/>
      <c r="G688" s="69"/>
      <c r="H688" s="69"/>
      <c r="I688" s="69"/>
      <c r="J688" s="69"/>
      <c r="K688" s="69"/>
      <c r="L688" s="69"/>
      <c r="M688" s="69"/>
      <c r="N688" s="69"/>
      <c r="O688" s="146"/>
      <c r="P688" s="69"/>
      <c r="Q688" s="69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</row>
    <row r="689" spans="1:35" x14ac:dyDescent="0.2">
      <c r="A689" s="45"/>
      <c r="B689" s="45"/>
      <c r="C689" s="74"/>
      <c r="D689" s="75"/>
      <c r="E689" s="75"/>
      <c r="F689" s="69"/>
      <c r="G689" s="69"/>
      <c r="H689" s="69"/>
      <c r="I689" s="69"/>
      <c r="J689" s="69"/>
      <c r="K689" s="69"/>
      <c r="L689" s="69"/>
      <c r="M689" s="69"/>
      <c r="N689" s="69"/>
      <c r="O689" s="146"/>
      <c r="P689" s="69"/>
      <c r="Q689" s="69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</row>
    <row r="690" spans="1:35" x14ac:dyDescent="0.2">
      <c r="A690" s="45"/>
      <c r="B690" s="45"/>
      <c r="C690" s="74"/>
      <c r="D690" s="75"/>
      <c r="E690" s="75"/>
      <c r="F690" s="69"/>
      <c r="G690" s="69"/>
      <c r="H690" s="69"/>
      <c r="I690" s="69"/>
      <c r="J690" s="69"/>
      <c r="K690" s="69"/>
      <c r="L690" s="69"/>
      <c r="M690" s="69"/>
      <c r="N690" s="69"/>
      <c r="O690" s="146"/>
      <c r="P690" s="69"/>
      <c r="Q690" s="69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</row>
    <row r="691" spans="1:35" x14ac:dyDescent="0.2">
      <c r="A691" s="45"/>
      <c r="B691" s="45"/>
      <c r="C691" s="74"/>
      <c r="D691" s="75"/>
      <c r="E691" s="75"/>
      <c r="F691" s="69"/>
      <c r="G691" s="69"/>
      <c r="H691" s="69"/>
      <c r="I691" s="69"/>
      <c r="J691" s="69"/>
      <c r="K691" s="69"/>
      <c r="L691" s="69"/>
      <c r="M691" s="69"/>
      <c r="N691" s="69"/>
      <c r="O691" s="146"/>
      <c r="P691" s="69"/>
      <c r="Q691" s="69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</row>
    <row r="692" spans="1:35" x14ac:dyDescent="0.2">
      <c r="A692" s="45"/>
      <c r="B692" s="45"/>
      <c r="C692" s="74"/>
      <c r="D692" s="75"/>
      <c r="E692" s="75"/>
      <c r="F692" s="69"/>
      <c r="G692" s="69"/>
      <c r="H692" s="69"/>
      <c r="I692" s="69"/>
      <c r="J692" s="69"/>
      <c r="K692" s="69"/>
      <c r="L692" s="69"/>
      <c r="M692" s="69"/>
      <c r="N692" s="69"/>
      <c r="O692" s="146"/>
      <c r="P692" s="69"/>
      <c r="Q692" s="69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</row>
    <row r="693" spans="1:35" x14ac:dyDescent="0.2">
      <c r="A693" s="45"/>
      <c r="B693" s="45"/>
      <c r="C693" s="74"/>
      <c r="D693" s="75"/>
      <c r="E693" s="75"/>
      <c r="F693" s="69"/>
      <c r="G693" s="69"/>
      <c r="H693" s="69"/>
      <c r="I693" s="69"/>
      <c r="J693" s="69"/>
      <c r="K693" s="69"/>
      <c r="L693" s="69"/>
      <c r="M693" s="69"/>
      <c r="N693" s="69"/>
      <c r="O693" s="146"/>
      <c r="P693" s="69"/>
      <c r="Q693" s="69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</row>
    <row r="694" spans="1:35" x14ac:dyDescent="0.2">
      <c r="A694" s="45"/>
      <c r="B694" s="45"/>
      <c r="C694" s="74"/>
      <c r="D694" s="75"/>
      <c r="E694" s="75"/>
      <c r="F694" s="69"/>
      <c r="G694" s="69"/>
      <c r="H694" s="69"/>
      <c r="I694" s="69"/>
      <c r="J694" s="69"/>
      <c r="K694" s="69"/>
      <c r="L694" s="69"/>
      <c r="M694" s="69"/>
      <c r="N694" s="69"/>
      <c r="O694" s="146"/>
      <c r="P694" s="69"/>
      <c r="Q694" s="69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</row>
    <row r="695" spans="1:35" x14ac:dyDescent="0.2">
      <c r="A695" s="45"/>
      <c r="B695" s="45"/>
      <c r="C695" s="74"/>
      <c r="D695" s="75"/>
      <c r="E695" s="75"/>
      <c r="F695" s="69"/>
      <c r="G695" s="69"/>
      <c r="H695" s="69"/>
      <c r="I695" s="69"/>
      <c r="J695" s="69"/>
      <c r="K695" s="69"/>
      <c r="L695" s="69"/>
      <c r="M695" s="69"/>
      <c r="N695" s="69"/>
      <c r="O695" s="146"/>
      <c r="P695" s="69"/>
      <c r="Q695" s="69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</row>
    <row r="696" spans="1:35" x14ac:dyDescent="0.2">
      <c r="A696" s="45"/>
      <c r="B696" s="45"/>
      <c r="C696" s="74"/>
      <c r="D696" s="75"/>
      <c r="E696" s="75"/>
      <c r="F696" s="69"/>
      <c r="G696" s="69"/>
      <c r="H696" s="69"/>
      <c r="I696" s="69"/>
      <c r="J696" s="69"/>
      <c r="K696" s="69"/>
      <c r="L696" s="69"/>
      <c r="M696" s="69"/>
      <c r="N696" s="69"/>
      <c r="O696" s="146"/>
      <c r="P696" s="69"/>
      <c r="Q696" s="69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</row>
    <row r="697" spans="1:35" x14ac:dyDescent="0.2">
      <c r="A697" s="45"/>
      <c r="B697" s="45"/>
      <c r="C697" s="74"/>
      <c r="D697" s="75"/>
      <c r="E697" s="75"/>
      <c r="F697" s="69"/>
      <c r="G697" s="69"/>
      <c r="H697" s="69"/>
      <c r="I697" s="69"/>
      <c r="J697" s="69"/>
      <c r="K697" s="69"/>
      <c r="L697" s="69"/>
      <c r="M697" s="69"/>
      <c r="N697" s="69"/>
      <c r="O697" s="146"/>
      <c r="P697" s="69"/>
      <c r="Q697" s="69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</row>
    <row r="698" spans="1:35" x14ac:dyDescent="0.2">
      <c r="A698" s="45"/>
      <c r="B698" s="45"/>
      <c r="C698" s="74"/>
      <c r="D698" s="75"/>
      <c r="E698" s="75"/>
      <c r="F698" s="69"/>
      <c r="G698" s="69"/>
      <c r="H698" s="69"/>
      <c r="I698" s="69"/>
      <c r="J698" s="69"/>
      <c r="K698" s="69"/>
      <c r="L698" s="69"/>
      <c r="M698" s="69"/>
      <c r="N698" s="69"/>
      <c r="O698" s="146"/>
      <c r="P698" s="69"/>
      <c r="Q698" s="69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</row>
    <row r="699" spans="1:35" x14ac:dyDescent="0.2">
      <c r="A699" s="45"/>
      <c r="B699" s="45"/>
      <c r="C699" s="74"/>
      <c r="D699" s="75"/>
      <c r="E699" s="75"/>
      <c r="F699" s="69"/>
      <c r="G699" s="69"/>
      <c r="H699" s="69"/>
      <c r="I699" s="69"/>
      <c r="J699" s="69"/>
      <c r="K699" s="69"/>
      <c r="L699" s="69"/>
      <c r="M699" s="69"/>
      <c r="N699" s="69"/>
      <c r="O699" s="146"/>
      <c r="P699" s="69"/>
      <c r="Q699" s="69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</row>
    <row r="700" spans="1:35" x14ac:dyDescent="0.2">
      <c r="A700" s="45"/>
      <c r="B700" s="45"/>
      <c r="C700" s="74"/>
      <c r="D700" s="75"/>
      <c r="E700" s="75"/>
      <c r="F700" s="69"/>
      <c r="G700" s="69"/>
      <c r="H700" s="69"/>
      <c r="I700" s="69"/>
      <c r="J700" s="69"/>
      <c r="K700" s="69"/>
      <c r="L700" s="69"/>
      <c r="M700" s="69"/>
      <c r="N700" s="69"/>
      <c r="O700" s="146"/>
      <c r="P700" s="69"/>
      <c r="Q700" s="69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</row>
    <row r="701" spans="1:35" x14ac:dyDescent="0.2">
      <c r="A701" s="45"/>
      <c r="B701" s="45"/>
      <c r="C701" s="74"/>
      <c r="D701" s="75"/>
      <c r="E701" s="75"/>
      <c r="F701" s="69"/>
      <c r="G701" s="69"/>
      <c r="H701" s="69"/>
      <c r="I701" s="69"/>
      <c r="J701" s="69"/>
      <c r="K701" s="69"/>
      <c r="L701" s="69"/>
      <c r="M701" s="69"/>
      <c r="N701" s="69"/>
      <c r="O701" s="146"/>
      <c r="P701" s="69"/>
      <c r="Q701" s="69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</row>
    <row r="702" spans="1:35" x14ac:dyDescent="0.2">
      <c r="A702" s="45"/>
      <c r="B702" s="45"/>
      <c r="C702" s="74"/>
      <c r="D702" s="75"/>
      <c r="E702" s="75"/>
      <c r="F702" s="69"/>
      <c r="G702" s="69"/>
      <c r="H702" s="69"/>
      <c r="I702" s="69"/>
      <c r="J702" s="69"/>
      <c r="K702" s="69"/>
      <c r="L702" s="69"/>
      <c r="M702" s="69"/>
      <c r="N702" s="69"/>
      <c r="O702" s="146"/>
      <c r="P702" s="69"/>
      <c r="Q702" s="69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</row>
    <row r="703" spans="1:35" x14ac:dyDescent="0.2">
      <c r="A703" s="45"/>
      <c r="B703" s="45"/>
      <c r="C703" s="74"/>
      <c r="D703" s="75"/>
      <c r="E703" s="75"/>
      <c r="F703" s="69"/>
      <c r="G703" s="69"/>
      <c r="H703" s="69"/>
      <c r="I703" s="69"/>
      <c r="J703" s="69"/>
      <c r="K703" s="69"/>
      <c r="L703" s="69"/>
      <c r="M703" s="69"/>
      <c r="N703" s="69"/>
      <c r="O703" s="146"/>
      <c r="P703" s="69"/>
      <c r="Q703" s="69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</row>
    <row r="704" spans="1:35" x14ac:dyDescent="0.2">
      <c r="A704" s="45"/>
      <c r="B704" s="45"/>
      <c r="C704" s="74"/>
      <c r="D704" s="75"/>
      <c r="E704" s="75"/>
      <c r="F704" s="69"/>
      <c r="G704" s="69"/>
      <c r="H704" s="69"/>
      <c r="I704" s="69"/>
      <c r="J704" s="69"/>
      <c r="K704" s="69"/>
      <c r="L704" s="69"/>
      <c r="M704" s="69"/>
      <c r="N704" s="69"/>
      <c r="O704" s="146"/>
      <c r="P704" s="69"/>
      <c r="Q704" s="69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</row>
    <row r="705" spans="1:35" x14ac:dyDescent="0.2">
      <c r="A705" s="45"/>
      <c r="B705" s="45"/>
      <c r="C705" s="74"/>
      <c r="D705" s="75"/>
      <c r="E705" s="75"/>
      <c r="F705" s="69"/>
      <c r="G705" s="69"/>
      <c r="H705" s="69"/>
      <c r="I705" s="69"/>
      <c r="J705" s="69"/>
      <c r="K705" s="69"/>
      <c r="L705" s="69"/>
      <c r="M705" s="69"/>
      <c r="N705" s="69"/>
      <c r="O705" s="146"/>
      <c r="P705" s="69"/>
      <c r="Q705" s="69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</row>
    <row r="706" spans="1:35" x14ac:dyDescent="0.2">
      <c r="A706" s="45"/>
      <c r="B706" s="45"/>
      <c r="C706" s="74"/>
      <c r="D706" s="75"/>
      <c r="E706" s="75"/>
      <c r="F706" s="69"/>
      <c r="G706" s="69"/>
      <c r="H706" s="69"/>
      <c r="I706" s="69"/>
      <c r="J706" s="69"/>
      <c r="K706" s="69"/>
      <c r="L706" s="69"/>
      <c r="M706" s="69"/>
      <c r="N706" s="69"/>
      <c r="O706" s="146"/>
      <c r="P706" s="69"/>
      <c r="Q706" s="69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</row>
    <row r="707" spans="1:35" x14ac:dyDescent="0.2">
      <c r="A707" s="45"/>
      <c r="B707" s="45"/>
      <c r="C707" s="74"/>
      <c r="D707" s="75"/>
      <c r="E707" s="75"/>
      <c r="F707" s="69"/>
      <c r="G707" s="69"/>
      <c r="H707" s="69"/>
      <c r="I707" s="69"/>
      <c r="J707" s="69"/>
      <c r="K707" s="69"/>
      <c r="L707" s="69"/>
      <c r="M707" s="69"/>
      <c r="N707" s="69"/>
      <c r="O707" s="146"/>
      <c r="P707" s="69"/>
      <c r="Q707" s="69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</row>
    <row r="708" spans="1:35" x14ac:dyDescent="0.2">
      <c r="A708" s="45"/>
      <c r="B708" s="45"/>
      <c r="C708" s="74"/>
      <c r="D708" s="75"/>
      <c r="E708" s="75"/>
      <c r="F708" s="69"/>
      <c r="G708" s="69"/>
      <c r="H708" s="69"/>
      <c r="I708" s="69"/>
      <c r="J708" s="69"/>
      <c r="K708" s="69"/>
      <c r="L708" s="69"/>
      <c r="M708" s="69"/>
      <c r="N708" s="69"/>
      <c r="O708" s="146"/>
      <c r="P708" s="69"/>
      <c r="Q708" s="69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</row>
    <row r="709" spans="1:35" x14ac:dyDescent="0.2">
      <c r="A709" s="45"/>
      <c r="B709" s="45"/>
      <c r="C709" s="74"/>
      <c r="D709" s="75"/>
      <c r="E709" s="75"/>
      <c r="F709" s="69"/>
      <c r="G709" s="69"/>
      <c r="H709" s="69"/>
      <c r="I709" s="69"/>
      <c r="J709" s="69"/>
      <c r="K709" s="69"/>
      <c r="L709" s="69"/>
      <c r="M709" s="69"/>
      <c r="N709" s="69"/>
      <c r="O709" s="146"/>
      <c r="P709" s="69"/>
      <c r="Q709" s="69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</row>
    <row r="710" spans="1:35" x14ac:dyDescent="0.2">
      <c r="A710" s="45"/>
      <c r="B710" s="45"/>
      <c r="C710" s="74"/>
      <c r="D710" s="75"/>
      <c r="E710" s="75"/>
      <c r="F710" s="69"/>
      <c r="G710" s="69"/>
      <c r="H710" s="69"/>
      <c r="I710" s="69"/>
      <c r="J710" s="69"/>
      <c r="K710" s="69"/>
      <c r="L710" s="69"/>
      <c r="M710" s="69"/>
      <c r="N710" s="69"/>
      <c r="O710" s="146"/>
      <c r="P710" s="69"/>
      <c r="Q710" s="69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</row>
    <row r="711" spans="1:35" x14ac:dyDescent="0.2">
      <c r="A711" s="45"/>
      <c r="B711" s="45"/>
      <c r="C711" s="74"/>
      <c r="D711" s="75"/>
      <c r="E711" s="75"/>
      <c r="F711" s="69"/>
      <c r="G711" s="69"/>
      <c r="H711" s="69"/>
      <c r="I711" s="69"/>
      <c r="J711" s="69"/>
      <c r="K711" s="69"/>
      <c r="L711" s="69"/>
      <c r="M711" s="69"/>
      <c r="N711" s="69"/>
      <c r="O711" s="146"/>
      <c r="P711" s="69"/>
      <c r="Q711" s="69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</row>
    <row r="712" spans="1:35" x14ac:dyDescent="0.2">
      <c r="A712" s="45"/>
      <c r="B712" s="45"/>
      <c r="C712" s="74"/>
      <c r="D712" s="75"/>
      <c r="E712" s="75"/>
      <c r="F712" s="69"/>
      <c r="G712" s="69"/>
      <c r="H712" s="69"/>
      <c r="I712" s="69"/>
      <c r="J712" s="69"/>
      <c r="K712" s="69"/>
      <c r="L712" s="69"/>
      <c r="M712" s="69"/>
      <c r="N712" s="69"/>
      <c r="O712" s="146"/>
      <c r="P712" s="69"/>
      <c r="Q712" s="69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</row>
    <row r="713" spans="1:35" x14ac:dyDescent="0.2">
      <c r="A713" s="45"/>
      <c r="B713" s="45"/>
      <c r="C713" s="74"/>
      <c r="D713" s="75"/>
      <c r="E713" s="75"/>
      <c r="F713" s="69"/>
      <c r="G713" s="69"/>
      <c r="H713" s="69"/>
      <c r="I713" s="69"/>
      <c r="J713" s="69"/>
      <c r="K713" s="69"/>
      <c r="L713" s="69"/>
      <c r="M713" s="69"/>
      <c r="N713" s="69"/>
      <c r="O713" s="146"/>
      <c r="P713" s="69"/>
      <c r="Q713" s="69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</row>
    <row r="714" spans="1:35" x14ac:dyDescent="0.2">
      <c r="A714" s="45"/>
      <c r="B714" s="45"/>
      <c r="C714" s="74"/>
      <c r="D714" s="75"/>
      <c r="E714" s="75"/>
      <c r="F714" s="69"/>
      <c r="G714" s="69"/>
      <c r="H714" s="69"/>
      <c r="I714" s="69"/>
      <c r="J714" s="69"/>
      <c r="K714" s="69"/>
      <c r="L714" s="69"/>
      <c r="M714" s="69"/>
      <c r="N714" s="69"/>
      <c r="O714" s="146"/>
      <c r="P714" s="69"/>
      <c r="Q714" s="69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</row>
    <row r="715" spans="1:35" x14ac:dyDescent="0.2">
      <c r="A715" s="45"/>
      <c r="B715" s="45"/>
      <c r="C715" s="74"/>
      <c r="D715" s="75"/>
      <c r="E715" s="75"/>
      <c r="F715" s="69"/>
      <c r="G715" s="69"/>
      <c r="H715" s="69"/>
      <c r="I715" s="69"/>
      <c r="J715" s="69"/>
      <c r="K715" s="69"/>
      <c r="L715" s="69"/>
      <c r="M715" s="69"/>
      <c r="N715" s="69"/>
      <c r="O715" s="146"/>
      <c r="P715" s="69"/>
      <c r="Q715" s="69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</row>
    <row r="716" spans="1:35" x14ac:dyDescent="0.2">
      <c r="A716" s="45"/>
      <c r="B716" s="45"/>
      <c r="C716" s="74"/>
      <c r="D716" s="75"/>
      <c r="E716" s="75"/>
      <c r="F716" s="69"/>
      <c r="G716" s="69"/>
      <c r="H716" s="69"/>
      <c r="I716" s="69"/>
      <c r="J716" s="69"/>
      <c r="K716" s="69"/>
      <c r="L716" s="69"/>
      <c r="M716" s="69"/>
      <c r="N716" s="69"/>
      <c r="O716" s="146"/>
      <c r="P716" s="69"/>
      <c r="Q716" s="69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</row>
    <row r="717" spans="1:35" x14ac:dyDescent="0.2">
      <c r="A717" s="45"/>
      <c r="B717" s="45"/>
      <c r="C717" s="74"/>
      <c r="D717" s="75"/>
      <c r="E717" s="75"/>
      <c r="F717" s="69"/>
      <c r="G717" s="69"/>
      <c r="H717" s="69"/>
      <c r="I717" s="69"/>
      <c r="J717" s="69"/>
      <c r="K717" s="69"/>
      <c r="L717" s="69"/>
      <c r="M717" s="69"/>
      <c r="N717" s="69"/>
      <c r="O717" s="146"/>
      <c r="P717" s="69"/>
      <c r="Q717" s="69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</row>
    <row r="718" spans="1:35" x14ac:dyDescent="0.2">
      <c r="A718" s="45"/>
      <c r="B718" s="45"/>
      <c r="C718" s="74"/>
      <c r="D718" s="75"/>
      <c r="E718" s="75"/>
      <c r="F718" s="69"/>
      <c r="G718" s="69"/>
      <c r="H718" s="69"/>
      <c r="I718" s="69"/>
      <c r="J718" s="69"/>
      <c r="K718" s="69"/>
      <c r="L718" s="69"/>
      <c r="M718" s="69"/>
      <c r="N718" s="69"/>
      <c r="O718" s="146"/>
      <c r="P718" s="69"/>
      <c r="Q718" s="69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</row>
    <row r="719" spans="1:35" x14ac:dyDescent="0.2">
      <c r="A719" s="45"/>
      <c r="B719" s="45"/>
      <c r="C719" s="74"/>
      <c r="D719" s="75"/>
      <c r="E719" s="75"/>
      <c r="F719" s="69"/>
      <c r="G719" s="69"/>
      <c r="H719" s="69"/>
      <c r="I719" s="69"/>
      <c r="J719" s="69"/>
      <c r="K719" s="69"/>
      <c r="L719" s="69"/>
      <c r="M719" s="69"/>
      <c r="N719" s="69"/>
      <c r="O719" s="146"/>
      <c r="P719" s="69"/>
      <c r="Q719" s="69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</row>
    <row r="720" spans="1:35" x14ac:dyDescent="0.2">
      <c r="A720" s="45"/>
      <c r="B720" s="45"/>
      <c r="C720" s="74"/>
      <c r="D720" s="75"/>
      <c r="E720" s="75"/>
      <c r="F720" s="69"/>
      <c r="G720" s="69"/>
      <c r="H720" s="69"/>
      <c r="I720" s="69"/>
      <c r="J720" s="69"/>
      <c r="K720" s="69"/>
      <c r="L720" s="69"/>
      <c r="M720" s="69"/>
      <c r="N720" s="69"/>
      <c r="O720" s="146"/>
      <c r="P720" s="69"/>
      <c r="Q720" s="69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</row>
    <row r="721" spans="1:35" x14ac:dyDescent="0.2">
      <c r="A721" s="45"/>
      <c r="B721" s="45"/>
      <c r="C721" s="74"/>
      <c r="D721" s="75"/>
      <c r="E721" s="75"/>
      <c r="F721" s="69"/>
      <c r="G721" s="69"/>
      <c r="H721" s="69"/>
      <c r="I721" s="69"/>
      <c r="J721" s="69"/>
      <c r="K721" s="69"/>
      <c r="L721" s="69"/>
      <c r="M721" s="69"/>
      <c r="N721" s="69"/>
      <c r="O721" s="146"/>
      <c r="P721" s="69"/>
      <c r="Q721" s="69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</row>
    <row r="722" spans="1:35" x14ac:dyDescent="0.2">
      <c r="A722" s="45"/>
      <c r="B722" s="45"/>
      <c r="C722" s="74"/>
      <c r="D722" s="75"/>
      <c r="E722" s="75"/>
      <c r="F722" s="69"/>
      <c r="G722" s="69"/>
      <c r="H722" s="69"/>
      <c r="I722" s="69"/>
      <c r="J722" s="69"/>
      <c r="K722" s="69"/>
      <c r="L722" s="69"/>
      <c r="M722" s="69"/>
      <c r="N722" s="69"/>
      <c r="O722" s="146"/>
      <c r="P722" s="69"/>
      <c r="Q722" s="69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</row>
    <row r="723" spans="1:35" x14ac:dyDescent="0.2">
      <c r="A723" s="45"/>
      <c r="B723" s="45"/>
      <c r="C723" s="74"/>
      <c r="D723" s="75"/>
      <c r="E723" s="75"/>
      <c r="F723" s="69"/>
      <c r="G723" s="69"/>
      <c r="H723" s="69"/>
      <c r="I723" s="69"/>
      <c r="J723" s="69"/>
      <c r="K723" s="69"/>
      <c r="L723" s="69"/>
      <c r="M723" s="69"/>
      <c r="N723" s="69"/>
      <c r="O723" s="146"/>
      <c r="P723" s="69"/>
      <c r="Q723" s="69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</row>
    <row r="724" spans="1:35" x14ac:dyDescent="0.2">
      <c r="A724" s="45"/>
      <c r="B724" s="45"/>
      <c r="C724" s="74"/>
      <c r="D724" s="75"/>
      <c r="E724" s="75"/>
      <c r="F724" s="69"/>
      <c r="G724" s="69"/>
      <c r="H724" s="69"/>
      <c r="I724" s="69"/>
      <c r="J724" s="69"/>
      <c r="K724" s="69"/>
      <c r="L724" s="69"/>
      <c r="M724" s="69"/>
      <c r="N724" s="69"/>
      <c r="O724" s="146"/>
      <c r="P724" s="69"/>
      <c r="Q724" s="69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</row>
    <row r="725" spans="1:35" x14ac:dyDescent="0.2">
      <c r="A725" s="45"/>
      <c r="B725" s="45"/>
      <c r="C725" s="74"/>
      <c r="D725" s="75"/>
      <c r="E725" s="75"/>
      <c r="F725" s="69"/>
      <c r="G725" s="69"/>
      <c r="H725" s="69"/>
      <c r="I725" s="69"/>
      <c r="J725" s="69"/>
      <c r="K725" s="69"/>
      <c r="L725" s="69"/>
      <c r="M725" s="69"/>
      <c r="N725" s="69"/>
      <c r="O725" s="146"/>
      <c r="P725" s="69"/>
      <c r="Q725" s="69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</row>
    <row r="726" spans="1:35" x14ac:dyDescent="0.2">
      <c r="A726" s="45"/>
      <c r="B726" s="45"/>
      <c r="C726" s="74"/>
      <c r="D726" s="75"/>
      <c r="E726" s="75"/>
      <c r="F726" s="69"/>
      <c r="G726" s="69"/>
      <c r="H726" s="69"/>
      <c r="I726" s="69"/>
      <c r="J726" s="69"/>
      <c r="K726" s="69"/>
      <c r="L726" s="69"/>
      <c r="M726" s="69"/>
      <c r="N726" s="69"/>
      <c r="O726" s="146"/>
      <c r="P726" s="69"/>
      <c r="Q726" s="69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</row>
    <row r="727" spans="1:35" x14ac:dyDescent="0.2">
      <c r="A727" s="45"/>
      <c r="B727" s="45"/>
      <c r="C727" s="74"/>
      <c r="D727" s="75"/>
      <c r="E727" s="75"/>
      <c r="F727" s="69"/>
      <c r="G727" s="69"/>
      <c r="H727" s="69"/>
      <c r="I727" s="69"/>
      <c r="J727" s="69"/>
      <c r="K727" s="69"/>
      <c r="L727" s="69"/>
      <c r="M727" s="69"/>
      <c r="N727" s="69"/>
      <c r="O727" s="146"/>
      <c r="P727" s="69"/>
      <c r="Q727" s="69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</row>
    <row r="728" spans="1:35" x14ac:dyDescent="0.2">
      <c r="A728" s="45"/>
      <c r="B728" s="45"/>
      <c r="C728" s="74"/>
      <c r="D728" s="75"/>
      <c r="E728" s="75"/>
      <c r="F728" s="69"/>
      <c r="G728" s="69"/>
      <c r="H728" s="69"/>
      <c r="I728" s="69"/>
      <c r="J728" s="69"/>
      <c r="K728" s="69"/>
      <c r="L728" s="69"/>
      <c r="M728" s="69"/>
      <c r="N728" s="69"/>
      <c r="O728" s="146"/>
      <c r="P728" s="69"/>
      <c r="Q728" s="69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</row>
    <row r="729" spans="1:35" x14ac:dyDescent="0.2">
      <c r="A729" s="45"/>
      <c r="B729" s="45"/>
      <c r="C729" s="74"/>
      <c r="D729" s="75"/>
      <c r="E729" s="75"/>
      <c r="F729" s="69"/>
      <c r="G729" s="69"/>
      <c r="H729" s="69"/>
      <c r="I729" s="69"/>
      <c r="J729" s="69"/>
      <c r="K729" s="69"/>
      <c r="L729" s="69"/>
      <c r="M729" s="69"/>
      <c r="N729" s="69"/>
      <c r="O729" s="146"/>
      <c r="P729" s="69"/>
      <c r="Q729" s="69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</row>
    <row r="730" spans="1:35" x14ac:dyDescent="0.2">
      <c r="A730" s="45"/>
      <c r="B730" s="45"/>
      <c r="C730" s="74"/>
      <c r="D730" s="75"/>
      <c r="E730" s="75"/>
      <c r="F730" s="69"/>
      <c r="G730" s="69"/>
      <c r="H730" s="69"/>
      <c r="I730" s="69"/>
      <c r="J730" s="69"/>
      <c r="K730" s="69"/>
      <c r="L730" s="69"/>
      <c r="M730" s="69"/>
      <c r="N730" s="69"/>
      <c r="O730" s="146"/>
      <c r="P730" s="69"/>
      <c r="Q730" s="69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</row>
    <row r="731" spans="1:35" x14ac:dyDescent="0.2">
      <c r="A731" s="45"/>
      <c r="B731" s="45"/>
      <c r="C731" s="74"/>
      <c r="D731" s="75"/>
      <c r="E731" s="75"/>
      <c r="F731" s="69"/>
      <c r="G731" s="69"/>
      <c r="H731" s="69"/>
      <c r="I731" s="69"/>
      <c r="J731" s="69"/>
      <c r="K731" s="69"/>
      <c r="L731" s="69"/>
      <c r="M731" s="69"/>
      <c r="N731" s="69"/>
      <c r="O731" s="146"/>
      <c r="P731" s="69"/>
      <c r="Q731" s="69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</row>
    <row r="732" spans="1:35" x14ac:dyDescent="0.2">
      <c r="A732" s="45"/>
      <c r="B732" s="45"/>
      <c r="C732" s="74"/>
      <c r="D732" s="75"/>
      <c r="E732" s="75"/>
      <c r="F732" s="69"/>
      <c r="G732" s="69"/>
      <c r="H732" s="69"/>
      <c r="I732" s="69"/>
      <c r="J732" s="69"/>
      <c r="K732" s="69"/>
      <c r="L732" s="69"/>
      <c r="M732" s="69"/>
      <c r="N732" s="69"/>
      <c r="O732" s="146"/>
      <c r="P732" s="69"/>
      <c r="Q732" s="69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</row>
    <row r="733" spans="1:35" x14ac:dyDescent="0.2">
      <c r="A733" s="45"/>
      <c r="B733" s="45"/>
      <c r="C733" s="74"/>
      <c r="D733" s="75"/>
      <c r="E733" s="75"/>
      <c r="F733" s="69"/>
      <c r="G733" s="69"/>
      <c r="H733" s="69"/>
      <c r="I733" s="69"/>
      <c r="J733" s="69"/>
      <c r="K733" s="69"/>
      <c r="L733" s="69"/>
      <c r="M733" s="69"/>
      <c r="N733" s="69"/>
      <c r="O733" s="146"/>
      <c r="P733" s="69"/>
      <c r="Q733" s="69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</row>
    <row r="734" spans="1:35" x14ac:dyDescent="0.2">
      <c r="A734" s="45"/>
      <c r="B734" s="45"/>
      <c r="C734" s="74"/>
      <c r="D734" s="75"/>
      <c r="E734" s="75"/>
      <c r="F734" s="69"/>
      <c r="G734" s="69"/>
      <c r="H734" s="69"/>
      <c r="I734" s="69"/>
      <c r="J734" s="69"/>
      <c r="K734" s="69"/>
      <c r="L734" s="69"/>
      <c r="M734" s="69"/>
      <c r="N734" s="69"/>
      <c r="O734" s="146"/>
      <c r="P734" s="69"/>
      <c r="Q734" s="69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</row>
    <row r="735" spans="1:35" x14ac:dyDescent="0.2">
      <c r="A735" s="45"/>
      <c r="B735" s="45"/>
      <c r="C735" s="74"/>
      <c r="D735" s="75"/>
      <c r="E735" s="75"/>
      <c r="F735" s="69"/>
      <c r="G735" s="69"/>
      <c r="H735" s="69"/>
      <c r="I735" s="69"/>
      <c r="J735" s="69"/>
      <c r="K735" s="69"/>
      <c r="L735" s="69"/>
      <c r="M735" s="69"/>
      <c r="N735" s="69"/>
      <c r="O735" s="146"/>
      <c r="P735" s="69"/>
      <c r="Q735" s="69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</row>
    <row r="736" spans="1:35" x14ac:dyDescent="0.2">
      <c r="A736" s="45"/>
      <c r="B736" s="45"/>
      <c r="C736" s="74"/>
      <c r="D736" s="75"/>
      <c r="E736" s="75"/>
      <c r="F736" s="69"/>
      <c r="G736" s="69"/>
      <c r="H736" s="69"/>
      <c r="I736" s="69"/>
      <c r="J736" s="69"/>
      <c r="K736" s="69"/>
      <c r="L736" s="69"/>
      <c r="M736" s="69"/>
      <c r="N736" s="69"/>
      <c r="O736" s="146"/>
      <c r="P736" s="69"/>
      <c r="Q736" s="69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</row>
    <row r="737" spans="1:35" x14ac:dyDescent="0.2">
      <c r="A737" s="45"/>
      <c r="B737" s="45"/>
      <c r="C737" s="74"/>
      <c r="D737" s="75"/>
      <c r="E737" s="75"/>
      <c r="F737" s="69"/>
      <c r="G737" s="69"/>
      <c r="H737" s="69"/>
      <c r="I737" s="69"/>
      <c r="J737" s="69"/>
      <c r="K737" s="69"/>
      <c r="L737" s="69"/>
      <c r="M737" s="69"/>
      <c r="N737" s="69"/>
      <c r="O737" s="146"/>
      <c r="P737" s="69"/>
      <c r="Q737" s="69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</row>
    <row r="738" spans="1:35" x14ac:dyDescent="0.2">
      <c r="A738" s="45"/>
      <c r="B738" s="45"/>
      <c r="C738" s="74"/>
      <c r="D738" s="75"/>
      <c r="E738" s="75"/>
      <c r="F738" s="69"/>
      <c r="G738" s="69"/>
      <c r="H738" s="69"/>
      <c r="I738" s="69"/>
      <c r="J738" s="69"/>
      <c r="K738" s="69"/>
      <c r="L738" s="69"/>
      <c r="M738" s="69"/>
      <c r="N738" s="69"/>
      <c r="O738" s="146"/>
      <c r="P738" s="69"/>
      <c r="Q738" s="69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</row>
    <row r="739" spans="1:35" x14ac:dyDescent="0.2">
      <c r="A739" s="45"/>
      <c r="B739" s="45"/>
      <c r="C739" s="74"/>
      <c r="D739" s="75"/>
      <c r="E739" s="75"/>
      <c r="F739" s="69"/>
      <c r="G739" s="69"/>
      <c r="H739" s="69"/>
      <c r="I739" s="69"/>
      <c r="J739" s="69"/>
      <c r="K739" s="69"/>
      <c r="L739" s="69"/>
      <c r="M739" s="69"/>
      <c r="N739" s="69"/>
      <c r="O739" s="146"/>
      <c r="P739" s="69"/>
      <c r="Q739" s="69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</row>
    <row r="740" spans="1:35" x14ac:dyDescent="0.2">
      <c r="A740" s="45"/>
      <c r="B740" s="45"/>
      <c r="C740" s="74"/>
      <c r="D740" s="75"/>
      <c r="E740" s="75"/>
      <c r="F740" s="69"/>
      <c r="G740" s="69"/>
      <c r="H740" s="69"/>
      <c r="I740" s="69"/>
      <c r="J740" s="69"/>
      <c r="K740" s="69"/>
      <c r="L740" s="69"/>
      <c r="M740" s="69"/>
      <c r="N740" s="69"/>
      <c r="O740" s="146"/>
      <c r="P740" s="69"/>
      <c r="Q740" s="69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</row>
    <row r="741" spans="1:35" x14ac:dyDescent="0.2">
      <c r="A741" s="45"/>
      <c r="B741" s="45"/>
      <c r="C741" s="74"/>
      <c r="D741" s="75"/>
      <c r="E741" s="75"/>
      <c r="F741" s="69"/>
      <c r="G741" s="69"/>
      <c r="H741" s="69"/>
      <c r="I741" s="69"/>
      <c r="J741" s="69"/>
      <c r="K741" s="69"/>
      <c r="L741" s="69"/>
      <c r="M741" s="69"/>
      <c r="N741" s="69"/>
      <c r="O741" s="146"/>
      <c r="P741" s="69"/>
      <c r="Q741" s="69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</row>
    <row r="742" spans="1:35" x14ac:dyDescent="0.2">
      <c r="A742" s="45"/>
      <c r="B742" s="45"/>
      <c r="C742" s="74"/>
      <c r="D742" s="75"/>
      <c r="E742" s="75"/>
      <c r="F742" s="69"/>
      <c r="G742" s="69"/>
      <c r="H742" s="69"/>
      <c r="I742" s="69"/>
      <c r="J742" s="69"/>
      <c r="K742" s="69"/>
      <c r="L742" s="69"/>
      <c r="M742" s="69"/>
      <c r="N742" s="69"/>
      <c r="O742" s="146"/>
      <c r="P742" s="69"/>
      <c r="Q742" s="69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</row>
    <row r="743" spans="1:35" x14ac:dyDescent="0.2">
      <c r="A743" s="45"/>
      <c r="B743" s="45"/>
      <c r="C743" s="74"/>
      <c r="D743" s="75"/>
      <c r="E743" s="75"/>
      <c r="F743" s="69"/>
      <c r="G743" s="69"/>
      <c r="H743" s="69"/>
      <c r="I743" s="69"/>
      <c r="J743" s="69"/>
      <c r="K743" s="69"/>
      <c r="L743" s="69"/>
      <c r="M743" s="69"/>
      <c r="N743" s="69"/>
      <c r="O743" s="146"/>
      <c r="P743" s="69"/>
      <c r="Q743" s="69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</row>
    <row r="744" spans="1:35" x14ac:dyDescent="0.2">
      <c r="A744" s="45"/>
      <c r="B744" s="45"/>
      <c r="C744" s="74"/>
      <c r="D744" s="75"/>
      <c r="E744" s="75"/>
      <c r="F744" s="69"/>
      <c r="G744" s="69"/>
      <c r="H744" s="69"/>
      <c r="I744" s="69"/>
      <c r="J744" s="69"/>
      <c r="K744" s="69"/>
      <c r="L744" s="69"/>
      <c r="M744" s="69"/>
      <c r="N744" s="69"/>
      <c r="O744" s="146"/>
      <c r="P744" s="69"/>
      <c r="Q744" s="69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</row>
    <row r="745" spans="1:35" x14ac:dyDescent="0.2">
      <c r="A745" s="45"/>
      <c r="B745" s="45"/>
      <c r="C745" s="74"/>
      <c r="D745" s="75"/>
      <c r="E745" s="75"/>
      <c r="F745" s="69"/>
      <c r="G745" s="69"/>
      <c r="H745" s="69"/>
      <c r="I745" s="69"/>
      <c r="J745" s="69"/>
      <c r="K745" s="69"/>
      <c r="L745" s="69"/>
      <c r="M745" s="69"/>
      <c r="N745" s="69"/>
      <c r="O745" s="146"/>
      <c r="P745" s="69"/>
      <c r="Q745" s="69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</row>
    <row r="746" spans="1:35" x14ac:dyDescent="0.2">
      <c r="A746" s="45"/>
      <c r="B746" s="45"/>
      <c r="C746" s="74"/>
      <c r="D746" s="75"/>
      <c r="E746" s="75"/>
      <c r="F746" s="69"/>
      <c r="G746" s="69"/>
      <c r="H746" s="69"/>
      <c r="I746" s="69"/>
      <c r="J746" s="69"/>
      <c r="K746" s="69"/>
      <c r="L746" s="69"/>
      <c r="M746" s="69"/>
      <c r="N746" s="69"/>
      <c r="O746" s="146"/>
      <c r="P746" s="69"/>
      <c r="Q746" s="69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</row>
    <row r="747" spans="1:35" x14ac:dyDescent="0.2">
      <c r="A747" s="45"/>
      <c r="B747" s="45"/>
      <c r="C747" s="74"/>
      <c r="D747" s="75"/>
      <c r="E747" s="75"/>
      <c r="F747" s="69"/>
      <c r="G747" s="69"/>
      <c r="H747" s="69"/>
      <c r="I747" s="69"/>
      <c r="J747" s="69"/>
      <c r="K747" s="69"/>
      <c r="L747" s="69"/>
      <c r="M747" s="69"/>
      <c r="N747" s="69"/>
      <c r="O747" s="146"/>
      <c r="P747" s="69"/>
      <c r="Q747" s="69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</row>
    <row r="748" spans="1:35" x14ac:dyDescent="0.2">
      <c r="A748" s="45"/>
      <c r="B748" s="45"/>
      <c r="C748" s="74"/>
      <c r="D748" s="75"/>
      <c r="E748" s="75"/>
      <c r="F748" s="69"/>
      <c r="G748" s="69"/>
      <c r="H748" s="69"/>
      <c r="I748" s="69"/>
      <c r="J748" s="69"/>
      <c r="K748" s="69"/>
      <c r="L748" s="69"/>
      <c r="M748" s="69"/>
      <c r="N748" s="69"/>
      <c r="O748" s="146"/>
      <c r="P748" s="69"/>
      <c r="Q748" s="69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</row>
    <row r="749" spans="1:35" x14ac:dyDescent="0.2">
      <c r="A749" s="45"/>
      <c r="B749" s="45"/>
      <c r="C749" s="74"/>
      <c r="D749" s="75"/>
      <c r="E749" s="75"/>
      <c r="F749" s="69"/>
      <c r="G749" s="69"/>
      <c r="H749" s="69"/>
      <c r="I749" s="69"/>
      <c r="J749" s="69"/>
      <c r="K749" s="69"/>
      <c r="L749" s="69"/>
      <c r="M749" s="69"/>
      <c r="N749" s="69"/>
      <c r="O749" s="146"/>
      <c r="P749" s="69"/>
      <c r="Q749" s="69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</row>
    <row r="750" spans="1:35" x14ac:dyDescent="0.2">
      <c r="A750" s="45"/>
      <c r="B750" s="45"/>
      <c r="C750" s="74"/>
      <c r="D750" s="75"/>
      <c r="E750" s="75"/>
      <c r="F750" s="69"/>
      <c r="G750" s="69"/>
      <c r="H750" s="69"/>
      <c r="I750" s="69"/>
      <c r="J750" s="69"/>
      <c r="K750" s="69"/>
      <c r="L750" s="69"/>
      <c r="M750" s="69"/>
      <c r="N750" s="69"/>
      <c r="O750" s="146"/>
      <c r="P750" s="69"/>
      <c r="Q750" s="69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</row>
    <row r="751" spans="1:35" x14ac:dyDescent="0.2">
      <c r="A751" s="45"/>
      <c r="B751" s="45"/>
      <c r="C751" s="74"/>
      <c r="D751" s="75"/>
      <c r="E751" s="75"/>
      <c r="F751" s="69"/>
      <c r="G751" s="69"/>
      <c r="H751" s="69"/>
      <c r="I751" s="69"/>
      <c r="J751" s="69"/>
      <c r="K751" s="69"/>
      <c r="L751" s="69"/>
      <c r="M751" s="69"/>
      <c r="N751" s="69"/>
      <c r="O751" s="146"/>
      <c r="P751" s="69"/>
      <c r="Q751" s="69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</row>
    <row r="752" spans="1:35" x14ac:dyDescent="0.2">
      <c r="A752" s="45"/>
      <c r="B752" s="45"/>
      <c r="C752" s="74"/>
      <c r="D752" s="75"/>
      <c r="E752" s="75"/>
      <c r="F752" s="69"/>
      <c r="G752" s="69"/>
      <c r="H752" s="69"/>
      <c r="I752" s="69"/>
      <c r="J752" s="69"/>
      <c r="K752" s="69"/>
      <c r="L752" s="69"/>
      <c r="M752" s="69"/>
      <c r="N752" s="69"/>
      <c r="O752" s="146"/>
      <c r="P752" s="69"/>
      <c r="Q752" s="69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</row>
    <row r="753" spans="1:35" x14ac:dyDescent="0.2">
      <c r="A753" s="45"/>
      <c r="B753" s="45"/>
      <c r="C753" s="74"/>
      <c r="D753" s="75"/>
      <c r="E753" s="75"/>
      <c r="F753" s="69"/>
      <c r="G753" s="69"/>
      <c r="H753" s="69"/>
      <c r="I753" s="69"/>
      <c r="J753" s="69"/>
      <c r="K753" s="69"/>
      <c r="L753" s="69"/>
      <c r="M753" s="69"/>
      <c r="N753" s="69"/>
      <c r="O753" s="146"/>
      <c r="P753" s="69"/>
      <c r="Q753" s="69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</row>
    <row r="754" spans="1:35" x14ac:dyDescent="0.2">
      <c r="A754" s="45"/>
      <c r="B754" s="45"/>
      <c r="C754" s="74"/>
      <c r="D754" s="75"/>
      <c r="E754" s="75"/>
      <c r="F754" s="69"/>
      <c r="G754" s="69"/>
      <c r="H754" s="69"/>
      <c r="I754" s="69"/>
      <c r="J754" s="69"/>
      <c r="K754" s="69"/>
      <c r="L754" s="69"/>
      <c r="M754" s="69"/>
      <c r="N754" s="69"/>
      <c r="O754" s="146"/>
      <c r="P754" s="69"/>
      <c r="Q754" s="69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</row>
    <row r="755" spans="1:35" x14ac:dyDescent="0.2">
      <c r="A755" s="45"/>
      <c r="B755" s="45"/>
      <c r="C755" s="74"/>
      <c r="D755" s="75"/>
      <c r="E755" s="75"/>
      <c r="F755" s="69"/>
      <c r="G755" s="69"/>
      <c r="H755" s="69"/>
      <c r="I755" s="69"/>
      <c r="J755" s="69"/>
      <c r="K755" s="69"/>
      <c r="L755" s="69"/>
      <c r="M755" s="69"/>
      <c r="N755" s="69"/>
      <c r="O755" s="146"/>
      <c r="P755" s="69"/>
      <c r="Q755" s="69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</row>
    <row r="756" spans="1:35" x14ac:dyDescent="0.2">
      <c r="A756" s="45"/>
      <c r="B756" s="45"/>
      <c r="C756" s="74"/>
      <c r="D756" s="75"/>
      <c r="E756" s="75"/>
      <c r="F756" s="69"/>
      <c r="G756" s="69"/>
      <c r="H756" s="69"/>
      <c r="I756" s="69"/>
      <c r="J756" s="69"/>
      <c r="K756" s="69"/>
      <c r="L756" s="69"/>
      <c r="M756" s="69"/>
      <c r="N756" s="69"/>
      <c r="O756" s="146"/>
      <c r="P756" s="69"/>
      <c r="Q756" s="69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</row>
    <row r="757" spans="1:35" x14ac:dyDescent="0.2">
      <c r="A757" s="45"/>
      <c r="B757" s="45"/>
      <c r="C757" s="74"/>
      <c r="D757" s="75"/>
      <c r="E757" s="75"/>
      <c r="F757" s="69"/>
      <c r="G757" s="69"/>
      <c r="H757" s="69"/>
      <c r="I757" s="69"/>
      <c r="J757" s="69"/>
      <c r="K757" s="69"/>
      <c r="L757" s="69"/>
      <c r="M757" s="69"/>
      <c r="N757" s="69"/>
      <c r="O757" s="146"/>
      <c r="P757" s="69"/>
      <c r="Q757" s="69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</row>
    <row r="758" spans="1:35" x14ac:dyDescent="0.2">
      <c r="A758" s="45"/>
      <c r="B758" s="45"/>
      <c r="C758" s="74"/>
      <c r="D758" s="75"/>
      <c r="E758" s="75"/>
      <c r="F758" s="69"/>
      <c r="G758" s="69"/>
      <c r="H758" s="69"/>
      <c r="I758" s="69"/>
      <c r="J758" s="69"/>
      <c r="K758" s="69"/>
      <c r="L758" s="69"/>
      <c r="M758" s="69"/>
      <c r="N758" s="69"/>
      <c r="O758" s="146"/>
      <c r="P758" s="69"/>
      <c r="Q758" s="69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</row>
    <row r="759" spans="1:35" x14ac:dyDescent="0.2">
      <c r="A759" s="45"/>
      <c r="B759" s="45"/>
      <c r="C759" s="74"/>
      <c r="D759" s="75"/>
      <c r="E759" s="75"/>
      <c r="F759" s="69"/>
      <c r="G759" s="69"/>
      <c r="H759" s="69"/>
      <c r="I759" s="69"/>
      <c r="J759" s="69"/>
      <c r="K759" s="69"/>
      <c r="L759" s="69"/>
      <c r="M759" s="69"/>
      <c r="N759" s="69"/>
      <c r="O759" s="146"/>
      <c r="P759" s="69"/>
      <c r="Q759" s="69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</row>
    <row r="760" spans="1:35" x14ac:dyDescent="0.2">
      <c r="A760" s="45"/>
      <c r="B760" s="45"/>
      <c r="C760" s="74"/>
      <c r="D760" s="75"/>
      <c r="E760" s="75"/>
      <c r="F760" s="69"/>
      <c r="G760" s="69"/>
      <c r="H760" s="69"/>
      <c r="I760" s="69"/>
      <c r="J760" s="69"/>
      <c r="K760" s="69"/>
      <c r="L760" s="69"/>
      <c r="M760" s="69"/>
      <c r="N760" s="69"/>
      <c r="O760" s="146"/>
      <c r="P760" s="69"/>
      <c r="Q760" s="69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</row>
    <row r="761" spans="1:35" x14ac:dyDescent="0.2">
      <c r="A761" s="45"/>
      <c r="B761" s="45"/>
      <c r="C761" s="74"/>
      <c r="D761" s="75"/>
      <c r="E761" s="75"/>
      <c r="F761" s="69"/>
      <c r="G761" s="69"/>
      <c r="H761" s="69"/>
      <c r="I761" s="69"/>
      <c r="J761" s="69"/>
      <c r="K761" s="69"/>
      <c r="L761" s="69"/>
      <c r="M761" s="69"/>
      <c r="N761" s="69"/>
      <c r="O761" s="146"/>
      <c r="P761" s="69"/>
      <c r="Q761" s="69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</row>
    <row r="762" spans="1:35" x14ac:dyDescent="0.2">
      <c r="A762" s="45"/>
      <c r="B762" s="45"/>
      <c r="C762" s="74"/>
      <c r="D762" s="75"/>
      <c r="E762" s="75"/>
      <c r="F762" s="69"/>
      <c r="G762" s="69"/>
      <c r="H762" s="69"/>
      <c r="I762" s="69"/>
      <c r="J762" s="69"/>
      <c r="K762" s="69"/>
      <c r="L762" s="69"/>
      <c r="M762" s="69"/>
      <c r="N762" s="69"/>
      <c r="O762" s="146"/>
      <c r="P762" s="69"/>
      <c r="Q762" s="69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</row>
    <row r="763" spans="1:35" x14ac:dyDescent="0.2">
      <c r="A763" s="45"/>
      <c r="B763" s="45"/>
      <c r="C763" s="74"/>
      <c r="D763" s="75"/>
      <c r="E763" s="75"/>
      <c r="F763" s="69"/>
      <c r="G763" s="69"/>
      <c r="H763" s="69"/>
      <c r="I763" s="69"/>
      <c r="J763" s="69"/>
      <c r="K763" s="69"/>
      <c r="L763" s="69"/>
      <c r="M763" s="69"/>
      <c r="N763" s="69"/>
      <c r="O763" s="146"/>
      <c r="P763" s="69"/>
      <c r="Q763" s="69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</row>
    <row r="764" spans="1:35" x14ac:dyDescent="0.2">
      <c r="A764" s="45"/>
      <c r="B764" s="45"/>
      <c r="C764" s="74"/>
      <c r="D764" s="75"/>
      <c r="E764" s="75"/>
      <c r="F764" s="69"/>
      <c r="G764" s="69"/>
      <c r="H764" s="69"/>
      <c r="I764" s="69"/>
      <c r="J764" s="69"/>
      <c r="K764" s="69"/>
      <c r="L764" s="69"/>
      <c r="M764" s="69"/>
      <c r="N764" s="69"/>
      <c r="O764" s="146"/>
      <c r="P764" s="69"/>
      <c r="Q764" s="69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</row>
    <row r="765" spans="1:35" x14ac:dyDescent="0.2">
      <c r="A765" s="45"/>
      <c r="B765" s="45"/>
      <c r="C765" s="74"/>
      <c r="D765" s="75"/>
      <c r="E765" s="75"/>
      <c r="F765" s="69"/>
      <c r="G765" s="69"/>
      <c r="H765" s="69"/>
      <c r="I765" s="69"/>
      <c r="J765" s="69"/>
      <c r="K765" s="69"/>
      <c r="L765" s="69"/>
      <c r="M765" s="69"/>
      <c r="N765" s="69"/>
      <c r="O765" s="146"/>
      <c r="P765" s="69"/>
      <c r="Q765" s="69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</row>
    <row r="766" spans="1:35" x14ac:dyDescent="0.2">
      <c r="A766" s="45"/>
      <c r="B766" s="45"/>
      <c r="C766" s="74"/>
      <c r="D766" s="75"/>
      <c r="E766" s="75"/>
      <c r="F766" s="69"/>
      <c r="G766" s="69"/>
      <c r="H766" s="69"/>
      <c r="I766" s="69"/>
      <c r="J766" s="69"/>
      <c r="K766" s="69"/>
      <c r="L766" s="69"/>
      <c r="M766" s="69"/>
      <c r="N766" s="69"/>
      <c r="O766" s="146"/>
      <c r="P766" s="69"/>
      <c r="Q766" s="69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</row>
    <row r="767" spans="1:35" x14ac:dyDescent="0.2">
      <c r="A767" s="45"/>
      <c r="B767" s="45"/>
      <c r="C767" s="74"/>
      <c r="D767" s="75"/>
      <c r="E767" s="75"/>
      <c r="F767" s="69"/>
      <c r="G767" s="69"/>
      <c r="H767" s="69"/>
      <c r="I767" s="69"/>
      <c r="J767" s="69"/>
      <c r="K767" s="69"/>
      <c r="L767" s="69"/>
      <c r="M767" s="69"/>
      <c r="N767" s="69"/>
      <c r="O767" s="146"/>
      <c r="P767" s="69"/>
      <c r="Q767" s="69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</row>
    <row r="768" spans="1:35" x14ac:dyDescent="0.2">
      <c r="A768" s="45"/>
      <c r="B768" s="45"/>
      <c r="C768" s="74"/>
      <c r="D768" s="75"/>
      <c r="E768" s="75"/>
      <c r="F768" s="69"/>
      <c r="G768" s="69"/>
      <c r="H768" s="69"/>
      <c r="I768" s="69"/>
      <c r="J768" s="69"/>
      <c r="K768" s="69"/>
      <c r="L768" s="69"/>
      <c r="M768" s="69"/>
      <c r="N768" s="69"/>
      <c r="O768" s="146"/>
      <c r="P768" s="69"/>
      <c r="Q768" s="69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</row>
    <row r="769" spans="1:35" x14ac:dyDescent="0.2">
      <c r="A769" s="45"/>
      <c r="B769" s="45"/>
      <c r="C769" s="74"/>
      <c r="D769" s="75"/>
      <c r="E769" s="75"/>
      <c r="F769" s="69"/>
      <c r="G769" s="69"/>
      <c r="H769" s="69"/>
      <c r="I769" s="69"/>
      <c r="J769" s="69"/>
      <c r="K769" s="69"/>
      <c r="L769" s="69"/>
      <c r="M769" s="69"/>
      <c r="N769" s="69"/>
      <c r="O769" s="146"/>
      <c r="P769" s="69"/>
      <c r="Q769" s="69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</row>
    <row r="770" spans="1:35" x14ac:dyDescent="0.2">
      <c r="A770" s="45"/>
      <c r="B770" s="45"/>
      <c r="C770" s="74"/>
      <c r="D770" s="75"/>
      <c r="E770" s="75"/>
      <c r="F770" s="69"/>
      <c r="G770" s="69"/>
      <c r="H770" s="69"/>
      <c r="I770" s="69"/>
      <c r="J770" s="69"/>
      <c r="K770" s="69"/>
      <c r="L770" s="69"/>
      <c r="M770" s="69"/>
      <c r="N770" s="69"/>
      <c r="O770" s="146"/>
      <c r="P770" s="69"/>
      <c r="Q770" s="69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</row>
    <row r="771" spans="1:35" x14ac:dyDescent="0.2">
      <c r="A771" s="45"/>
      <c r="B771" s="45"/>
      <c r="C771" s="74"/>
      <c r="D771" s="75"/>
      <c r="E771" s="75"/>
      <c r="F771" s="69"/>
      <c r="G771" s="69"/>
      <c r="H771" s="69"/>
      <c r="I771" s="69"/>
      <c r="J771" s="69"/>
      <c r="K771" s="69"/>
      <c r="L771" s="69"/>
      <c r="M771" s="69"/>
      <c r="N771" s="69"/>
      <c r="O771" s="146"/>
      <c r="P771" s="69"/>
      <c r="Q771" s="69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</row>
    <row r="772" spans="1:35" x14ac:dyDescent="0.2">
      <c r="A772" s="45"/>
      <c r="B772" s="45"/>
      <c r="C772" s="74"/>
      <c r="D772" s="75"/>
      <c r="E772" s="75"/>
      <c r="F772" s="69"/>
      <c r="G772" s="69"/>
      <c r="H772" s="69"/>
      <c r="I772" s="69"/>
      <c r="J772" s="69"/>
      <c r="K772" s="69"/>
      <c r="L772" s="69"/>
      <c r="M772" s="69"/>
      <c r="N772" s="69"/>
      <c r="O772" s="146"/>
      <c r="P772" s="69"/>
      <c r="Q772" s="69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</row>
    <row r="773" spans="1:35" x14ac:dyDescent="0.2">
      <c r="A773" s="45"/>
      <c r="B773" s="45"/>
      <c r="C773" s="74"/>
      <c r="D773" s="75"/>
      <c r="E773" s="75"/>
      <c r="F773" s="69"/>
      <c r="G773" s="69"/>
      <c r="H773" s="69"/>
      <c r="I773" s="69"/>
      <c r="J773" s="69"/>
      <c r="K773" s="69"/>
      <c r="L773" s="69"/>
      <c r="M773" s="69"/>
      <c r="N773" s="69"/>
      <c r="O773" s="146"/>
      <c r="P773" s="69"/>
      <c r="Q773" s="69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</row>
    <row r="774" spans="1:35" x14ac:dyDescent="0.2">
      <c r="A774" s="45"/>
      <c r="B774" s="45"/>
      <c r="C774" s="74"/>
      <c r="D774" s="75"/>
      <c r="E774" s="75"/>
      <c r="F774" s="69"/>
      <c r="G774" s="69"/>
      <c r="H774" s="69"/>
      <c r="I774" s="69"/>
      <c r="J774" s="69"/>
      <c r="K774" s="69"/>
      <c r="L774" s="69"/>
      <c r="M774" s="69"/>
      <c r="N774" s="69"/>
      <c r="O774" s="146"/>
      <c r="P774" s="69"/>
      <c r="Q774" s="69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</row>
    <row r="775" spans="1:35" x14ac:dyDescent="0.2">
      <c r="A775" s="45"/>
      <c r="B775" s="45"/>
      <c r="C775" s="74"/>
      <c r="D775" s="75"/>
      <c r="E775" s="75"/>
      <c r="F775" s="69"/>
      <c r="G775" s="69"/>
      <c r="H775" s="69"/>
      <c r="I775" s="69"/>
      <c r="J775" s="69"/>
      <c r="K775" s="69"/>
      <c r="L775" s="69"/>
      <c r="M775" s="69"/>
      <c r="N775" s="69"/>
      <c r="O775" s="146"/>
      <c r="P775" s="69"/>
      <c r="Q775" s="69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</row>
    <row r="776" spans="1:35" x14ac:dyDescent="0.2">
      <c r="A776" s="45"/>
      <c r="B776" s="45"/>
      <c r="C776" s="74"/>
      <c r="D776" s="75"/>
      <c r="E776" s="75"/>
      <c r="F776" s="69"/>
      <c r="G776" s="69"/>
      <c r="H776" s="69"/>
      <c r="I776" s="69"/>
      <c r="J776" s="69"/>
      <c r="K776" s="69"/>
      <c r="L776" s="69"/>
      <c r="M776" s="69"/>
      <c r="N776" s="69"/>
      <c r="O776" s="146"/>
      <c r="P776" s="69"/>
      <c r="Q776" s="69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</row>
    <row r="777" spans="1:35" x14ac:dyDescent="0.2">
      <c r="A777" s="45"/>
      <c r="B777" s="45"/>
      <c r="C777" s="74"/>
      <c r="D777" s="75"/>
      <c r="E777" s="75"/>
      <c r="F777" s="69"/>
      <c r="G777" s="69"/>
      <c r="H777" s="69"/>
      <c r="I777" s="69"/>
      <c r="J777" s="69"/>
      <c r="K777" s="69"/>
      <c r="L777" s="69"/>
      <c r="M777" s="69"/>
      <c r="N777" s="69"/>
      <c r="O777" s="146"/>
      <c r="P777" s="69"/>
      <c r="Q777" s="69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</row>
    <row r="778" spans="1:35" x14ac:dyDescent="0.2">
      <c r="A778" s="45"/>
      <c r="B778" s="45"/>
      <c r="C778" s="74"/>
      <c r="D778" s="75"/>
      <c r="E778" s="75"/>
      <c r="F778" s="69"/>
      <c r="G778" s="69"/>
      <c r="H778" s="69"/>
      <c r="I778" s="69"/>
      <c r="J778" s="69"/>
      <c r="K778" s="69"/>
      <c r="L778" s="69"/>
      <c r="M778" s="69"/>
      <c r="N778" s="69"/>
      <c r="O778" s="146"/>
      <c r="P778" s="69"/>
      <c r="Q778" s="69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</row>
    <row r="779" spans="1:35" x14ac:dyDescent="0.2">
      <c r="A779" s="45"/>
      <c r="B779" s="45"/>
      <c r="C779" s="74"/>
      <c r="D779" s="75"/>
      <c r="E779" s="75"/>
      <c r="F779" s="69"/>
      <c r="G779" s="69"/>
      <c r="H779" s="69"/>
      <c r="I779" s="69"/>
      <c r="J779" s="69"/>
      <c r="K779" s="69"/>
      <c r="L779" s="69"/>
      <c r="M779" s="69"/>
      <c r="N779" s="69"/>
      <c r="O779" s="146"/>
      <c r="P779" s="69"/>
      <c r="Q779" s="69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</row>
    <row r="780" spans="1:35" x14ac:dyDescent="0.2">
      <c r="A780" s="45"/>
      <c r="B780" s="45"/>
      <c r="C780" s="74"/>
      <c r="D780" s="75"/>
      <c r="E780" s="75"/>
      <c r="F780" s="69"/>
      <c r="G780" s="69"/>
      <c r="H780" s="69"/>
      <c r="I780" s="69"/>
      <c r="J780" s="69"/>
      <c r="K780" s="69"/>
      <c r="L780" s="69"/>
      <c r="M780" s="69"/>
      <c r="N780" s="69"/>
      <c r="O780" s="146"/>
      <c r="P780" s="69"/>
      <c r="Q780" s="69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</row>
    <row r="781" spans="1:35" x14ac:dyDescent="0.2">
      <c r="A781" s="45"/>
      <c r="B781" s="45"/>
      <c r="C781" s="74"/>
      <c r="D781" s="75"/>
      <c r="E781" s="75"/>
      <c r="F781" s="69"/>
      <c r="G781" s="69"/>
      <c r="H781" s="69"/>
      <c r="I781" s="69"/>
      <c r="J781" s="69"/>
      <c r="K781" s="69"/>
      <c r="L781" s="69"/>
      <c r="M781" s="69"/>
      <c r="N781" s="69"/>
      <c r="O781" s="146"/>
      <c r="P781" s="69"/>
      <c r="Q781" s="69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</row>
    <row r="782" spans="1:35" x14ac:dyDescent="0.2">
      <c r="A782" s="45"/>
      <c r="B782" s="45"/>
      <c r="C782" s="74"/>
      <c r="D782" s="75"/>
      <c r="E782" s="75"/>
      <c r="F782" s="69"/>
      <c r="G782" s="69"/>
      <c r="H782" s="69"/>
      <c r="I782" s="69"/>
      <c r="J782" s="69"/>
      <c r="K782" s="69"/>
      <c r="L782" s="69"/>
      <c r="M782" s="69"/>
      <c r="N782" s="69"/>
      <c r="O782" s="146"/>
      <c r="P782" s="69"/>
      <c r="Q782" s="69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</row>
    <row r="783" spans="1:35" x14ac:dyDescent="0.2">
      <c r="A783" s="45"/>
      <c r="B783" s="45"/>
      <c r="C783" s="74"/>
      <c r="D783" s="75"/>
      <c r="E783" s="75"/>
      <c r="F783" s="69"/>
      <c r="G783" s="69"/>
      <c r="H783" s="69"/>
      <c r="I783" s="69"/>
      <c r="J783" s="69"/>
      <c r="K783" s="69"/>
      <c r="L783" s="69"/>
      <c r="M783" s="69"/>
      <c r="N783" s="69"/>
      <c r="O783" s="146"/>
      <c r="P783" s="69"/>
      <c r="Q783" s="69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</row>
    <row r="784" spans="1:35" x14ac:dyDescent="0.2">
      <c r="A784" s="45"/>
      <c r="B784" s="45"/>
      <c r="C784" s="74"/>
      <c r="D784" s="75"/>
      <c r="E784" s="75"/>
      <c r="F784" s="69"/>
      <c r="G784" s="69"/>
      <c r="H784" s="69"/>
      <c r="I784" s="69"/>
      <c r="J784" s="69"/>
      <c r="K784" s="69"/>
      <c r="L784" s="69"/>
      <c r="M784" s="69"/>
      <c r="N784" s="69"/>
      <c r="O784" s="146"/>
      <c r="P784" s="69"/>
      <c r="Q784" s="69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</row>
    <row r="785" spans="1:35" x14ac:dyDescent="0.2">
      <c r="A785" s="45"/>
      <c r="B785" s="45"/>
      <c r="C785" s="74"/>
      <c r="D785" s="75"/>
      <c r="E785" s="75"/>
      <c r="F785" s="69"/>
      <c r="G785" s="69"/>
      <c r="H785" s="69"/>
      <c r="I785" s="69"/>
      <c r="J785" s="69"/>
      <c r="K785" s="69"/>
      <c r="L785" s="69"/>
      <c r="M785" s="69"/>
      <c r="N785" s="69"/>
      <c r="O785" s="146"/>
      <c r="P785" s="69"/>
      <c r="Q785" s="69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</row>
    <row r="786" spans="1:35" x14ac:dyDescent="0.2">
      <c r="A786" s="45"/>
      <c r="B786" s="45"/>
      <c r="C786" s="74"/>
      <c r="D786" s="75"/>
      <c r="E786" s="75"/>
      <c r="F786" s="69"/>
      <c r="G786" s="69"/>
      <c r="H786" s="69"/>
      <c r="I786" s="69"/>
      <c r="J786" s="69"/>
      <c r="K786" s="69"/>
      <c r="L786" s="69"/>
      <c r="M786" s="69"/>
      <c r="N786" s="69"/>
      <c r="O786" s="146"/>
      <c r="P786" s="69"/>
      <c r="Q786" s="69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</row>
    <row r="787" spans="1:35" x14ac:dyDescent="0.2">
      <c r="A787" s="45"/>
      <c r="B787" s="45"/>
      <c r="C787" s="74"/>
      <c r="D787" s="75"/>
      <c r="E787" s="75"/>
      <c r="F787" s="69"/>
      <c r="G787" s="69"/>
      <c r="H787" s="69"/>
      <c r="I787" s="69"/>
      <c r="J787" s="69"/>
      <c r="K787" s="69"/>
      <c r="L787" s="69"/>
      <c r="M787" s="69"/>
      <c r="N787" s="69"/>
      <c r="O787" s="146"/>
      <c r="P787" s="69"/>
      <c r="Q787" s="69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</row>
    <row r="788" spans="1:35" x14ac:dyDescent="0.2">
      <c r="A788" s="45"/>
      <c r="B788" s="45"/>
      <c r="C788" s="74"/>
      <c r="D788" s="75"/>
      <c r="E788" s="75"/>
      <c r="F788" s="69"/>
      <c r="G788" s="69"/>
      <c r="H788" s="69"/>
      <c r="I788" s="69"/>
      <c r="J788" s="69"/>
      <c r="K788" s="69"/>
      <c r="L788" s="69"/>
      <c r="M788" s="69"/>
      <c r="N788" s="69"/>
      <c r="O788" s="146"/>
      <c r="P788" s="69"/>
      <c r="Q788" s="69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</row>
    <row r="789" spans="1:35" x14ac:dyDescent="0.2">
      <c r="A789" s="45"/>
      <c r="B789" s="45"/>
      <c r="C789" s="74"/>
      <c r="D789" s="75"/>
      <c r="E789" s="75"/>
      <c r="F789" s="69"/>
      <c r="G789" s="69"/>
      <c r="H789" s="69"/>
      <c r="I789" s="69"/>
      <c r="J789" s="69"/>
      <c r="K789" s="69"/>
      <c r="L789" s="69"/>
      <c r="M789" s="69"/>
      <c r="N789" s="69"/>
      <c r="O789" s="146"/>
      <c r="P789" s="69"/>
      <c r="Q789" s="69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</row>
    <row r="790" spans="1:35" x14ac:dyDescent="0.2">
      <c r="A790" s="45"/>
      <c r="B790" s="45"/>
      <c r="C790" s="74"/>
      <c r="D790" s="75"/>
      <c r="E790" s="75"/>
      <c r="F790" s="69"/>
      <c r="G790" s="69"/>
      <c r="H790" s="69"/>
      <c r="I790" s="69"/>
      <c r="J790" s="69"/>
      <c r="K790" s="69"/>
      <c r="L790" s="69"/>
      <c r="M790" s="69"/>
      <c r="N790" s="69"/>
      <c r="O790" s="146"/>
      <c r="P790" s="69"/>
      <c r="Q790" s="69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</row>
    <row r="791" spans="1:35" x14ac:dyDescent="0.2">
      <c r="A791" s="45"/>
      <c r="B791" s="45"/>
      <c r="C791" s="74"/>
      <c r="D791" s="75"/>
      <c r="E791" s="75"/>
      <c r="F791" s="69"/>
      <c r="G791" s="69"/>
      <c r="H791" s="69"/>
      <c r="I791" s="69"/>
      <c r="J791" s="69"/>
      <c r="K791" s="69"/>
      <c r="L791" s="69"/>
      <c r="M791" s="69"/>
      <c r="N791" s="69"/>
      <c r="O791" s="146"/>
      <c r="P791" s="69"/>
      <c r="Q791" s="69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</row>
    <row r="792" spans="1:35" x14ac:dyDescent="0.2">
      <c r="A792" s="45"/>
      <c r="B792" s="45"/>
      <c r="C792" s="74"/>
      <c r="D792" s="75"/>
      <c r="E792" s="75"/>
      <c r="F792" s="69"/>
      <c r="G792" s="69"/>
      <c r="H792" s="69"/>
      <c r="I792" s="69"/>
      <c r="J792" s="69"/>
      <c r="K792" s="69"/>
      <c r="L792" s="69"/>
      <c r="M792" s="69"/>
      <c r="N792" s="69"/>
      <c r="O792" s="146"/>
      <c r="P792" s="69"/>
      <c r="Q792" s="69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</row>
    <row r="793" spans="1:35" x14ac:dyDescent="0.2">
      <c r="A793" s="45"/>
      <c r="B793" s="45"/>
      <c r="C793" s="74"/>
      <c r="D793" s="75"/>
      <c r="E793" s="75"/>
      <c r="F793" s="69"/>
      <c r="G793" s="69"/>
      <c r="H793" s="69"/>
      <c r="I793" s="69"/>
      <c r="J793" s="69"/>
      <c r="K793" s="69"/>
      <c r="L793" s="69"/>
      <c r="M793" s="69"/>
      <c r="N793" s="69"/>
      <c r="O793" s="146"/>
      <c r="P793" s="69"/>
      <c r="Q793" s="69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</row>
    <row r="794" spans="1:35" x14ac:dyDescent="0.2">
      <c r="A794" s="45"/>
      <c r="B794" s="45"/>
      <c r="C794" s="74"/>
      <c r="D794" s="75"/>
      <c r="E794" s="75"/>
      <c r="F794" s="69"/>
      <c r="G794" s="69"/>
      <c r="H794" s="69"/>
      <c r="I794" s="69"/>
      <c r="J794" s="69"/>
      <c r="K794" s="69"/>
      <c r="L794" s="69"/>
      <c r="M794" s="69"/>
      <c r="N794" s="69"/>
      <c r="O794" s="146"/>
      <c r="P794" s="69"/>
      <c r="Q794" s="69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</row>
    <row r="795" spans="1:35" x14ac:dyDescent="0.2">
      <c r="A795" s="45"/>
      <c r="B795" s="45"/>
      <c r="C795" s="74"/>
      <c r="D795" s="75"/>
      <c r="E795" s="75"/>
      <c r="F795" s="69"/>
      <c r="G795" s="69"/>
      <c r="H795" s="69"/>
      <c r="I795" s="69"/>
      <c r="J795" s="69"/>
      <c r="K795" s="69"/>
      <c r="L795" s="69"/>
      <c r="M795" s="69"/>
      <c r="N795" s="69"/>
      <c r="O795" s="146"/>
      <c r="P795" s="69"/>
      <c r="Q795" s="69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</row>
    <row r="796" spans="1:35" x14ac:dyDescent="0.2">
      <c r="A796" s="45"/>
      <c r="B796" s="45"/>
      <c r="C796" s="74"/>
      <c r="D796" s="75"/>
      <c r="E796" s="75"/>
      <c r="F796" s="69"/>
      <c r="G796" s="69"/>
      <c r="H796" s="69"/>
      <c r="I796" s="69"/>
      <c r="J796" s="69"/>
      <c r="K796" s="69"/>
      <c r="L796" s="69"/>
      <c r="M796" s="69"/>
      <c r="N796" s="69"/>
      <c r="O796" s="146"/>
      <c r="P796" s="69"/>
      <c r="Q796" s="69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</row>
    <row r="797" spans="1:35" x14ac:dyDescent="0.2">
      <c r="A797" s="45"/>
      <c r="B797" s="45"/>
      <c r="C797" s="74"/>
      <c r="D797" s="75"/>
      <c r="E797" s="75"/>
      <c r="F797" s="69"/>
      <c r="G797" s="69"/>
      <c r="H797" s="69"/>
      <c r="I797" s="69"/>
      <c r="J797" s="69"/>
      <c r="K797" s="69"/>
      <c r="L797" s="69"/>
      <c r="M797" s="69"/>
      <c r="N797" s="69"/>
      <c r="O797" s="146"/>
      <c r="P797" s="69"/>
      <c r="Q797" s="69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</row>
    <row r="798" spans="1:35" x14ac:dyDescent="0.2">
      <c r="A798" s="45"/>
      <c r="B798" s="45"/>
      <c r="C798" s="74"/>
      <c r="D798" s="75"/>
      <c r="E798" s="75"/>
      <c r="F798" s="69"/>
      <c r="G798" s="69"/>
      <c r="H798" s="69"/>
      <c r="I798" s="69"/>
      <c r="J798" s="69"/>
      <c r="K798" s="69"/>
      <c r="L798" s="69"/>
      <c r="M798" s="69"/>
      <c r="N798" s="69"/>
      <c r="O798" s="146"/>
      <c r="P798" s="69"/>
      <c r="Q798" s="69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</row>
    <row r="799" spans="1:35" x14ac:dyDescent="0.2">
      <c r="A799" s="45"/>
      <c r="B799" s="45"/>
      <c r="C799" s="74"/>
      <c r="D799" s="75"/>
      <c r="E799" s="75"/>
      <c r="F799" s="69"/>
      <c r="G799" s="69"/>
      <c r="H799" s="69"/>
      <c r="I799" s="69"/>
      <c r="J799" s="69"/>
      <c r="K799" s="69"/>
      <c r="L799" s="69"/>
      <c r="M799" s="69"/>
      <c r="N799" s="69"/>
      <c r="O799" s="146"/>
      <c r="P799" s="69"/>
      <c r="Q799" s="69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</row>
    <row r="800" spans="1:35" x14ac:dyDescent="0.2">
      <c r="A800" s="45"/>
      <c r="B800" s="45"/>
      <c r="C800" s="74"/>
      <c r="D800" s="75"/>
      <c r="E800" s="75"/>
      <c r="F800" s="69"/>
      <c r="G800" s="69"/>
      <c r="H800" s="69"/>
      <c r="I800" s="69"/>
      <c r="J800" s="69"/>
      <c r="K800" s="69"/>
      <c r="L800" s="69"/>
      <c r="M800" s="69"/>
      <c r="N800" s="69"/>
      <c r="O800" s="146"/>
      <c r="P800" s="69"/>
      <c r="Q800" s="69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</row>
    <row r="801" spans="1:35" x14ac:dyDescent="0.2">
      <c r="A801" s="45"/>
      <c r="B801" s="45"/>
      <c r="C801" s="74"/>
      <c r="D801" s="75"/>
      <c r="E801" s="75"/>
      <c r="F801" s="69"/>
      <c r="G801" s="69"/>
      <c r="H801" s="69"/>
      <c r="I801" s="69"/>
      <c r="J801" s="69"/>
      <c r="K801" s="69"/>
      <c r="L801" s="69"/>
      <c r="M801" s="69"/>
      <c r="N801" s="69"/>
      <c r="O801" s="146"/>
      <c r="P801" s="69"/>
      <c r="Q801" s="69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</row>
    <row r="802" spans="1:35" x14ac:dyDescent="0.2">
      <c r="A802" s="45"/>
      <c r="B802" s="45"/>
      <c r="C802" s="74"/>
      <c r="D802" s="75"/>
      <c r="E802" s="75"/>
      <c r="F802" s="69"/>
      <c r="G802" s="69"/>
      <c r="H802" s="69"/>
      <c r="I802" s="69"/>
      <c r="J802" s="69"/>
      <c r="K802" s="69"/>
      <c r="L802" s="69"/>
      <c r="M802" s="69"/>
      <c r="N802" s="69"/>
      <c r="O802" s="146"/>
      <c r="P802" s="69"/>
      <c r="Q802" s="69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</row>
    <row r="803" spans="1:35" x14ac:dyDescent="0.2">
      <c r="A803" s="45"/>
      <c r="B803" s="45"/>
      <c r="C803" s="74"/>
      <c r="D803" s="75"/>
      <c r="E803" s="75"/>
      <c r="F803" s="69"/>
      <c r="G803" s="69"/>
      <c r="H803" s="69"/>
      <c r="I803" s="69"/>
      <c r="J803" s="69"/>
      <c r="K803" s="69"/>
      <c r="L803" s="69"/>
      <c r="M803" s="69"/>
      <c r="N803" s="69"/>
      <c r="O803" s="146"/>
      <c r="P803" s="69"/>
      <c r="Q803" s="69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</row>
    <row r="804" spans="1:35" x14ac:dyDescent="0.2">
      <c r="A804" s="45"/>
      <c r="B804" s="45"/>
      <c r="C804" s="74"/>
      <c r="D804" s="75"/>
      <c r="E804" s="75"/>
      <c r="F804" s="69"/>
      <c r="G804" s="69"/>
      <c r="H804" s="69"/>
      <c r="I804" s="69"/>
      <c r="J804" s="69"/>
      <c r="K804" s="69"/>
      <c r="L804" s="69"/>
      <c r="M804" s="69"/>
      <c r="N804" s="69"/>
      <c r="O804" s="146"/>
      <c r="P804" s="69"/>
      <c r="Q804" s="69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</row>
    <row r="805" spans="1:35" x14ac:dyDescent="0.2">
      <c r="A805" s="45"/>
      <c r="B805" s="45"/>
      <c r="C805" s="74"/>
      <c r="D805" s="75"/>
      <c r="E805" s="75"/>
      <c r="F805" s="69"/>
      <c r="G805" s="69"/>
      <c r="H805" s="69"/>
      <c r="I805" s="69"/>
      <c r="J805" s="69"/>
      <c r="K805" s="69"/>
      <c r="L805" s="69"/>
      <c r="M805" s="69"/>
      <c r="N805" s="69"/>
      <c r="O805" s="146"/>
      <c r="P805" s="69"/>
      <c r="Q805" s="69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</row>
    <row r="806" spans="1:35" x14ac:dyDescent="0.2">
      <c r="A806" s="45"/>
      <c r="B806" s="45"/>
      <c r="C806" s="74"/>
      <c r="D806" s="75"/>
      <c r="E806" s="75"/>
      <c r="F806" s="69"/>
      <c r="G806" s="69"/>
      <c r="H806" s="69"/>
      <c r="I806" s="69"/>
      <c r="J806" s="69"/>
      <c r="K806" s="69"/>
      <c r="L806" s="69"/>
      <c r="M806" s="69"/>
      <c r="N806" s="69"/>
      <c r="O806" s="146"/>
      <c r="P806" s="69"/>
      <c r="Q806" s="69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</row>
    <row r="807" spans="1:35" x14ac:dyDescent="0.2">
      <c r="A807" s="45"/>
      <c r="B807" s="45"/>
      <c r="C807" s="74"/>
      <c r="D807" s="75"/>
      <c r="E807" s="75"/>
      <c r="F807" s="69"/>
      <c r="G807" s="69"/>
      <c r="H807" s="69"/>
      <c r="I807" s="69"/>
      <c r="J807" s="69"/>
      <c r="K807" s="69"/>
      <c r="L807" s="69"/>
      <c r="M807" s="69"/>
      <c r="N807" s="69"/>
      <c r="O807" s="146"/>
      <c r="P807" s="69"/>
      <c r="Q807" s="69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</row>
    <row r="808" spans="1:35" x14ac:dyDescent="0.2">
      <c r="A808" s="45"/>
      <c r="B808" s="45"/>
      <c r="C808" s="74"/>
      <c r="D808" s="75"/>
      <c r="E808" s="75"/>
      <c r="F808" s="69"/>
      <c r="G808" s="69"/>
      <c r="H808" s="69"/>
      <c r="I808" s="69"/>
      <c r="J808" s="69"/>
      <c r="K808" s="69"/>
      <c r="L808" s="69"/>
      <c r="M808" s="69"/>
      <c r="N808" s="69"/>
      <c r="O808" s="146"/>
      <c r="P808" s="69"/>
      <c r="Q808" s="69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</row>
    <row r="809" spans="1:35" x14ac:dyDescent="0.2">
      <c r="A809" s="45"/>
      <c r="B809" s="45"/>
      <c r="C809" s="74"/>
      <c r="D809" s="75"/>
      <c r="E809" s="75"/>
      <c r="F809" s="69"/>
      <c r="G809" s="69"/>
      <c r="H809" s="69"/>
      <c r="I809" s="69"/>
      <c r="J809" s="69"/>
      <c r="K809" s="69"/>
      <c r="L809" s="69"/>
      <c r="M809" s="69"/>
      <c r="N809" s="69"/>
      <c r="O809" s="146"/>
      <c r="P809" s="69"/>
      <c r="Q809" s="69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</row>
    <row r="810" spans="1:35" x14ac:dyDescent="0.2">
      <c r="A810" s="45"/>
      <c r="B810" s="45"/>
      <c r="C810" s="74"/>
      <c r="D810" s="75"/>
      <c r="E810" s="75"/>
      <c r="F810" s="69"/>
      <c r="G810" s="69"/>
      <c r="H810" s="69"/>
      <c r="I810" s="69"/>
      <c r="J810" s="69"/>
      <c r="K810" s="69"/>
      <c r="L810" s="69"/>
      <c r="M810" s="69"/>
      <c r="N810" s="69"/>
      <c r="O810" s="146"/>
      <c r="P810" s="69"/>
      <c r="Q810" s="69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</row>
    <row r="811" spans="1:35" x14ac:dyDescent="0.2">
      <c r="A811" s="45"/>
      <c r="B811" s="45"/>
      <c r="C811" s="74"/>
      <c r="D811" s="75"/>
      <c r="E811" s="75"/>
      <c r="F811" s="69"/>
      <c r="G811" s="69"/>
      <c r="H811" s="69"/>
      <c r="I811" s="69"/>
      <c r="J811" s="69"/>
      <c r="K811" s="69"/>
      <c r="L811" s="69"/>
      <c r="M811" s="69"/>
      <c r="N811" s="69"/>
      <c r="O811" s="146"/>
      <c r="P811" s="69"/>
      <c r="Q811" s="69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</row>
    <row r="812" spans="1:35" x14ac:dyDescent="0.2">
      <c r="A812" s="45"/>
      <c r="B812" s="45"/>
      <c r="C812" s="74"/>
      <c r="D812" s="75"/>
      <c r="E812" s="75"/>
      <c r="F812" s="69"/>
      <c r="G812" s="69"/>
      <c r="H812" s="69"/>
      <c r="I812" s="69"/>
      <c r="J812" s="69"/>
      <c r="K812" s="69"/>
      <c r="L812" s="69"/>
      <c r="M812" s="69"/>
      <c r="N812" s="69"/>
      <c r="O812" s="146"/>
      <c r="P812" s="69"/>
      <c r="Q812" s="69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</row>
    <row r="813" spans="1:35" x14ac:dyDescent="0.2">
      <c r="A813" s="45"/>
      <c r="B813" s="45"/>
      <c r="C813" s="74"/>
      <c r="D813" s="75"/>
      <c r="E813" s="75"/>
      <c r="F813" s="69"/>
      <c r="G813" s="69"/>
      <c r="H813" s="69"/>
      <c r="I813" s="69"/>
      <c r="J813" s="69"/>
      <c r="K813" s="69"/>
      <c r="L813" s="69"/>
      <c r="M813" s="69"/>
      <c r="N813" s="69"/>
      <c r="O813" s="146"/>
      <c r="P813" s="69"/>
      <c r="Q813" s="69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</row>
    <row r="814" spans="1:35" x14ac:dyDescent="0.2">
      <c r="A814" s="45"/>
      <c r="B814" s="45"/>
      <c r="C814" s="74"/>
      <c r="D814" s="75"/>
      <c r="E814" s="75"/>
      <c r="F814" s="69"/>
      <c r="G814" s="69"/>
      <c r="H814" s="69"/>
      <c r="I814" s="69"/>
      <c r="J814" s="69"/>
      <c r="K814" s="69"/>
      <c r="L814" s="69"/>
      <c r="M814" s="69"/>
      <c r="N814" s="69"/>
      <c r="O814" s="146"/>
      <c r="P814" s="69"/>
      <c r="Q814" s="69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</row>
    <row r="815" spans="1:35" x14ac:dyDescent="0.2">
      <c r="A815" s="45"/>
      <c r="B815" s="45"/>
      <c r="C815" s="74"/>
      <c r="D815" s="75"/>
      <c r="E815" s="75"/>
      <c r="F815" s="69"/>
      <c r="G815" s="69"/>
      <c r="H815" s="69"/>
      <c r="I815" s="69"/>
      <c r="J815" s="69"/>
      <c r="K815" s="69"/>
      <c r="L815" s="69"/>
      <c r="M815" s="69"/>
      <c r="N815" s="69"/>
      <c r="O815" s="146"/>
      <c r="P815" s="69"/>
      <c r="Q815" s="69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</row>
    <row r="816" spans="1:35" x14ac:dyDescent="0.2">
      <c r="A816" s="45"/>
      <c r="B816" s="45"/>
      <c r="C816" s="74"/>
      <c r="D816" s="75"/>
      <c r="E816" s="75"/>
      <c r="F816" s="69"/>
      <c r="G816" s="69"/>
      <c r="H816" s="69"/>
      <c r="I816" s="69"/>
      <c r="J816" s="69"/>
      <c r="K816" s="69"/>
      <c r="L816" s="69"/>
      <c r="M816" s="69"/>
      <c r="N816" s="69"/>
      <c r="O816" s="146"/>
      <c r="P816" s="69"/>
      <c r="Q816" s="69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</row>
    <row r="817" spans="1:35" x14ac:dyDescent="0.2">
      <c r="A817" s="45"/>
      <c r="B817" s="45"/>
      <c r="C817" s="74"/>
      <c r="D817" s="75"/>
      <c r="E817" s="75"/>
      <c r="F817" s="69"/>
      <c r="G817" s="69"/>
      <c r="H817" s="69"/>
      <c r="I817" s="69"/>
      <c r="J817" s="69"/>
      <c r="K817" s="69"/>
      <c r="L817" s="69"/>
      <c r="M817" s="69"/>
      <c r="N817" s="69"/>
      <c r="O817" s="146"/>
      <c r="P817" s="69"/>
      <c r="Q817" s="69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</row>
    <row r="818" spans="1:35" x14ac:dyDescent="0.2">
      <c r="A818" s="45"/>
      <c r="B818" s="45"/>
      <c r="C818" s="74"/>
      <c r="D818" s="75"/>
      <c r="E818" s="75"/>
      <c r="F818" s="69"/>
      <c r="G818" s="69"/>
      <c r="H818" s="69"/>
      <c r="I818" s="69"/>
      <c r="J818" s="69"/>
      <c r="K818" s="69"/>
      <c r="L818" s="69"/>
      <c r="M818" s="69"/>
      <c r="N818" s="69"/>
      <c r="O818" s="146"/>
      <c r="P818" s="69"/>
      <c r="Q818" s="69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</row>
    <row r="819" spans="1:35" x14ac:dyDescent="0.2">
      <c r="A819" s="45"/>
      <c r="B819" s="45"/>
      <c r="C819" s="74"/>
      <c r="D819" s="75"/>
      <c r="E819" s="75"/>
      <c r="F819" s="69"/>
      <c r="G819" s="69"/>
      <c r="H819" s="69"/>
      <c r="I819" s="69"/>
      <c r="J819" s="69"/>
      <c r="K819" s="69"/>
      <c r="L819" s="69"/>
      <c r="M819" s="69"/>
      <c r="N819" s="69"/>
      <c r="O819" s="146"/>
      <c r="P819" s="69"/>
      <c r="Q819" s="69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</row>
    <row r="820" spans="1:35" x14ac:dyDescent="0.2">
      <c r="A820" s="45"/>
      <c r="B820" s="45"/>
      <c r="C820" s="74"/>
      <c r="D820" s="75"/>
      <c r="E820" s="75"/>
      <c r="F820" s="69"/>
      <c r="G820" s="69"/>
      <c r="H820" s="69"/>
      <c r="I820" s="69"/>
      <c r="J820" s="69"/>
      <c r="K820" s="69"/>
      <c r="L820" s="69"/>
      <c r="M820" s="69"/>
      <c r="N820" s="69"/>
      <c r="O820" s="146"/>
      <c r="P820" s="69"/>
      <c r="Q820" s="69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</row>
    <row r="821" spans="1:35" x14ac:dyDescent="0.2">
      <c r="A821" s="45"/>
      <c r="B821" s="45"/>
      <c r="C821" s="74"/>
      <c r="D821" s="75"/>
      <c r="E821" s="75"/>
      <c r="F821" s="69"/>
      <c r="G821" s="69"/>
      <c r="H821" s="69"/>
      <c r="I821" s="69"/>
      <c r="J821" s="69"/>
      <c r="K821" s="69"/>
      <c r="L821" s="69"/>
      <c r="M821" s="69"/>
      <c r="N821" s="69"/>
      <c r="O821" s="146"/>
      <c r="P821" s="69"/>
      <c r="Q821" s="69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</row>
    <row r="822" spans="1:35" x14ac:dyDescent="0.2">
      <c r="A822" s="45"/>
      <c r="B822" s="45"/>
      <c r="C822" s="74"/>
      <c r="D822" s="75"/>
      <c r="E822" s="75"/>
      <c r="F822" s="69"/>
      <c r="G822" s="69"/>
      <c r="H822" s="69"/>
      <c r="I822" s="69"/>
      <c r="J822" s="69"/>
      <c r="K822" s="69"/>
      <c r="L822" s="69"/>
      <c r="M822" s="69"/>
      <c r="N822" s="69"/>
      <c r="O822" s="146"/>
      <c r="P822" s="69"/>
      <c r="Q822" s="69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</row>
    <row r="823" spans="1:35" x14ac:dyDescent="0.2">
      <c r="A823" s="45"/>
      <c r="B823" s="45"/>
      <c r="C823" s="74"/>
      <c r="D823" s="75"/>
      <c r="E823" s="75"/>
      <c r="F823" s="69"/>
      <c r="G823" s="69"/>
      <c r="H823" s="69"/>
      <c r="I823" s="69"/>
      <c r="J823" s="69"/>
      <c r="K823" s="69"/>
      <c r="L823" s="69"/>
      <c r="M823" s="69"/>
      <c r="N823" s="69"/>
      <c r="O823" s="146"/>
      <c r="P823" s="69"/>
      <c r="Q823" s="69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</row>
    <row r="824" spans="1:35" x14ac:dyDescent="0.2">
      <c r="A824" s="45"/>
      <c r="B824" s="45"/>
      <c r="C824" s="74"/>
      <c r="D824" s="75"/>
      <c r="E824" s="75"/>
      <c r="F824" s="69"/>
      <c r="G824" s="69"/>
      <c r="H824" s="69"/>
      <c r="I824" s="69"/>
      <c r="J824" s="69"/>
      <c r="K824" s="69"/>
      <c r="L824" s="69"/>
      <c r="M824" s="69"/>
      <c r="N824" s="69"/>
      <c r="O824" s="146"/>
      <c r="P824" s="69"/>
      <c r="Q824" s="69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</row>
    <row r="825" spans="1:35" x14ac:dyDescent="0.2">
      <c r="A825" s="45"/>
      <c r="B825" s="45"/>
      <c r="C825" s="74"/>
      <c r="D825" s="75"/>
      <c r="E825" s="75"/>
      <c r="F825" s="69"/>
      <c r="G825" s="69"/>
      <c r="H825" s="69"/>
      <c r="I825" s="69"/>
      <c r="J825" s="69"/>
      <c r="K825" s="69"/>
      <c r="L825" s="69"/>
      <c r="M825" s="69"/>
      <c r="N825" s="69"/>
      <c r="O825" s="146"/>
      <c r="P825" s="69"/>
      <c r="Q825" s="69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</row>
    <row r="826" spans="1:35" x14ac:dyDescent="0.2">
      <c r="A826" s="45"/>
      <c r="B826" s="45"/>
      <c r="C826" s="74"/>
      <c r="D826" s="75"/>
      <c r="E826" s="75"/>
      <c r="F826" s="69"/>
      <c r="G826" s="69"/>
      <c r="H826" s="69"/>
      <c r="I826" s="69"/>
      <c r="J826" s="69"/>
      <c r="K826" s="69"/>
      <c r="L826" s="69"/>
      <c r="M826" s="69"/>
      <c r="N826" s="69"/>
      <c r="O826" s="146"/>
      <c r="P826" s="69"/>
      <c r="Q826" s="69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</row>
    <row r="827" spans="1:35" x14ac:dyDescent="0.2">
      <c r="A827" s="45"/>
      <c r="B827" s="45"/>
      <c r="C827" s="74"/>
      <c r="D827" s="75"/>
      <c r="E827" s="75"/>
      <c r="F827" s="69"/>
      <c r="G827" s="69"/>
      <c r="H827" s="69"/>
      <c r="I827" s="69"/>
      <c r="J827" s="69"/>
      <c r="K827" s="69"/>
      <c r="L827" s="69"/>
      <c r="M827" s="69"/>
      <c r="N827" s="69"/>
      <c r="O827" s="146"/>
      <c r="P827" s="69"/>
      <c r="Q827" s="69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</row>
    <row r="828" spans="1:35" x14ac:dyDescent="0.2">
      <c r="A828" s="45"/>
      <c r="B828" s="45"/>
      <c r="C828" s="74"/>
      <c r="D828" s="75"/>
      <c r="E828" s="75"/>
      <c r="F828" s="69"/>
      <c r="G828" s="69"/>
      <c r="H828" s="69"/>
      <c r="I828" s="69"/>
      <c r="J828" s="69"/>
      <c r="K828" s="69"/>
      <c r="L828" s="69"/>
      <c r="M828" s="69"/>
      <c r="N828" s="69"/>
      <c r="O828" s="146"/>
      <c r="P828" s="69"/>
      <c r="Q828" s="69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</row>
    <row r="829" spans="1:35" x14ac:dyDescent="0.2">
      <c r="A829" s="45"/>
      <c r="B829" s="45"/>
      <c r="C829" s="74"/>
      <c r="D829" s="75"/>
      <c r="E829" s="75"/>
      <c r="F829" s="69"/>
      <c r="G829" s="69"/>
      <c r="H829" s="69"/>
      <c r="I829" s="69"/>
      <c r="J829" s="69"/>
      <c r="K829" s="69"/>
      <c r="L829" s="69"/>
      <c r="M829" s="69"/>
      <c r="N829" s="69"/>
      <c r="O829" s="146"/>
      <c r="P829" s="69"/>
      <c r="Q829" s="69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</row>
    <row r="830" spans="1:35" x14ac:dyDescent="0.2">
      <c r="A830" s="45"/>
      <c r="B830" s="45"/>
      <c r="C830" s="74"/>
      <c r="D830" s="75"/>
      <c r="E830" s="75"/>
      <c r="F830" s="69"/>
      <c r="G830" s="69"/>
      <c r="H830" s="69"/>
      <c r="I830" s="69"/>
      <c r="J830" s="69"/>
      <c r="K830" s="69"/>
      <c r="L830" s="69"/>
      <c r="M830" s="69"/>
      <c r="N830" s="69"/>
      <c r="O830" s="146"/>
      <c r="P830" s="69"/>
      <c r="Q830" s="69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</row>
    <row r="831" spans="1:35" x14ac:dyDescent="0.2">
      <c r="A831" s="45"/>
      <c r="B831" s="45"/>
      <c r="C831" s="74"/>
      <c r="D831" s="75"/>
      <c r="E831" s="75"/>
      <c r="F831" s="69"/>
      <c r="G831" s="69"/>
      <c r="H831" s="69"/>
      <c r="I831" s="69"/>
      <c r="J831" s="69"/>
      <c r="K831" s="69"/>
      <c r="L831" s="69"/>
      <c r="M831" s="69"/>
      <c r="N831" s="69"/>
      <c r="O831" s="146"/>
      <c r="P831" s="69"/>
      <c r="Q831" s="69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</row>
    <row r="832" spans="1:35" x14ac:dyDescent="0.2">
      <c r="A832" s="45"/>
      <c r="B832" s="45"/>
      <c r="C832" s="74"/>
      <c r="D832" s="75"/>
      <c r="E832" s="75"/>
      <c r="F832" s="69"/>
      <c r="G832" s="69"/>
      <c r="H832" s="69"/>
      <c r="I832" s="69"/>
      <c r="J832" s="69"/>
      <c r="K832" s="69"/>
      <c r="L832" s="69"/>
      <c r="M832" s="69"/>
      <c r="N832" s="69"/>
      <c r="O832" s="146"/>
      <c r="P832" s="69"/>
      <c r="Q832" s="69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</row>
    <row r="833" spans="1:35" x14ac:dyDescent="0.2">
      <c r="A833" s="45"/>
      <c r="B833" s="45"/>
      <c r="C833" s="74"/>
      <c r="D833" s="75"/>
      <c r="E833" s="75"/>
      <c r="F833" s="69"/>
      <c r="G833" s="69"/>
      <c r="H833" s="69"/>
      <c r="I833" s="69"/>
      <c r="J833" s="69"/>
      <c r="K833" s="69"/>
      <c r="L833" s="69"/>
      <c r="M833" s="69"/>
      <c r="N833" s="69"/>
      <c r="O833" s="146"/>
      <c r="P833" s="69"/>
      <c r="Q833" s="69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</row>
    <row r="834" spans="1:35" x14ac:dyDescent="0.2">
      <c r="A834" s="45"/>
      <c r="B834" s="45"/>
      <c r="C834" s="74"/>
      <c r="D834" s="75"/>
      <c r="E834" s="75"/>
      <c r="F834" s="69"/>
      <c r="G834" s="69"/>
      <c r="H834" s="69"/>
      <c r="I834" s="69"/>
      <c r="J834" s="69"/>
      <c r="K834" s="69"/>
      <c r="L834" s="69"/>
      <c r="M834" s="69"/>
      <c r="N834" s="69"/>
      <c r="O834" s="146"/>
      <c r="P834" s="69"/>
      <c r="Q834" s="69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</row>
    <row r="835" spans="1:35" x14ac:dyDescent="0.2">
      <c r="A835" s="45"/>
      <c r="B835" s="45"/>
      <c r="C835" s="74"/>
      <c r="D835" s="75"/>
      <c r="E835" s="75"/>
      <c r="F835" s="69"/>
      <c r="G835" s="69"/>
      <c r="H835" s="69"/>
      <c r="I835" s="69"/>
      <c r="J835" s="69"/>
      <c r="K835" s="69"/>
      <c r="L835" s="69"/>
      <c r="M835" s="69"/>
      <c r="N835" s="69"/>
      <c r="O835" s="146"/>
      <c r="P835" s="69"/>
      <c r="Q835" s="69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</row>
    <row r="836" spans="1:35" x14ac:dyDescent="0.2">
      <c r="A836" s="45"/>
      <c r="B836" s="45"/>
      <c r="C836" s="74"/>
      <c r="D836" s="75"/>
      <c r="E836" s="75"/>
      <c r="F836" s="69"/>
      <c r="G836" s="69"/>
      <c r="H836" s="69"/>
      <c r="I836" s="69"/>
      <c r="J836" s="69"/>
      <c r="K836" s="69"/>
      <c r="L836" s="69"/>
      <c r="M836" s="69"/>
      <c r="N836" s="69"/>
      <c r="O836" s="146"/>
      <c r="P836" s="69"/>
      <c r="Q836" s="69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</row>
    <row r="837" spans="1:35" x14ac:dyDescent="0.2">
      <c r="A837" s="45"/>
      <c r="B837" s="45"/>
      <c r="C837" s="74"/>
      <c r="D837" s="75"/>
      <c r="E837" s="75"/>
      <c r="F837" s="69"/>
      <c r="G837" s="69"/>
      <c r="H837" s="69"/>
      <c r="I837" s="69"/>
      <c r="J837" s="69"/>
      <c r="K837" s="69"/>
      <c r="L837" s="69"/>
      <c r="M837" s="69"/>
      <c r="N837" s="69"/>
      <c r="O837" s="146"/>
      <c r="P837" s="69"/>
      <c r="Q837" s="69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</row>
    <row r="838" spans="1:35" x14ac:dyDescent="0.2">
      <c r="A838" s="45"/>
      <c r="B838" s="45"/>
      <c r="C838" s="74"/>
      <c r="D838" s="75"/>
      <c r="E838" s="75"/>
      <c r="F838" s="69"/>
      <c r="G838" s="69"/>
      <c r="H838" s="69"/>
      <c r="I838" s="69"/>
      <c r="J838" s="69"/>
      <c r="K838" s="69"/>
      <c r="L838" s="69"/>
      <c r="M838" s="69"/>
      <c r="N838" s="69"/>
      <c r="O838" s="146"/>
      <c r="P838" s="69"/>
      <c r="Q838" s="69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</row>
    <row r="839" spans="1:35" x14ac:dyDescent="0.2">
      <c r="A839" s="45"/>
      <c r="B839" s="45"/>
      <c r="C839" s="74"/>
      <c r="D839" s="75"/>
      <c r="E839" s="75"/>
      <c r="F839" s="69"/>
      <c r="G839" s="69"/>
      <c r="H839" s="69"/>
      <c r="I839" s="69"/>
      <c r="J839" s="69"/>
      <c r="K839" s="69"/>
      <c r="L839" s="69"/>
      <c r="M839" s="69"/>
      <c r="N839" s="69"/>
      <c r="O839" s="146"/>
      <c r="P839" s="69"/>
      <c r="Q839" s="69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</row>
    <row r="840" spans="1:35" x14ac:dyDescent="0.2">
      <c r="A840" s="45"/>
      <c r="B840" s="45"/>
      <c r="C840" s="74"/>
      <c r="D840" s="75"/>
      <c r="E840" s="75"/>
      <c r="F840" s="69"/>
      <c r="G840" s="69"/>
      <c r="H840" s="69"/>
      <c r="I840" s="69"/>
      <c r="J840" s="69"/>
      <c r="K840" s="69"/>
      <c r="L840" s="69"/>
      <c r="M840" s="69"/>
      <c r="N840" s="69"/>
      <c r="O840" s="146"/>
      <c r="P840" s="69"/>
      <c r="Q840" s="69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</row>
    <row r="841" spans="1:35" x14ac:dyDescent="0.2">
      <c r="A841" s="45"/>
      <c r="B841" s="45"/>
      <c r="C841" s="74"/>
      <c r="D841" s="75"/>
      <c r="E841" s="75"/>
      <c r="F841" s="69"/>
      <c r="G841" s="69"/>
      <c r="H841" s="69"/>
      <c r="I841" s="69"/>
      <c r="J841" s="69"/>
      <c r="K841" s="69"/>
      <c r="L841" s="69"/>
      <c r="M841" s="69"/>
      <c r="N841" s="69"/>
      <c r="O841" s="146"/>
      <c r="P841" s="69"/>
      <c r="Q841" s="69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</row>
    <row r="842" spans="1:35" x14ac:dyDescent="0.2">
      <c r="A842" s="45"/>
      <c r="B842" s="45"/>
      <c r="C842" s="74"/>
      <c r="D842" s="75"/>
      <c r="E842" s="75"/>
      <c r="F842" s="69"/>
      <c r="G842" s="69"/>
      <c r="H842" s="69"/>
      <c r="I842" s="69"/>
      <c r="J842" s="69"/>
      <c r="K842" s="69"/>
      <c r="L842" s="69"/>
      <c r="M842" s="69"/>
      <c r="N842" s="69"/>
      <c r="O842" s="146"/>
      <c r="P842" s="69"/>
      <c r="Q842" s="69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</row>
    <row r="843" spans="1:35" x14ac:dyDescent="0.2">
      <c r="A843" s="45"/>
      <c r="B843" s="45"/>
      <c r="C843" s="74"/>
      <c r="D843" s="75"/>
      <c r="E843" s="75"/>
      <c r="F843" s="69"/>
      <c r="G843" s="69"/>
      <c r="H843" s="69"/>
      <c r="I843" s="69"/>
      <c r="J843" s="69"/>
      <c r="K843" s="69"/>
      <c r="L843" s="69"/>
      <c r="M843" s="69"/>
      <c r="N843" s="69"/>
      <c r="O843" s="146"/>
      <c r="P843" s="69"/>
      <c r="Q843" s="69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</row>
    <row r="844" spans="1:35" x14ac:dyDescent="0.2">
      <c r="A844" s="45"/>
      <c r="B844" s="45"/>
      <c r="C844" s="74"/>
      <c r="D844" s="75"/>
      <c r="E844" s="75"/>
      <c r="F844" s="69"/>
      <c r="G844" s="69"/>
      <c r="H844" s="69"/>
      <c r="I844" s="69"/>
      <c r="J844" s="69"/>
      <c r="K844" s="69"/>
      <c r="L844" s="69"/>
      <c r="M844" s="69"/>
      <c r="N844" s="69"/>
      <c r="O844" s="146"/>
      <c r="P844" s="69"/>
      <c r="Q844" s="69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</row>
    <row r="845" spans="1:35" x14ac:dyDescent="0.2">
      <c r="A845" s="45"/>
      <c r="B845" s="45"/>
      <c r="C845" s="74"/>
      <c r="D845" s="75"/>
      <c r="E845" s="75"/>
      <c r="F845" s="69"/>
      <c r="G845" s="69"/>
      <c r="H845" s="69"/>
      <c r="I845" s="69"/>
      <c r="J845" s="69"/>
      <c r="K845" s="69"/>
      <c r="L845" s="69"/>
      <c r="M845" s="69"/>
      <c r="N845" s="69"/>
      <c r="O845" s="146"/>
      <c r="P845" s="69"/>
      <c r="Q845" s="69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</row>
    <row r="846" spans="1:35" x14ac:dyDescent="0.2">
      <c r="A846" s="45"/>
      <c r="B846" s="45"/>
      <c r="C846" s="74"/>
      <c r="D846" s="75"/>
      <c r="E846" s="75"/>
      <c r="F846" s="69"/>
      <c r="G846" s="69"/>
      <c r="H846" s="69"/>
      <c r="I846" s="69"/>
      <c r="J846" s="69"/>
      <c r="K846" s="69"/>
      <c r="L846" s="69"/>
      <c r="M846" s="69"/>
      <c r="N846" s="69"/>
      <c r="O846" s="146"/>
      <c r="P846" s="69"/>
      <c r="Q846" s="69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</row>
    <row r="847" spans="1:35" x14ac:dyDescent="0.2">
      <c r="A847" s="45"/>
      <c r="B847" s="45"/>
      <c r="C847" s="74"/>
      <c r="D847" s="75"/>
      <c r="E847" s="75"/>
      <c r="F847" s="69"/>
      <c r="G847" s="69"/>
      <c r="H847" s="69"/>
      <c r="I847" s="69"/>
      <c r="J847" s="69"/>
      <c r="K847" s="69"/>
      <c r="L847" s="69"/>
      <c r="M847" s="69"/>
      <c r="N847" s="69"/>
      <c r="O847" s="146"/>
      <c r="P847" s="69"/>
      <c r="Q847" s="69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</row>
    <row r="848" spans="1:35" x14ac:dyDescent="0.2">
      <c r="A848" s="45"/>
      <c r="B848" s="45"/>
      <c r="C848" s="74"/>
      <c r="D848" s="75"/>
      <c r="E848" s="75"/>
      <c r="F848" s="69"/>
      <c r="G848" s="69"/>
      <c r="H848" s="69"/>
      <c r="I848" s="69"/>
      <c r="J848" s="69"/>
      <c r="K848" s="69"/>
      <c r="L848" s="69"/>
      <c r="M848" s="69"/>
      <c r="N848" s="69"/>
      <c r="O848" s="146"/>
      <c r="P848" s="69"/>
      <c r="Q848" s="69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</row>
    <row r="849" spans="1:35" x14ac:dyDescent="0.2">
      <c r="A849" s="45"/>
      <c r="B849" s="45"/>
      <c r="C849" s="74"/>
      <c r="D849" s="75"/>
      <c r="E849" s="75"/>
      <c r="F849" s="69"/>
      <c r="G849" s="69"/>
      <c r="H849" s="69"/>
      <c r="I849" s="69"/>
      <c r="J849" s="69"/>
      <c r="K849" s="69"/>
      <c r="L849" s="69"/>
      <c r="M849" s="69"/>
      <c r="N849" s="69"/>
      <c r="O849" s="146"/>
      <c r="P849" s="69"/>
      <c r="Q849" s="69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</row>
    <row r="850" spans="1:35" x14ac:dyDescent="0.2">
      <c r="A850" s="45"/>
      <c r="B850" s="45"/>
      <c r="C850" s="74"/>
      <c r="D850" s="75"/>
      <c r="E850" s="75"/>
      <c r="F850" s="69"/>
      <c r="G850" s="69"/>
      <c r="H850" s="69"/>
      <c r="I850" s="69"/>
      <c r="J850" s="69"/>
      <c r="K850" s="69"/>
      <c r="L850" s="69"/>
      <c r="M850" s="69"/>
      <c r="N850" s="69"/>
      <c r="O850" s="146"/>
      <c r="P850" s="69"/>
      <c r="Q850" s="69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</row>
    <row r="851" spans="1:35" x14ac:dyDescent="0.2">
      <c r="A851" s="45"/>
      <c r="B851" s="45"/>
      <c r="C851" s="74"/>
      <c r="D851" s="75"/>
      <c r="E851" s="75"/>
      <c r="F851" s="69"/>
      <c r="G851" s="69"/>
      <c r="H851" s="69"/>
      <c r="I851" s="69"/>
      <c r="J851" s="69"/>
      <c r="K851" s="69"/>
      <c r="L851" s="69"/>
      <c r="M851" s="69"/>
      <c r="N851" s="69"/>
      <c r="O851" s="146"/>
      <c r="P851" s="69"/>
      <c r="Q851" s="69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</row>
    <row r="852" spans="1:35" x14ac:dyDescent="0.2">
      <c r="A852" s="45"/>
      <c r="B852" s="45"/>
      <c r="C852" s="74"/>
      <c r="D852" s="75"/>
      <c r="E852" s="75"/>
      <c r="F852" s="69"/>
      <c r="G852" s="69"/>
      <c r="H852" s="69"/>
      <c r="I852" s="69"/>
      <c r="J852" s="69"/>
      <c r="K852" s="69"/>
      <c r="L852" s="69"/>
      <c r="M852" s="69"/>
      <c r="N852" s="69"/>
      <c r="O852" s="146"/>
      <c r="P852" s="69"/>
      <c r="Q852" s="69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</row>
    <row r="853" spans="1:35" x14ac:dyDescent="0.2">
      <c r="A853" s="45"/>
      <c r="B853" s="45"/>
      <c r="C853" s="74"/>
      <c r="D853" s="75"/>
      <c r="E853" s="75"/>
      <c r="F853" s="69"/>
      <c r="G853" s="69"/>
      <c r="H853" s="69"/>
      <c r="I853" s="69"/>
      <c r="J853" s="69"/>
      <c r="K853" s="69"/>
      <c r="L853" s="69"/>
      <c r="M853" s="69"/>
      <c r="N853" s="69"/>
      <c r="O853" s="146"/>
      <c r="P853" s="69"/>
      <c r="Q853" s="69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</row>
    <row r="854" spans="1:35" x14ac:dyDescent="0.2">
      <c r="A854" s="45"/>
      <c r="B854" s="45"/>
      <c r="C854" s="74"/>
      <c r="D854" s="75"/>
      <c r="E854" s="75"/>
      <c r="F854" s="69"/>
      <c r="G854" s="69"/>
      <c r="H854" s="69"/>
      <c r="I854" s="69"/>
      <c r="J854" s="69"/>
      <c r="K854" s="69"/>
      <c r="L854" s="69"/>
      <c r="M854" s="69"/>
      <c r="N854" s="69"/>
      <c r="O854" s="146"/>
      <c r="P854" s="69"/>
      <c r="Q854" s="69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</row>
    <row r="855" spans="1:35" x14ac:dyDescent="0.2">
      <c r="A855" s="45"/>
      <c r="B855" s="45"/>
      <c r="C855" s="74"/>
      <c r="D855" s="75"/>
      <c r="E855" s="75"/>
      <c r="F855" s="69"/>
      <c r="G855" s="69"/>
      <c r="H855" s="69"/>
      <c r="I855" s="69"/>
      <c r="J855" s="69"/>
      <c r="K855" s="69"/>
      <c r="L855" s="69"/>
      <c r="M855" s="69"/>
      <c r="N855" s="69"/>
      <c r="O855" s="146"/>
      <c r="P855" s="69"/>
      <c r="Q855" s="69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</row>
    <row r="856" spans="1:35" x14ac:dyDescent="0.2">
      <c r="A856" s="45"/>
      <c r="B856" s="45"/>
      <c r="C856" s="74"/>
      <c r="D856" s="75"/>
      <c r="E856" s="75"/>
      <c r="F856" s="69"/>
      <c r="G856" s="69"/>
      <c r="H856" s="69"/>
      <c r="I856" s="69"/>
      <c r="J856" s="69"/>
      <c r="K856" s="69"/>
      <c r="L856" s="69"/>
      <c r="M856" s="69"/>
      <c r="N856" s="69"/>
      <c r="O856" s="146"/>
      <c r="P856" s="69"/>
      <c r="Q856" s="69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</row>
    <row r="857" spans="1:35" x14ac:dyDescent="0.2">
      <c r="A857" s="45"/>
      <c r="B857" s="45"/>
      <c r="C857" s="74"/>
      <c r="D857" s="75"/>
      <c r="E857" s="75"/>
      <c r="F857" s="69"/>
      <c r="G857" s="69"/>
      <c r="H857" s="69"/>
      <c r="I857" s="69"/>
      <c r="J857" s="69"/>
      <c r="K857" s="69"/>
      <c r="L857" s="69"/>
      <c r="M857" s="69"/>
      <c r="N857" s="69"/>
      <c r="O857" s="146"/>
      <c r="P857" s="69"/>
      <c r="Q857" s="69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</row>
    <row r="858" spans="1:35" x14ac:dyDescent="0.2">
      <c r="A858" s="45"/>
      <c r="B858" s="45"/>
      <c r="C858" s="74"/>
      <c r="D858" s="75"/>
      <c r="E858" s="75"/>
      <c r="F858" s="69"/>
      <c r="G858" s="69"/>
      <c r="H858" s="69"/>
      <c r="I858" s="69"/>
      <c r="J858" s="69"/>
      <c r="K858" s="69"/>
      <c r="L858" s="69"/>
      <c r="M858" s="69"/>
      <c r="N858" s="69"/>
      <c r="O858" s="146"/>
      <c r="P858" s="69"/>
      <c r="Q858" s="69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</row>
    <row r="859" spans="1:35" x14ac:dyDescent="0.2">
      <c r="A859" s="45"/>
      <c r="B859" s="45"/>
      <c r="C859" s="74"/>
      <c r="D859" s="75"/>
      <c r="E859" s="75"/>
      <c r="F859" s="69"/>
      <c r="G859" s="69"/>
      <c r="H859" s="69"/>
      <c r="I859" s="69"/>
      <c r="J859" s="69"/>
      <c r="K859" s="69"/>
      <c r="L859" s="69"/>
      <c r="M859" s="69"/>
      <c r="N859" s="69"/>
      <c r="O859" s="146"/>
      <c r="P859" s="69"/>
      <c r="Q859" s="69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</row>
    <row r="860" spans="1:35" x14ac:dyDescent="0.2">
      <c r="A860" s="45"/>
      <c r="B860" s="45"/>
      <c r="C860" s="74"/>
      <c r="D860" s="75"/>
      <c r="E860" s="75"/>
      <c r="F860" s="69"/>
      <c r="G860" s="69"/>
      <c r="H860" s="69"/>
      <c r="I860" s="69"/>
      <c r="J860" s="69"/>
      <c r="K860" s="69"/>
      <c r="L860" s="69"/>
      <c r="M860" s="69"/>
      <c r="N860" s="69"/>
      <c r="O860" s="146"/>
      <c r="P860" s="69"/>
      <c r="Q860" s="69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</row>
    <row r="861" spans="1:35" x14ac:dyDescent="0.2">
      <c r="A861" s="45"/>
      <c r="B861" s="45"/>
      <c r="C861" s="74"/>
      <c r="D861" s="75"/>
      <c r="E861" s="75"/>
      <c r="F861" s="69"/>
      <c r="G861" s="69"/>
      <c r="H861" s="69"/>
      <c r="I861" s="69"/>
      <c r="J861" s="69"/>
      <c r="K861" s="69"/>
      <c r="L861" s="69"/>
      <c r="M861" s="69"/>
      <c r="N861" s="69"/>
      <c r="O861" s="146"/>
      <c r="P861" s="69"/>
      <c r="Q861" s="69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</row>
    <row r="862" spans="1:35" x14ac:dyDescent="0.2">
      <c r="A862" s="45"/>
      <c r="B862" s="45"/>
      <c r="C862" s="74"/>
      <c r="D862" s="75"/>
      <c r="E862" s="75"/>
      <c r="F862" s="69"/>
      <c r="G862" s="69"/>
      <c r="H862" s="69"/>
      <c r="I862" s="69"/>
      <c r="J862" s="69"/>
      <c r="K862" s="69"/>
      <c r="L862" s="69"/>
      <c r="M862" s="69"/>
      <c r="N862" s="69"/>
      <c r="O862" s="146"/>
      <c r="P862" s="69"/>
      <c r="Q862" s="69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</row>
    <row r="863" spans="1:35" x14ac:dyDescent="0.2">
      <c r="A863" s="45"/>
      <c r="B863" s="45"/>
      <c r="C863" s="74"/>
      <c r="D863" s="75"/>
      <c r="E863" s="75"/>
      <c r="F863" s="69"/>
      <c r="G863" s="69"/>
      <c r="H863" s="69"/>
      <c r="I863" s="69"/>
      <c r="J863" s="69"/>
      <c r="K863" s="69"/>
      <c r="L863" s="69"/>
      <c r="M863" s="69"/>
      <c r="N863" s="69"/>
      <c r="O863" s="146"/>
      <c r="P863" s="69"/>
      <c r="Q863" s="69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</row>
    <row r="864" spans="1:35" x14ac:dyDescent="0.2">
      <c r="A864" s="45"/>
      <c r="B864" s="45"/>
      <c r="C864" s="74"/>
      <c r="D864" s="75"/>
      <c r="E864" s="75"/>
      <c r="F864" s="69"/>
      <c r="G864" s="69"/>
      <c r="H864" s="69"/>
      <c r="I864" s="69"/>
      <c r="J864" s="69"/>
      <c r="K864" s="69"/>
      <c r="L864" s="69"/>
      <c r="M864" s="69"/>
      <c r="N864" s="69"/>
      <c r="O864" s="146"/>
      <c r="P864" s="69"/>
      <c r="Q864" s="69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</row>
    <row r="865" spans="1:35" x14ac:dyDescent="0.2">
      <c r="A865" s="45"/>
      <c r="B865" s="45"/>
      <c r="C865" s="74"/>
      <c r="D865" s="75"/>
      <c r="E865" s="75"/>
      <c r="F865" s="69"/>
      <c r="G865" s="69"/>
      <c r="H865" s="69"/>
      <c r="I865" s="69"/>
      <c r="J865" s="69"/>
      <c r="K865" s="69"/>
      <c r="L865" s="69"/>
      <c r="M865" s="69"/>
      <c r="N865" s="69"/>
      <c r="O865" s="146"/>
      <c r="P865" s="69"/>
      <c r="Q865" s="69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</row>
    <row r="866" spans="1:35" x14ac:dyDescent="0.2">
      <c r="A866" s="45"/>
      <c r="B866" s="45"/>
      <c r="C866" s="74"/>
      <c r="D866" s="75"/>
      <c r="E866" s="75"/>
      <c r="F866" s="69"/>
      <c r="G866" s="69"/>
      <c r="H866" s="69"/>
      <c r="I866" s="69"/>
      <c r="J866" s="69"/>
      <c r="K866" s="69"/>
      <c r="L866" s="69"/>
      <c r="M866" s="69"/>
      <c r="N866" s="69"/>
      <c r="O866" s="146"/>
      <c r="P866" s="69"/>
      <c r="Q866" s="69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</row>
    <row r="867" spans="1:35" x14ac:dyDescent="0.2">
      <c r="A867" s="45"/>
      <c r="B867" s="45"/>
      <c r="C867" s="74"/>
      <c r="D867" s="75"/>
      <c r="E867" s="75"/>
      <c r="F867" s="69"/>
      <c r="G867" s="69"/>
      <c r="H867" s="69"/>
      <c r="I867" s="69"/>
      <c r="J867" s="69"/>
      <c r="K867" s="69"/>
      <c r="L867" s="69"/>
      <c r="M867" s="69"/>
      <c r="N867" s="69"/>
      <c r="O867" s="146"/>
      <c r="P867" s="69"/>
      <c r="Q867" s="69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</row>
    <row r="868" spans="1:35" x14ac:dyDescent="0.2">
      <c r="A868" s="45"/>
      <c r="B868" s="45"/>
      <c r="C868" s="74"/>
      <c r="D868" s="75"/>
      <c r="E868" s="75"/>
      <c r="F868" s="69"/>
      <c r="G868" s="69"/>
      <c r="H868" s="69"/>
      <c r="I868" s="69"/>
      <c r="J868" s="69"/>
      <c r="K868" s="69"/>
      <c r="L868" s="69"/>
      <c r="M868" s="69"/>
      <c r="N868" s="69"/>
      <c r="O868" s="146"/>
      <c r="P868" s="69"/>
      <c r="Q868" s="69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</row>
    <row r="869" spans="1:35" x14ac:dyDescent="0.2">
      <c r="A869" s="45"/>
      <c r="B869" s="45"/>
      <c r="C869" s="74"/>
      <c r="D869" s="75"/>
      <c r="E869" s="75"/>
      <c r="F869" s="69"/>
      <c r="G869" s="69"/>
      <c r="H869" s="69"/>
      <c r="I869" s="69"/>
      <c r="J869" s="69"/>
      <c r="K869" s="69"/>
      <c r="L869" s="69"/>
      <c r="M869" s="69"/>
      <c r="N869" s="69"/>
      <c r="O869" s="146"/>
      <c r="P869" s="69"/>
      <c r="Q869" s="69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</row>
    <row r="870" spans="1:35" x14ac:dyDescent="0.2">
      <c r="A870" s="45"/>
      <c r="B870" s="45"/>
      <c r="C870" s="74"/>
      <c r="D870" s="75"/>
      <c r="E870" s="75"/>
      <c r="F870" s="69"/>
      <c r="G870" s="69"/>
      <c r="H870" s="69"/>
      <c r="I870" s="69"/>
      <c r="J870" s="69"/>
      <c r="K870" s="69"/>
      <c r="L870" s="69"/>
      <c r="M870" s="69"/>
      <c r="N870" s="69"/>
      <c r="O870" s="146"/>
      <c r="P870" s="69"/>
      <c r="Q870" s="69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</row>
    <row r="871" spans="1:35" x14ac:dyDescent="0.2">
      <c r="A871" s="45"/>
      <c r="B871" s="45"/>
      <c r="C871" s="74"/>
      <c r="D871" s="75"/>
      <c r="E871" s="75"/>
      <c r="F871" s="69"/>
      <c r="G871" s="69"/>
      <c r="H871" s="69"/>
      <c r="I871" s="69"/>
      <c r="J871" s="69"/>
      <c r="K871" s="69"/>
      <c r="L871" s="69"/>
      <c r="M871" s="69"/>
      <c r="N871" s="69"/>
      <c r="O871" s="146"/>
      <c r="P871" s="69"/>
      <c r="Q871" s="69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</row>
    <row r="872" spans="1:35" x14ac:dyDescent="0.2">
      <c r="A872" s="45"/>
      <c r="B872" s="45"/>
      <c r="C872" s="74"/>
      <c r="D872" s="75"/>
      <c r="E872" s="75"/>
      <c r="F872" s="69"/>
      <c r="G872" s="69"/>
      <c r="H872" s="69"/>
      <c r="I872" s="69"/>
      <c r="J872" s="69"/>
      <c r="K872" s="69"/>
      <c r="L872" s="69"/>
      <c r="M872" s="69"/>
      <c r="N872" s="69"/>
      <c r="O872" s="146"/>
      <c r="P872" s="69"/>
      <c r="Q872" s="69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</row>
    <row r="873" spans="1:35" x14ac:dyDescent="0.2">
      <c r="A873" s="45"/>
      <c r="B873" s="45"/>
      <c r="C873" s="74"/>
      <c r="D873" s="75"/>
      <c r="E873" s="75"/>
      <c r="F873" s="69"/>
      <c r="G873" s="69"/>
      <c r="H873" s="69"/>
      <c r="I873" s="69"/>
      <c r="J873" s="69"/>
      <c r="K873" s="69"/>
      <c r="L873" s="69"/>
      <c r="M873" s="69"/>
      <c r="N873" s="69"/>
      <c r="O873" s="146"/>
      <c r="P873" s="69"/>
      <c r="Q873" s="69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</row>
    <row r="874" spans="1:35" x14ac:dyDescent="0.2">
      <c r="A874" s="45"/>
      <c r="B874" s="45"/>
      <c r="C874" s="74"/>
      <c r="D874" s="75"/>
      <c r="E874" s="75"/>
      <c r="F874" s="69"/>
      <c r="G874" s="69"/>
      <c r="H874" s="69"/>
      <c r="I874" s="69"/>
      <c r="J874" s="69"/>
      <c r="K874" s="69"/>
      <c r="L874" s="69"/>
      <c r="M874" s="69"/>
      <c r="N874" s="69"/>
      <c r="O874" s="146"/>
      <c r="P874" s="69"/>
      <c r="Q874" s="69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</row>
    <row r="875" spans="1:35" x14ac:dyDescent="0.2">
      <c r="A875" s="45"/>
      <c r="B875" s="45"/>
      <c r="C875" s="74"/>
      <c r="D875" s="75"/>
      <c r="E875" s="75"/>
      <c r="F875" s="69"/>
      <c r="G875" s="69"/>
      <c r="H875" s="69"/>
      <c r="I875" s="69"/>
      <c r="J875" s="69"/>
      <c r="K875" s="69"/>
      <c r="L875" s="69"/>
      <c r="M875" s="69"/>
      <c r="N875" s="69"/>
      <c r="O875" s="146"/>
      <c r="P875" s="69"/>
      <c r="Q875" s="69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</row>
    <row r="876" spans="1:35" x14ac:dyDescent="0.2">
      <c r="A876" s="45"/>
      <c r="B876" s="45"/>
      <c r="C876" s="74"/>
      <c r="D876" s="75"/>
      <c r="E876" s="75"/>
      <c r="F876" s="69"/>
      <c r="G876" s="69"/>
      <c r="H876" s="69"/>
      <c r="I876" s="69"/>
      <c r="J876" s="69"/>
      <c r="K876" s="69"/>
      <c r="L876" s="69"/>
      <c r="M876" s="69"/>
      <c r="N876" s="69"/>
      <c r="O876" s="146"/>
      <c r="P876" s="69"/>
      <c r="Q876" s="69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</row>
    <row r="877" spans="1:35" x14ac:dyDescent="0.2">
      <c r="A877" s="45"/>
      <c r="B877" s="45"/>
      <c r="C877" s="74"/>
      <c r="D877" s="75"/>
      <c r="E877" s="75"/>
      <c r="F877" s="69"/>
      <c r="G877" s="69"/>
      <c r="H877" s="69"/>
      <c r="I877" s="69"/>
      <c r="J877" s="69"/>
      <c r="K877" s="69"/>
      <c r="L877" s="69"/>
      <c r="M877" s="69"/>
      <c r="N877" s="69"/>
      <c r="O877" s="146"/>
      <c r="P877" s="69"/>
      <c r="Q877" s="69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</row>
    <row r="878" spans="1:35" x14ac:dyDescent="0.2">
      <c r="A878" s="45"/>
      <c r="B878" s="45"/>
      <c r="C878" s="74"/>
      <c r="D878" s="75"/>
      <c r="E878" s="75"/>
      <c r="F878" s="69"/>
      <c r="G878" s="69"/>
      <c r="H878" s="69"/>
      <c r="I878" s="69"/>
      <c r="J878" s="69"/>
      <c r="K878" s="69"/>
      <c r="L878" s="69"/>
      <c r="M878" s="69"/>
      <c r="N878" s="69"/>
      <c r="O878" s="146"/>
      <c r="P878" s="69"/>
      <c r="Q878" s="69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</row>
    <row r="879" spans="1:35" x14ac:dyDescent="0.2">
      <c r="A879" s="45"/>
      <c r="B879" s="45"/>
      <c r="C879" s="74"/>
      <c r="D879" s="75"/>
      <c r="E879" s="75"/>
      <c r="F879" s="69"/>
      <c r="G879" s="69"/>
      <c r="H879" s="69"/>
      <c r="I879" s="69"/>
      <c r="J879" s="69"/>
      <c r="K879" s="69"/>
      <c r="L879" s="69"/>
      <c r="M879" s="69"/>
      <c r="N879" s="69"/>
      <c r="O879" s="146"/>
      <c r="P879" s="69"/>
      <c r="Q879" s="69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</row>
    <row r="880" spans="1:35" x14ac:dyDescent="0.2">
      <c r="A880" s="45"/>
      <c r="B880" s="45"/>
      <c r="C880" s="74"/>
      <c r="D880" s="75"/>
      <c r="E880" s="75"/>
      <c r="F880" s="69"/>
      <c r="G880" s="69"/>
      <c r="H880" s="69"/>
      <c r="I880" s="69"/>
      <c r="J880" s="69"/>
      <c r="K880" s="69"/>
      <c r="L880" s="69"/>
      <c r="M880" s="69"/>
      <c r="N880" s="69"/>
      <c r="O880" s="146"/>
      <c r="P880" s="69"/>
      <c r="Q880" s="69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</row>
    <row r="881" spans="1:35" x14ac:dyDescent="0.2">
      <c r="A881" s="45"/>
      <c r="B881" s="45"/>
      <c r="C881" s="74"/>
      <c r="D881" s="75"/>
      <c r="E881" s="75"/>
      <c r="F881" s="69"/>
      <c r="G881" s="69"/>
      <c r="H881" s="69"/>
      <c r="I881" s="69"/>
      <c r="J881" s="69"/>
      <c r="K881" s="69"/>
      <c r="L881" s="69"/>
      <c r="M881" s="69"/>
      <c r="N881" s="69"/>
      <c r="O881" s="146"/>
      <c r="P881" s="69"/>
      <c r="Q881" s="69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</row>
    <row r="882" spans="1:35" x14ac:dyDescent="0.2">
      <c r="A882" s="45"/>
      <c r="B882" s="45"/>
      <c r="C882" s="74"/>
      <c r="D882" s="75"/>
      <c r="E882" s="75"/>
      <c r="F882" s="69"/>
      <c r="G882" s="69"/>
      <c r="H882" s="69"/>
      <c r="I882" s="69"/>
      <c r="J882" s="69"/>
      <c r="K882" s="69"/>
      <c r="L882" s="69"/>
      <c r="M882" s="69"/>
      <c r="N882" s="69"/>
      <c r="O882" s="146"/>
      <c r="P882" s="69"/>
      <c r="Q882" s="69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</row>
    <row r="883" spans="1:35" x14ac:dyDescent="0.2">
      <c r="A883" s="45"/>
      <c r="B883" s="45"/>
      <c r="C883" s="74"/>
      <c r="D883" s="75"/>
      <c r="E883" s="75"/>
      <c r="F883" s="69"/>
      <c r="G883" s="69"/>
      <c r="H883" s="69"/>
      <c r="I883" s="69"/>
      <c r="J883" s="69"/>
      <c r="K883" s="69"/>
      <c r="L883" s="69"/>
      <c r="M883" s="69"/>
      <c r="N883" s="69"/>
      <c r="O883" s="146"/>
      <c r="P883" s="69"/>
      <c r="Q883" s="69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</row>
    <row r="884" spans="1:35" x14ac:dyDescent="0.2">
      <c r="A884" s="45"/>
      <c r="B884" s="45"/>
      <c r="C884" s="74"/>
      <c r="D884" s="75"/>
      <c r="E884" s="75"/>
      <c r="F884" s="69"/>
      <c r="G884" s="69"/>
      <c r="H884" s="69"/>
      <c r="I884" s="69"/>
      <c r="J884" s="69"/>
      <c r="K884" s="69"/>
      <c r="L884" s="69"/>
      <c r="M884" s="69"/>
      <c r="N884" s="69"/>
      <c r="O884" s="146"/>
      <c r="P884" s="69"/>
      <c r="Q884" s="69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</row>
    <row r="885" spans="1:35" x14ac:dyDescent="0.2">
      <c r="A885" s="45"/>
      <c r="B885" s="45"/>
      <c r="C885" s="74"/>
      <c r="D885" s="75"/>
      <c r="E885" s="75"/>
      <c r="F885" s="69"/>
      <c r="G885" s="69"/>
      <c r="H885" s="69"/>
      <c r="I885" s="69"/>
      <c r="J885" s="69"/>
      <c r="K885" s="69"/>
      <c r="L885" s="69"/>
      <c r="M885" s="69"/>
      <c r="N885" s="69"/>
      <c r="O885" s="146"/>
      <c r="P885" s="69"/>
      <c r="Q885" s="69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</row>
    <row r="886" spans="1:35" x14ac:dyDescent="0.2">
      <c r="A886" s="45"/>
      <c r="B886" s="45"/>
      <c r="C886" s="74"/>
      <c r="D886" s="75"/>
      <c r="E886" s="75"/>
      <c r="F886" s="69"/>
      <c r="G886" s="69"/>
      <c r="H886" s="69"/>
      <c r="I886" s="69"/>
      <c r="J886" s="69"/>
      <c r="K886" s="69"/>
      <c r="L886" s="69"/>
      <c r="M886" s="69"/>
      <c r="N886" s="69"/>
      <c r="O886" s="146"/>
      <c r="P886" s="69"/>
      <c r="Q886" s="69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</row>
    <row r="887" spans="1:35" x14ac:dyDescent="0.2">
      <c r="A887" s="45"/>
      <c r="B887" s="45"/>
      <c r="C887" s="74"/>
      <c r="D887" s="75"/>
      <c r="E887" s="75"/>
      <c r="F887" s="69"/>
      <c r="G887" s="69"/>
      <c r="H887" s="69"/>
      <c r="I887" s="69"/>
      <c r="J887" s="69"/>
      <c r="K887" s="69"/>
      <c r="L887" s="69"/>
      <c r="M887" s="69"/>
      <c r="N887" s="69"/>
      <c r="O887" s="146"/>
      <c r="P887" s="69"/>
      <c r="Q887" s="69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</row>
    <row r="888" spans="1:35" x14ac:dyDescent="0.2">
      <c r="A888" s="45"/>
      <c r="B888" s="45"/>
      <c r="C888" s="74"/>
      <c r="D888" s="75"/>
      <c r="E888" s="75"/>
      <c r="F888" s="69"/>
      <c r="G888" s="69"/>
      <c r="H888" s="69"/>
      <c r="I888" s="69"/>
      <c r="J888" s="69"/>
      <c r="K888" s="69"/>
      <c r="L888" s="69"/>
      <c r="M888" s="69"/>
      <c r="N888" s="69"/>
      <c r="O888" s="146"/>
      <c r="P888" s="69"/>
      <c r="Q888" s="69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</row>
    <row r="889" spans="1:35" x14ac:dyDescent="0.2">
      <c r="A889" s="45"/>
      <c r="B889" s="45"/>
      <c r="C889" s="74"/>
      <c r="D889" s="75"/>
      <c r="E889" s="75"/>
      <c r="F889" s="69"/>
      <c r="G889" s="69"/>
      <c r="H889" s="69"/>
      <c r="I889" s="69"/>
      <c r="J889" s="69"/>
      <c r="K889" s="69"/>
      <c r="L889" s="69"/>
      <c r="M889" s="69"/>
      <c r="N889" s="69"/>
      <c r="O889" s="146"/>
      <c r="P889" s="69"/>
      <c r="Q889" s="69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</row>
    <row r="890" spans="1:35" x14ac:dyDescent="0.2">
      <c r="A890" s="45"/>
      <c r="B890" s="45"/>
      <c r="C890" s="74"/>
      <c r="D890" s="75"/>
      <c r="E890" s="75"/>
      <c r="F890" s="69"/>
      <c r="G890" s="69"/>
      <c r="H890" s="69"/>
      <c r="I890" s="69"/>
      <c r="J890" s="69"/>
      <c r="K890" s="69"/>
      <c r="L890" s="69"/>
      <c r="M890" s="69"/>
      <c r="N890" s="69"/>
      <c r="O890" s="146"/>
      <c r="P890" s="69"/>
      <c r="Q890" s="69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</row>
    <row r="891" spans="1:35" x14ac:dyDescent="0.2">
      <c r="A891" s="45"/>
      <c r="B891" s="45"/>
      <c r="C891" s="74"/>
      <c r="D891" s="75"/>
      <c r="E891" s="75"/>
      <c r="F891" s="69"/>
      <c r="G891" s="69"/>
      <c r="H891" s="69"/>
      <c r="I891" s="69"/>
      <c r="J891" s="69"/>
      <c r="K891" s="69"/>
      <c r="L891" s="69"/>
      <c r="M891" s="69"/>
      <c r="N891" s="69"/>
      <c r="O891" s="146"/>
      <c r="P891" s="69"/>
      <c r="Q891" s="69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</row>
    <row r="892" spans="1:35" x14ac:dyDescent="0.2">
      <c r="A892" s="45"/>
      <c r="B892" s="45"/>
      <c r="C892" s="74"/>
      <c r="D892" s="75"/>
      <c r="E892" s="75"/>
      <c r="F892" s="69"/>
      <c r="G892" s="69"/>
      <c r="H892" s="69"/>
      <c r="I892" s="69"/>
      <c r="J892" s="69"/>
      <c r="K892" s="69"/>
      <c r="L892" s="69"/>
      <c r="M892" s="69"/>
      <c r="N892" s="69"/>
      <c r="O892" s="146"/>
      <c r="P892" s="69"/>
      <c r="Q892" s="69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</row>
    <row r="893" spans="1:35" x14ac:dyDescent="0.2">
      <c r="A893" s="45"/>
      <c r="B893" s="45"/>
      <c r="C893" s="74"/>
      <c r="D893" s="75"/>
      <c r="E893" s="75"/>
      <c r="F893" s="69"/>
      <c r="G893" s="69"/>
      <c r="H893" s="69"/>
      <c r="I893" s="69"/>
      <c r="J893" s="69"/>
      <c r="K893" s="69"/>
      <c r="L893" s="69"/>
      <c r="M893" s="69"/>
      <c r="N893" s="69"/>
      <c r="O893" s="146"/>
      <c r="P893" s="69"/>
      <c r="Q893" s="69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</row>
    <row r="894" spans="1:35" x14ac:dyDescent="0.2">
      <c r="A894" s="45"/>
      <c r="B894" s="45"/>
      <c r="C894" s="74"/>
      <c r="D894" s="75"/>
      <c r="E894" s="75"/>
      <c r="F894" s="69"/>
      <c r="G894" s="69"/>
      <c r="H894" s="69"/>
      <c r="I894" s="69"/>
      <c r="J894" s="69"/>
      <c r="K894" s="69"/>
      <c r="L894" s="69"/>
      <c r="M894" s="69"/>
      <c r="N894" s="69"/>
      <c r="O894" s="146"/>
      <c r="P894" s="69"/>
      <c r="Q894" s="69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</row>
    <row r="895" spans="1:35" x14ac:dyDescent="0.2">
      <c r="A895" s="45"/>
      <c r="B895" s="45"/>
      <c r="C895" s="74"/>
      <c r="D895" s="75"/>
      <c r="E895" s="75"/>
      <c r="F895" s="69"/>
      <c r="G895" s="69"/>
      <c r="H895" s="69"/>
      <c r="I895" s="69"/>
      <c r="J895" s="69"/>
      <c r="K895" s="69"/>
      <c r="L895" s="69"/>
      <c r="M895" s="69"/>
      <c r="N895" s="69"/>
      <c r="O895" s="146"/>
      <c r="P895" s="69"/>
      <c r="Q895" s="69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</row>
    <row r="896" spans="1:35" x14ac:dyDescent="0.2">
      <c r="A896" s="45"/>
      <c r="B896" s="45"/>
      <c r="C896" s="74"/>
      <c r="D896" s="75"/>
      <c r="E896" s="75"/>
      <c r="F896" s="69"/>
      <c r="G896" s="69"/>
      <c r="H896" s="69"/>
      <c r="I896" s="69"/>
      <c r="J896" s="69"/>
      <c r="K896" s="69"/>
      <c r="L896" s="69"/>
      <c r="M896" s="69"/>
      <c r="N896" s="69"/>
      <c r="O896" s="146"/>
      <c r="P896" s="69"/>
      <c r="Q896" s="69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</row>
    <row r="897" spans="1:35" x14ac:dyDescent="0.2">
      <c r="A897" s="45"/>
      <c r="B897" s="45"/>
      <c r="C897" s="74"/>
      <c r="D897" s="75"/>
      <c r="E897" s="75"/>
      <c r="F897" s="69"/>
      <c r="G897" s="69"/>
      <c r="H897" s="69"/>
      <c r="I897" s="69"/>
      <c r="J897" s="69"/>
      <c r="K897" s="69"/>
      <c r="L897" s="69"/>
      <c r="M897" s="69"/>
      <c r="N897" s="69"/>
      <c r="O897" s="146"/>
      <c r="P897" s="69"/>
      <c r="Q897" s="69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</row>
    <row r="898" spans="1:35" x14ac:dyDescent="0.2">
      <c r="A898" s="45"/>
      <c r="B898" s="45"/>
      <c r="C898" s="74"/>
      <c r="D898" s="75"/>
      <c r="E898" s="75"/>
      <c r="F898" s="69"/>
      <c r="G898" s="69"/>
      <c r="H898" s="69"/>
      <c r="I898" s="69"/>
      <c r="J898" s="69"/>
      <c r="K898" s="69"/>
      <c r="L898" s="69"/>
      <c r="M898" s="69"/>
      <c r="N898" s="69"/>
      <c r="O898" s="146"/>
      <c r="P898" s="69"/>
      <c r="Q898" s="69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</row>
    <row r="899" spans="1:35" x14ac:dyDescent="0.2">
      <c r="A899" s="45"/>
      <c r="B899" s="45"/>
      <c r="C899" s="74"/>
      <c r="D899" s="75"/>
      <c r="E899" s="75"/>
      <c r="F899" s="69"/>
      <c r="G899" s="69"/>
      <c r="H899" s="69"/>
      <c r="I899" s="69"/>
      <c r="J899" s="69"/>
      <c r="K899" s="69"/>
      <c r="L899" s="69"/>
      <c r="M899" s="69"/>
      <c r="N899" s="69"/>
      <c r="O899" s="146"/>
      <c r="P899" s="69"/>
      <c r="Q899" s="69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</row>
    <row r="900" spans="1:35" x14ac:dyDescent="0.2">
      <c r="A900" s="45"/>
      <c r="B900" s="45"/>
      <c r="C900" s="74"/>
      <c r="D900" s="75"/>
      <c r="E900" s="75"/>
      <c r="F900" s="69"/>
      <c r="G900" s="69"/>
      <c r="H900" s="69"/>
      <c r="I900" s="69"/>
      <c r="J900" s="69"/>
      <c r="K900" s="69"/>
      <c r="L900" s="69"/>
      <c r="M900" s="69"/>
      <c r="N900" s="69"/>
      <c r="O900" s="146"/>
      <c r="P900" s="69"/>
      <c r="Q900" s="69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</row>
    <row r="901" spans="1:35" x14ac:dyDescent="0.2">
      <c r="A901" s="45"/>
      <c r="B901" s="45"/>
      <c r="C901" s="74"/>
      <c r="D901" s="75"/>
      <c r="E901" s="75"/>
      <c r="F901" s="69"/>
      <c r="G901" s="69"/>
      <c r="H901" s="69"/>
      <c r="I901" s="69"/>
      <c r="J901" s="69"/>
      <c r="K901" s="69"/>
      <c r="L901" s="69"/>
      <c r="M901" s="69"/>
      <c r="N901" s="69"/>
      <c r="O901" s="146"/>
      <c r="P901" s="69"/>
      <c r="Q901" s="69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</row>
    <row r="902" spans="1:35" x14ac:dyDescent="0.2">
      <c r="A902" s="45"/>
      <c r="B902" s="45"/>
      <c r="C902" s="74"/>
      <c r="D902" s="75"/>
      <c r="E902" s="75"/>
      <c r="F902" s="69"/>
      <c r="G902" s="69"/>
      <c r="H902" s="69"/>
      <c r="I902" s="69"/>
      <c r="J902" s="69"/>
      <c r="K902" s="69"/>
      <c r="L902" s="69"/>
      <c r="M902" s="69"/>
      <c r="N902" s="69"/>
      <c r="O902" s="146"/>
      <c r="P902" s="69"/>
      <c r="Q902" s="69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</row>
    <row r="903" spans="1:35" x14ac:dyDescent="0.2">
      <c r="A903" s="45"/>
      <c r="B903" s="45"/>
      <c r="C903" s="74"/>
      <c r="D903" s="75"/>
      <c r="E903" s="75"/>
      <c r="F903" s="69"/>
      <c r="G903" s="69"/>
      <c r="H903" s="69"/>
      <c r="I903" s="69"/>
      <c r="J903" s="69"/>
      <c r="K903" s="69"/>
      <c r="L903" s="69"/>
      <c r="M903" s="69"/>
      <c r="N903" s="69"/>
      <c r="O903" s="146"/>
      <c r="P903" s="69"/>
      <c r="Q903" s="69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</row>
    <row r="904" spans="1:35" x14ac:dyDescent="0.2">
      <c r="A904" s="45"/>
      <c r="B904" s="45"/>
      <c r="C904" s="74"/>
      <c r="D904" s="75"/>
      <c r="E904" s="75"/>
      <c r="F904" s="69"/>
      <c r="G904" s="69"/>
      <c r="H904" s="69"/>
      <c r="I904" s="69"/>
      <c r="J904" s="69"/>
      <c r="K904" s="69"/>
      <c r="L904" s="69"/>
      <c r="M904" s="69"/>
      <c r="N904" s="69"/>
      <c r="O904" s="146"/>
      <c r="P904" s="69"/>
      <c r="Q904" s="69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</row>
    <row r="905" spans="1:35" x14ac:dyDescent="0.2">
      <c r="A905" s="45"/>
      <c r="B905" s="45"/>
      <c r="C905" s="74"/>
      <c r="D905" s="75"/>
      <c r="E905" s="75"/>
      <c r="F905" s="69"/>
      <c r="G905" s="69"/>
      <c r="H905" s="69"/>
      <c r="I905" s="69"/>
      <c r="J905" s="69"/>
      <c r="K905" s="69"/>
      <c r="L905" s="69"/>
      <c r="M905" s="69"/>
      <c r="N905" s="69"/>
      <c r="O905" s="146"/>
      <c r="P905" s="69"/>
      <c r="Q905" s="69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</row>
    <row r="906" spans="1:35" x14ac:dyDescent="0.2">
      <c r="A906" s="45"/>
      <c r="B906" s="45"/>
      <c r="C906" s="74"/>
      <c r="D906" s="75"/>
      <c r="E906" s="75"/>
      <c r="F906" s="69"/>
      <c r="G906" s="69"/>
      <c r="H906" s="69"/>
      <c r="I906" s="69"/>
      <c r="J906" s="69"/>
      <c r="K906" s="69"/>
      <c r="L906" s="69"/>
      <c r="M906" s="69"/>
      <c r="N906" s="69"/>
      <c r="O906" s="146"/>
      <c r="P906" s="69"/>
      <c r="Q906" s="69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</row>
    <row r="907" spans="1:35" x14ac:dyDescent="0.2">
      <c r="A907" s="45"/>
      <c r="B907" s="45"/>
      <c r="C907" s="74"/>
      <c r="D907" s="75"/>
      <c r="E907" s="75"/>
      <c r="F907" s="69"/>
      <c r="G907" s="69"/>
      <c r="H907" s="69"/>
      <c r="I907" s="69"/>
      <c r="J907" s="69"/>
      <c r="K907" s="69"/>
      <c r="L907" s="69"/>
      <c r="M907" s="69"/>
      <c r="N907" s="69"/>
      <c r="O907" s="146"/>
      <c r="P907" s="69"/>
      <c r="Q907" s="69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</row>
    <row r="908" spans="1:35" x14ac:dyDescent="0.2">
      <c r="A908" s="45"/>
      <c r="B908" s="45"/>
      <c r="C908" s="74"/>
      <c r="D908" s="75"/>
      <c r="E908" s="75"/>
      <c r="F908" s="69"/>
      <c r="G908" s="69"/>
      <c r="H908" s="69"/>
      <c r="I908" s="69"/>
      <c r="J908" s="69"/>
      <c r="K908" s="69"/>
      <c r="L908" s="69"/>
      <c r="M908" s="69"/>
      <c r="N908" s="69"/>
      <c r="O908" s="146"/>
      <c r="P908" s="69"/>
      <c r="Q908" s="69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</row>
    <row r="909" spans="1:35" x14ac:dyDescent="0.2">
      <c r="A909" s="45"/>
      <c r="B909" s="45"/>
      <c r="C909" s="74"/>
      <c r="D909" s="75"/>
      <c r="E909" s="75"/>
      <c r="F909" s="69"/>
      <c r="G909" s="69"/>
      <c r="H909" s="69"/>
      <c r="I909" s="69"/>
      <c r="J909" s="69"/>
      <c r="K909" s="69"/>
      <c r="L909" s="69"/>
      <c r="M909" s="69"/>
      <c r="N909" s="69"/>
      <c r="O909" s="146"/>
      <c r="P909" s="69"/>
      <c r="Q909" s="69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</row>
    <row r="910" spans="1:35" x14ac:dyDescent="0.2">
      <c r="A910" s="45"/>
      <c r="B910" s="45"/>
      <c r="C910" s="74"/>
      <c r="D910" s="75"/>
      <c r="E910" s="75"/>
      <c r="F910" s="69"/>
      <c r="G910" s="69"/>
      <c r="H910" s="69"/>
      <c r="I910" s="69"/>
      <c r="J910" s="69"/>
      <c r="K910" s="69"/>
      <c r="L910" s="69"/>
      <c r="M910" s="69"/>
      <c r="N910" s="69"/>
      <c r="O910" s="146"/>
      <c r="P910" s="69"/>
      <c r="Q910" s="69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</row>
    <row r="911" spans="1:35" x14ac:dyDescent="0.2">
      <c r="A911" s="45"/>
      <c r="B911" s="45"/>
      <c r="C911" s="74"/>
      <c r="D911" s="75"/>
      <c r="E911" s="75"/>
      <c r="F911" s="69"/>
      <c r="G911" s="69"/>
      <c r="H911" s="69"/>
      <c r="I911" s="69"/>
      <c r="J911" s="69"/>
      <c r="K911" s="69"/>
      <c r="L911" s="69"/>
      <c r="M911" s="69"/>
      <c r="N911" s="69"/>
      <c r="O911" s="146"/>
      <c r="P911" s="69"/>
      <c r="Q911" s="69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</row>
    <row r="912" spans="1:35" x14ac:dyDescent="0.2">
      <c r="A912" s="45"/>
      <c r="B912" s="45"/>
      <c r="C912" s="74"/>
      <c r="D912" s="75"/>
      <c r="E912" s="75"/>
      <c r="F912" s="69"/>
      <c r="G912" s="69"/>
      <c r="H912" s="69"/>
      <c r="I912" s="69"/>
      <c r="J912" s="69"/>
      <c r="K912" s="69"/>
      <c r="L912" s="69"/>
      <c r="M912" s="69"/>
      <c r="N912" s="69"/>
      <c r="O912" s="146"/>
      <c r="P912" s="69"/>
      <c r="Q912" s="69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</row>
    <row r="913" spans="1:35" x14ac:dyDescent="0.2">
      <c r="A913" s="45"/>
      <c r="B913" s="45"/>
      <c r="C913" s="74"/>
      <c r="D913" s="75"/>
      <c r="E913" s="75"/>
      <c r="F913" s="69"/>
      <c r="G913" s="69"/>
      <c r="H913" s="69"/>
      <c r="I913" s="69"/>
      <c r="J913" s="69"/>
      <c r="K913" s="69"/>
      <c r="L913" s="69"/>
      <c r="M913" s="69"/>
      <c r="N913" s="69"/>
      <c r="O913" s="146"/>
      <c r="P913" s="69"/>
      <c r="Q913" s="69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</row>
    <row r="914" spans="1:35" x14ac:dyDescent="0.2">
      <c r="A914" s="45"/>
      <c r="B914" s="45"/>
      <c r="C914" s="74"/>
      <c r="D914" s="75"/>
      <c r="E914" s="75"/>
      <c r="F914" s="69"/>
      <c r="G914" s="69"/>
      <c r="H914" s="69"/>
      <c r="I914" s="69"/>
      <c r="J914" s="69"/>
      <c r="K914" s="69"/>
      <c r="L914" s="69"/>
      <c r="M914" s="69"/>
      <c r="N914" s="69"/>
      <c r="O914" s="146"/>
      <c r="P914" s="69"/>
      <c r="Q914" s="69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</row>
    <row r="915" spans="1:35" x14ac:dyDescent="0.2">
      <c r="A915" s="45"/>
      <c r="B915" s="45"/>
      <c r="C915" s="74"/>
      <c r="D915" s="75"/>
      <c r="E915" s="75"/>
      <c r="F915" s="69"/>
      <c r="G915" s="69"/>
      <c r="H915" s="69"/>
      <c r="I915" s="69"/>
      <c r="J915" s="69"/>
      <c r="K915" s="69"/>
      <c r="L915" s="69"/>
      <c r="M915" s="69"/>
      <c r="N915" s="69"/>
      <c r="O915" s="146"/>
      <c r="P915" s="69"/>
      <c r="Q915" s="69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</row>
    <row r="916" spans="1:35" x14ac:dyDescent="0.2">
      <c r="A916" s="45"/>
      <c r="B916" s="45"/>
      <c r="C916" s="74"/>
      <c r="D916" s="75"/>
      <c r="E916" s="75"/>
      <c r="F916" s="69"/>
      <c r="G916" s="69"/>
      <c r="H916" s="69"/>
      <c r="I916" s="69"/>
      <c r="J916" s="69"/>
      <c r="K916" s="69"/>
      <c r="L916" s="69"/>
      <c r="M916" s="69"/>
      <c r="N916" s="69"/>
      <c r="O916" s="146"/>
      <c r="P916" s="69"/>
      <c r="Q916" s="69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</row>
    <row r="917" spans="1:35" x14ac:dyDescent="0.2">
      <c r="A917" s="45"/>
      <c r="B917" s="45"/>
      <c r="C917" s="74"/>
      <c r="D917" s="75"/>
      <c r="E917" s="75"/>
      <c r="F917" s="69"/>
      <c r="G917" s="69"/>
      <c r="H917" s="69"/>
      <c r="I917" s="69"/>
      <c r="J917" s="69"/>
      <c r="K917" s="69"/>
      <c r="L917" s="69"/>
      <c r="M917" s="69"/>
      <c r="N917" s="69"/>
      <c r="O917" s="146"/>
      <c r="P917" s="69"/>
      <c r="Q917" s="69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</row>
    <row r="918" spans="1:35" x14ac:dyDescent="0.2">
      <c r="A918" s="45"/>
      <c r="B918" s="45"/>
      <c r="C918" s="74"/>
      <c r="D918" s="75"/>
      <c r="E918" s="75"/>
      <c r="F918" s="69"/>
      <c r="G918" s="69"/>
      <c r="H918" s="69"/>
      <c r="I918" s="69"/>
      <c r="J918" s="69"/>
      <c r="K918" s="69"/>
      <c r="L918" s="69"/>
      <c r="M918" s="69"/>
      <c r="N918" s="69"/>
      <c r="O918" s="146"/>
      <c r="P918" s="69"/>
      <c r="Q918" s="69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</row>
    <row r="919" spans="1:35" x14ac:dyDescent="0.2">
      <c r="A919" s="45"/>
      <c r="B919" s="45"/>
      <c r="C919" s="74"/>
      <c r="D919" s="75"/>
      <c r="E919" s="75"/>
      <c r="F919" s="69"/>
      <c r="G919" s="69"/>
      <c r="H919" s="69"/>
      <c r="I919" s="69"/>
      <c r="J919" s="69"/>
      <c r="K919" s="69"/>
      <c r="L919" s="69"/>
      <c r="M919" s="69"/>
      <c r="N919" s="69"/>
      <c r="O919" s="146"/>
      <c r="P919" s="69"/>
      <c r="Q919" s="69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</row>
    <row r="920" spans="1:35" x14ac:dyDescent="0.2">
      <c r="A920" s="45"/>
      <c r="B920" s="45"/>
      <c r="C920" s="74"/>
      <c r="D920" s="75"/>
      <c r="E920" s="75"/>
      <c r="F920" s="69"/>
      <c r="G920" s="69"/>
      <c r="H920" s="69"/>
      <c r="I920" s="69"/>
      <c r="J920" s="69"/>
      <c r="K920" s="69"/>
      <c r="L920" s="69"/>
      <c r="M920" s="69"/>
      <c r="N920" s="69"/>
      <c r="O920" s="146"/>
      <c r="P920" s="69"/>
      <c r="Q920" s="69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</row>
    <row r="921" spans="1:35" x14ac:dyDescent="0.2">
      <c r="A921" s="45"/>
      <c r="B921" s="45"/>
      <c r="C921" s="74"/>
      <c r="D921" s="75"/>
      <c r="E921" s="75"/>
      <c r="F921" s="69"/>
      <c r="G921" s="69"/>
      <c r="H921" s="69"/>
      <c r="I921" s="69"/>
      <c r="J921" s="69"/>
      <c r="K921" s="69"/>
      <c r="L921" s="69"/>
      <c r="M921" s="69"/>
      <c r="N921" s="69"/>
      <c r="O921" s="146"/>
      <c r="P921" s="69"/>
      <c r="Q921" s="69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</row>
    <row r="922" spans="1:35" x14ac:dyDescent="0.2">
      <c r="A922" s="45"/>
      <c r="B922" s="45"/>
      <c r="C922" s="74"/>
      <c r="D922" s="75"/>
      <c r="E922" s="75"/>
      <c r="F922" s="69"/>
      <c r="G922" s="69"/>
      <c r="H922" s="69"/>
      <c r="I922" s="69"/>
      <c r="J922" s="69"/>
      <c r="K922" s="69"/>
      <c r="L922" s="69"/>
      <c r="M922" s="69"/>
      <c r="N922" s="69"/>
      <c r="O922" s="146"/>
      <c r="P922" s="69"/>
      <c r="Q922" s="69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</row>
    <row r="923" spans="1:35" x14ac:dyDescent="0.2">
      <c r="A923" s="45"/>
      <c r="B923" s="45"/>
      <c r="C923" s="74"/>
      <c r="D923" s="75"/>
      <c r="E923" s="75"/>
      <c r="F923" s="69"/>
      <c r="G923" s="69"/>
      <c r="H923" s="69"/>
      <c r="I923" s="69"/>
      <c r="J923" s="69"/>
      <c r="K923" s="69"/>
      <c r="L923" s="69"/>
      <c r="M923" s="69"/>
      <c r="N923" s="69"/>
      <c r="O923" s="146"/>
      <c r="P923" s="69"/>
      <c r="Q923" s="69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</row>
    <row r="924" spans="1:35" x14ac:dyDescent="0.2">
      <c r="A924" s="45"/>
      <c r="B924" s="45"/>
      <c r="C924" s="74"/>
      <c r="D924" s="75"/>
      <c r="E924" s="75"/>
      <c r="F924" s="69"/>
      <c r="G924" s="69"/>
      <c r="H924" s="69"/>
      <c r="I924" s="69"/>
      <c r="J924" s="69"/>
      <c r="K924" s="69"/>
      <c r="L924" s="69"/>
      <c r="M924" s="69"/>
      <c r="N924" s="69"/>
      <c r="O924" s="146"/>
      <c r="P924" s="69"/>
      <c r="Q924" s="69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</row>
    <row r="925" spans="1:35" x14ac:dyDescent="0.2">
      <c r="A925" s="45"/>
      <c r="B925" s="45"/>
      <c r="C925" s="74"/>
      <c r="D925" s="75"/>
      <c r="E925" s="75"/>
      <c r="F925" s="69"/>
      <c r="G925" s="69"/>
      <c r="H925" s="69"/>
      <c r="I925" s="69"/>
      <c r="J925" s="69"/>
      <c r="K925" s="69"/>
      <c r="L925" s="69"/>
      <c r="M925" s="69"/>
      <c r="N925" s="69"/>
      <c r="O925" s="146"/>
      <c r="P925" s="69"/>
      <c r="Q925" s="69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</row>
    <row r="926" spans="1:35" x14ac:dyDescent="0.2">
      <c r="A926" s="45"/>
      <c r="B926" s="45"/>
      <c r="C926" s="74"/>
      <c r="D926" s="75"/>
      <c r="E926" s="75"/>
      <c r="F926" s="69"/>
      <c r="G926" s="69"/>
      <c r="H926" s="69"/>
      <c r="I926" s="69"/>
      <c r="J926" s="69"/>
      <c r="K926" s="69"/>
      <c r="L926" s="69"/>
      <c r="M926" s="69"/>
      <c r="N926" s="69"/>
      <c r="O926" s="146"/>
      <c r="P926" s="69"/>
      <c r="Q926" s="69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</row>
    <row r="927" spans="1:35" x14ac:dyDescent="0.2">
      <c r="A927" s="45"/>
      <c r="B927" s="45"/>
      <c r="C927" s="74"/>
      <c r="D927" s="75"/>
      <c r="E927" s="75"/>
      <c r="F927" s="69"/>
      <c r="G927" s="69"/>
      <c r="H927" s="69"/>
      <c r="I927" s="69"/>
      <c r="J927" s="69"/>
      <c r="K927" s="69"/>
      <c r="L927" s="69"/>
      <c r="M927" s="69"/>
      <c r="N927" s="69"/>
      <c r="O927" s="146"/>
      <c r="P927" s="69"/>
      <c r="Q927" s="69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</row>
    <row r="928" spans="1:35" x14ac:dyDescent="0.2">
      <c r="A928" s="45"/>
      <c r="B928" s="45"/>
      <c r="C928" s="74"/>
      <c r="D928" s="75"/>
      <c r="E928" s="75"/>
      <c r="F928" s="69"/>
      <c r="G928" s="69"/>
      <c r="H928" s="69"/>
      <c r="I928" s="69"/>
      <c r="J928" s="69"/>
      <c r="K928" s="69"/>
      <c r="L928" s="69"/>
      <c r="M928" s="69"/>
      <c r="N928" s="69"/>
      <c r="O928" s="146"/>
      <c r="P928" s="69"/>
      <c r="Q928" s="69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</row>
    <row r="929" spans="1:35" x14ac:dyDescent="0.2">
      <c r="A929" s="45"/>
      <c r="B929" s="45"/>
      <c r="C929" s="74"/>
      <c r="D929" s="75"/>
      <c r="E929" s="75"/>
      <c r="F929" s="69"/>
      <c r="G929" s="69"/>
      <c r="H929" s="69"/>
      <c r="I929" s="69"/>
      <c r="J929" s="69"/>
      <c r="K929" s="69"/>
      <c r="L929" s="69"/>
      <c r="M929" s="69"/>
      <c r="N929" s="69"/>
      <c r="O929" s="146"/>
      <c r="P929" s="69"/>
      <c r="Q929" s="69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</row>
    <row r="930" spans="1:35" x14ac:dyDescent="0.2">
      <c r="A930" s="45"/>
      <c r="B930" s="45"/>
      <c r="C930" s="74"/>
      <c r="D930" s="75"/>
      <c r="E930" s="75"/>
      <c r="F930" s="69"/>
      <c r="G930" s="69"/>
      <c r="H930" s="69"/>
      <c r="I930" s="69"/>
      <c r="J930" s="69"/>
      <c r="K930" s="69"/>
      <c r="L930" s="69"/>
      <c r="M930" s="69"/>
      <c r="N930" s="69"/>
      <c r="O930" s="146"/>
      <c r="P930" s="69"/>
      <c r="Q930" s="69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</row>
    <row r="931" spans="1:35" x14ac:dyDescent="0.2">
      <c r="A931" s="45"/>
      <c r="B931" s="45"/>
      <c r="C931" s="74"/>
      <c r="D931" s="75"/>
      <c r="E931" s="75"/>
      <c r="F931" s="69"/>
      <c r="G931" s="69"/>
      <c r="H931" s="69"/>
      <c r="I931" s="69"/>
      <c r="J931" s="69"/>
      <c r="K931" s="69"/>
      <c r="L931" s="69"/>
      <c r="M931" s="69"/>
      <c r="N931" s="69"/>
      <c r="O931" s="146"/>
      <c r="P931" s="69"/>
      <c r="Q931" s="69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</row>
    <row r="932" spans="1:35" x14ac:dyDescent="0.2">
      <c r="A932" s="45"/>
      <c r="B932" s="45"/>
      <c r="C932" s="74"/>
      <c r="D932" s="75"/>
      <c r="E932" s="75"/>
      <c r="F932" s="69"/>
      <c r="G932" s="69"/>
      <c r="H932" s="69"/>
      <c r="I932" s="69"/>
      <c r="J932" s="69"/>
      <c r="K932" s="69"/>
      <c r="L932" s="69"/>
      <c r="M932" s="69"/>
      <c r="N932" s="69"/>
      <c r="O932" s="146"/>
      <c r="P932" s="69"/>
      <c r="Q932" s="69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</row>
    <row r="933" spans="1:35" x14ac:dyDescent="0.2">
      <c r="A933" s="45"/>
      <c r="B933" s="45"/>
      <c r="C933" s="74"/>
      <c r="D933" s="75"/>
      <c r="E933" s="75"/>
      <c r="F933" s="69"/>
      <c r="G933" s="69"/>
      <c r="H933" s="69"/>
      <c r="I933" s="69"/>
      <c r="J933" s="69"/>
      <c r="K933" s="69"/>
      <c r="L933" s="69"/>
      <c r="M933" s="69"/>
      <c r="N933" s="69"/>
      <c r="O933" s="146"/>
      <c r="P933" s="69"/>
      <c r="Q933" s="69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</row>
    <row r="934" spans="1:35" x14ac:dyDescent="0.2">
      <c r="A934" s="45"/>
      <c r="B934" s="45"/>
      <c r="C934" s="74"/>
      <c r="D934" s="75"/>
      <c r="E934" s="75"/>
      <c r="F934" s="69"/>
      <c r="G934" s="69"/>
      <c r="H934" s="69"/>
      <c r="I934" s="69"/>
      <c r="J934" s="69"/>
      <c r="K934" s="69"/>
      <c r="L934" s="69"/>
      <c r="M934" s="69"/>
      <c r="N934" s="69"/>
      <c r="O934" s="146"/>
      <c r="P934" s="69"/>
      <c r="Q934" s="69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</row>
    <row r="935" spans="1:35" x14ac:dyDescent="0.2">
      <c r="A935" s="45"/>
      <c r="B935" s="45"/>
      <c r="C935" s="74"/>
      <c r="D935" s="75"/>
      <c r="E935" s="75"/>
      <c r="F935" s="69"/>
      <c r="G935" s="69"/>
      <c r="H935" s="69"/>
      <c r="I935" s="69"/>
      <c r="J935" s="69"/>
      <c r="K935" s="69"/>
      <c r="L935" s="69"/>
      <c r="M935" s="69"/>
      <c r="N935" s="69"/>
      <c r="O935" s="146"/>
      <c r="P935" s="69"/>
      <c r="Q935" s="69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</row>
    <row r="936" spans="1:35" x14ac:dyDescent="0.2">
      <c r="A936" s="45"/>
      <c r="B936" s="45"/>
      <c r="C936" s="74"/>
      <c r="D936" s="75"/>
      <c r="E936" s="75"/>
      <c r="F936" s="69"/>
      <c r="G936" s="69"/>
      <c r="H936" s="69"/>
      <c r="I936" s="69"/>
      <c r="J936" s="69"/>
      <c r="K936" s="69"/>
      <c r="L936" s="69"/>
      <c r="M936" s="69"/>
      <c r="N936" s="69"/>
      <c r="O936" s="146"/>
      <c r="P936" s="69"/>
      <c r="Q936" s="69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</row>
    <row r="937" spans="1:35" x14ac:dyDescent="0.2">
      <c r="A937" s="45"/>
      <c r="B937" s="45"/>
      <c r="C937" s="74"/>
      <c r="D937" s="75"/>
      <c r="E937" s="75"/>
      <c r="F937" s="69"/>
      <c r="G937" s="69"/>
      <c r="H937" s="69"/>
      <c r="I937" s="69"/>
      <c r="J937" s="69"/>
      <c r="K937" s="69"/>
      <c r="L937" s="69"/>
      <c r="M937" s="69"/>
      <c r="N937" s="69"/>
      <c r="O937" s="146"/>
      <c r="P937" s="69"/>
      <c r="Q937" s="69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</row>
    <row r="938" spans="1:35" x14ac:dyDescent="0.2">
      <c r="A938" s="45"/>
      <c r="B938" s="45"/>
      <c r="C938" s="74"/>
      <c r="D938" s="75"/>
      <c r="E938" s="75"/>
      <c r="F938" s="69"/>
      <c r="G938" s="69"/>
      <c r="H938" s="69"/>
      <c r="I938" s="69"/>
      <c r="J938" s="69"/>
      <c r="K938" s="69"/>
      <c r="L938" s="69"/>
      <c r="M938" s="69"/>
      <c r="N938" s="69"/>
      <c r="O938" s="146"/>
      <c r="P938" s="69"/>
      <c r="Q938" s="69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</row>
    <row r="939" spans="1:35" x14ac:dyDescent="0.2">
      <c r="A939" s="45"/>
      <c r="B939" s="45"/>
      <c r="C939" s="74"/>
      <c r="D939" s="75"/>
      <c r="E939" s="75"/>
      <c r="F939" s="69"/>
      <c r="G939" s="69"/>
      <c r="H939" s="69"/>
      <c r="I939" s="69"/>
      <c r="J939" s="69"/>
      <c r="K939" s="69"/>
      <c r="L939" s="69"/>
      <c r="M939" s="69"/>
      <c r="N939" s="69"/>
      <c r="O939" s="146"/>
      <c r="P939" s="69"/>
      <c r="Q939" s="69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</row>
    <row r="940" spans="1:35" x14ac:dyDescent="0.2">
      <c r="A940" s="45"/>
      <c r="B940" s="45"/>
      <c r="C940" s="74"/>
      <c r="D940" s="75"/>
      <c r="E940" s="75"/>
      <c r="F940" s="69"/>
      <c r="G940" s="69"/>
      <c r="H940" s="69"/>
      <c r="I940" s="69"/>
      <c r="J940" s="69"/>
      <c r="K940" s="69"/>
      <c r="L940" s="69"/>
      <c r="M940" s="69"/>
      <c r="N940" s="69"/>
      <c r="O940" s="146"/>
      <c r="P940" s="69"/>
      <c r="Q940" s="69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</row>
    <row r="941" spans="1:35" x14ac:dyDescent="0.2">
      <c r="A941" s="45"/>
      <c r="B941" s="45"/>
      <c r="C941" s="74"/>
      <c r="D941" s="75"/>
      <c r="E941" s="75"/>
      <c r="F941" s="69"/>
      <c r="G941" s="69"/>
      <c r="H941" s="69"/>
      <c r="I941" s="69"/>
      <c r="J941" s="69"/>
      <c r="K941" s="69"/>
      <c r="L941" s="69"/>
      <c r="M941" s="69"/>
      <c r="N941" s="69"/>
      <c r="O941" s="146"/>
      <c r="P941" s="69"/>
      <c r="Q941" s="69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</row>
    <row r="942" spans="1:35" x14ac:dyDescent="0.2">
      <c r="A942" s="45"/>
      <c r="B942" s="45"/>
      <c r="C942" s="74"/>
      <c r="D942" s="75"/>
      <c r="E942" s="75"/>
      <c r="F942" s="69"/>
      <c r="G942" s="69"/>
      <c r="H942" s="69"/>
      <c r="I942" s="69"/>
      <c r="J942" s="69"/>
      <c r="K942" s="69"/>
      <c r="L942" s="69"/>
      <c r="M942" s="69"/>
      <c r="N942" s="69"/>
      <c r="O942" s="146"/>
      <c r="P942" s="69"/>
      <c r="Q942" s="69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</row>
    <row r="943" spans="1:35" x14ac:dyDescent="0.2">
      <c r="A943" s="45"/>
      <c r="B943" s="45"/>
      <c r="C943" s="74"/>
      <c r="D943" s="75"/>
      <c r="E943" s="75"/>
      <c r="F943" s="69"/>
      <c r="G943" s="69"/>
      <c r="H943" s="69"/>
      <c r="I943" s="69"/>
      <c r="J943" s="69"/>
      <c r="K943" s="69"/>
      <c r="L943" s="69"/>
      <c r="M943" s="69"/>
      <c r="N943" s="69"/>
      <c r="O943" s="146"/>
      <c r="P943" s="69"/>
      <c r="Q943" s="69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</row>
    <row r="944" spans="1:35" x14ac:dyDescent="0.2">
      <c r="A944" s="45"/>
      <c r="B944" s="45"/>
      <c r="C944" s="74"/>
      <c r="D944" s="75"/>
      <c r="E944" s="75"/>
      <c r="F944" s="69"/>
      <c r="G944" s="69"/>
      <c r="H944" s="69"/>
      <c r="I944" s="69"/>
      <c r="J944" s="69"/>
      <c r="K944" s="69"/>
      <c r="L944" s="69"/>
      <c r="M944" s="69"/>
      <c r="N944" s="69"/>
      <c r="O944" s="146"/>
      <c r="P944" s="69"/>
      <c r="Q944" s="69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</row>
    <row r="945" spans="1:35" x14ac:dyDescent="0.2">
      <c r="A945" s="45"/>
      <c r="B945" s="45"/>
      <c r="C945" s="74"/>
      <c r="D945" s="75"/>
      <c r="E945" s="75"/>
      <c r="F945" s="69"/>
      <c r="G945" s="69"/>
      <c r="H945" s="69"/>
      <c r="I945" s="69"/>
      <c r="J945" s="69"/>
      <c r="K945" s="69"/>
      <c r="L945" s="69"/>
      <c r="M945" s="69"/>
      <c r="N945" s="69"/>
      <c r="O945" s="146"/>
      <c r="P945" s="69"/>
      <c r="Q945" s="69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</row>
    <row r="946" spans="1:35" x14ac:dyDescent="0.2">
      <c r="A946" s="45"/>
      <c r="B946" s="45"/>
      <c r="C946" s="74"/>
      <c r="D946" s="75"/>
      <c r="E946" s="75"/>
      <c r="F946" s="69"/>
      <c r="G946" s="69"/>
      <c r="H946" s="69"/>
      <c r="I946" s="69"/>
      <c r="J946" s="69"/>
      <c r="K946" s="69"/>
      <c r="L946" s="69"/>
      <c r="M946" s="69"/>
      <c r="N946" s="69"/>
      <c r="O946" s="146"/>
      <c r="P946" s="69"/>
      <c r="Q946" s="69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</row>
    <row r="947" spans="1:35" x14ac:dyDescent="0.2">
      <c r="A947" s="45"/>
      <c r="B947" s="45"/>
      <c r="C947" s="74"/>
      <c r="D947" s="75"/>
      <c r="E947" s="75"/>
      <c r="F947" s="69"/>
      <c r="G947" s="69"/>
      <c r="H947" s="69"/>
      <c r="I947" s="69"/>
      <c r="J947" s="69"/>
      <c r="K947" s="69"/>
      <c r="L947" s="69"/>
      <c r="M947" s="69"/>
      <c r="N947" s="69"/>
      <c r="O947" s="146"/>
      <c r="P947" s="69"/>
      <c r="Q947" s="69"/>
      <c r="R947" s="45"/>
    </row>
    <row r="948" spans="1:35" x14ac:dyDescent="0.2">
      <c r="A948" s="45"/>
      <c r="B948" s="45"/>
      <c r="C948" s="74"/>
      <c r="D948" s="75"/>
      <c r="E948" s="75"/>
      <c r="F948" s="69"/>
      <c r="G948" s="69"/>
      <c r="H948" s="69"/>
      <c r="I948" s="69"/>
      <c r="J948" s="69"/>
      <c r="K948" s="69"/>
      <c r="L948" s="69"/>
      <c r="M948" s="69"/>
      <c r="N948" s="69"/>
      <c r="O948" s="146"/>
      <c r="P948" s="69"/>
      <c r="Q948" s="69"/>
      <c r="R948" s="45"/>
    </row>
    <row r="949" spans="1:35" x14ac:dyDescent="0.2">
      <c r="A949" s="45"/>
      <c r="B949" s="45"/>
      <c r="C949" s="74"/>
      <c r="D949" s="75"/>
      <c r="E949" s="75"/>
      <c r="F949" s="69"/>
      <c r="G949" s="69"/>
      <c r="H949" s="69"/>
      <c r="I949" s="69"/>
      <c r="J949" s="69"/>
      <c r="K949" s="69"/>
      <c r="L949" s="69"/>
      <c r="M949" s="69"/>
      <c r="N949" s="69"/>
      <c r="O949" s="146"/>
      <c r="P949" s="69"/>
      <c r="Q949" s="69"/>
      <c r="R949" s="45"/>
    </row>
    <row r="950" spans="1:35" x14ac:dyDescent="0.2">
      <c r="A950" s="45"/>
      <c r="B950" s="45"/>
      <c r="C950" s="74"/>
      <c r="D950" s="75"/>
      <c r="E950" s="75"/>
      <c r="F950" s="69"/>
      <c r="G950" s="69"/>
      <c r="H950" s="69"/>
      <c r="I950" s="69"/>
      <c r="J950" s="69"/>
      <c r="K950" s="69"/>
      <c r="L950" s="69"/>
      <c r="M950" s="69"/>
      <c r="N950" s="69"/>
      <c r="O950" s="146"/>
      <c r="P950" s="69"/>
      <c r="Q950" s="69"/>
      <c r="R950" s="45"/>
    </row>
    <row r="951" spans="1:35" x14ac:dyDescent="0.2">
      <c r="A951" s="45"/>
      <c r="B951" s="45"/>
      <c r="C951" s="74"/>
      <c r="D951" s="75"/>
      <c r="E951" s="75"/>
      <c r="F951" s="69"/>
      <c r="G951" s="69"/>
      <c r="H951" s="69"/>
      <c r="I951" s="69"/>
      <c r="J951" s="69"/>
      <c r="K951" s="69"/>
      <c r="L951" s="69"/>
      <c r="M951" s="69"/>
      <c r="N951" s="69"/>
      <c r="O951" s="146"/>
      <c r="P951" s="69"/>
      <c r="Q951" s="69"/>
      <c r="R951" s="45"/>
    </row>
    <row r="952" spans="1:35" x14ac:dyDescent="0.2">
      <c r="A952" s="45"/>
      <c r="B952" s="45"/>
      <c r="C952" s="74"/>
      <c r="D952" s="75"/>
      <c r="E952" s="75"/>
      <c r="F952" s="69"/>
      <c r="G952" s="69"/>
      <c r="H952" s="69"/>
      <c r="I952" s="69"/>
      <c r="J952" s="69"/>
      <c r="K952" s="69"/>
      <c r="L952" s="69"/>
      <c r="M952" s="69"/>
      <c r="N952" s="69"/>
      <c r="O952" s="146"/>
      <c r="P952" s="69"/>
      <c r="Q952" s="69"/>
      <c r="R952" s="45"/>
    </row>
    <row r="953" spans="1:35" x14ac:dyDescent="0.2">
      <c r="A953" s="45"/>
      <c r="B953" s="45"/>
      <c r="C953" s="74"/>
      <c r="D953" s="75"/>
      <c r="E953" s="75"/>
      <c r="F953" s="69"/>
      <c r="G953" s="69"/>
      <c r="H953" s="69"/>
      <c r="I953" s="69"/>
      <c r="J953" s="69"/>
      <c r="K953" s="69"/>
      <c r="L953" s="69"/>
      <c r="M953" s="69"/>
      <c r="N953" s="69"/>
      <c r="O953" s="146"/>
      <c r="P953" s="69"/>
      <c r="Q953" s="69"/>
      <c r="R953" s="45"/>
    </row>
    <row r="954" spans="1:35" x14ac:dyDescent="0.2">
      <c r="A954" s="45"/>
      <c r="B954" s="45"/>
      <c r="C954" s="74"/>
      <c r="D954" s="75"/>
      <c r="E954" s="75"/>
      <c r="F954" s="69"/>
      <c r="G954" s="69"/>
      <c r="H954" s="69"/>
      <c r="I954" s="69"/>
      <c r="J954" s="69"/>
      <c r="K954" s="69"/>
      <c r="L954" s="69"/>
      <c r="M954" s="69"/>
      <c r="N954" s="69"/>
      <c r="O954" s="146"/>
      <c r="P954" s="69"/>
      <c r="Q954" s="69"/>
      <c r="R954" s="45"/>
    </row>
    <row r="955" spans="1:35" x14ac:dyDescent="0.2">
      <c r="A955" s="45"/>
      <c r="B955" s="45"/>
      <c r="C955" s="74"/>
      <c r="D955" s="75"/>
      <c r="E955" s="75"/>
      <c r="F955" s="69"/>
      <c r="G955" s="69"/>
      <c r="H955" s="69"/>
      <c r="I955" s="69"/>
      <c r="J955" s="69"/>
      <c r="K955" s="69"/>
      <c r="L955" s="69"/>
      <c r="M955" s="69"/>
      <c r="N955" s="69"/>
      <c r="O955" s="146"/>
      <c r="P955" s="69"/>
      <c r="Q955" s="69"/>
      <c r="R955" s="45"/>
    </row>
    <row r="956" spans="1:35" x14ac:dyDescent="0.2">
      <c r="A956" s="45"/>
      <c r="B956" s="45"/>
      <c r="C956" s="74"/>
      <c r="D956" s="75"/>
      <c r="E956" s="75"/>
      <c r="F956" s="69"/>
      <c r="G956" s="69"/>
      <c r="H956" s="69"/>
      <c r="I956" s="69"/>
      <c r="J956" s="69"/>
      <c r="K956" s="69"/>
      <c r="L956" s="69"/>
      <c r="M956" s="69"/>
      <c r="N956" s="69"/>
      <c r="O956" s="146"/>
      <c r="P956" s="69"/>
      <c r="Q956" s="69"/>
      <c r="R956" s="45"/>
    </row>
    <row r="957" spans="1:35" x14ac:dyDescent="0.2">
      <c r="A957" s="45"/>
      <c r="B957" s="45"/>
      <c r="C957" s="74"/>
      <c r="D957" s="75"/>
      <c r="E957" s="75"/>
      <c r="F957" s="69"/>
      <c r="G957" s="69"/>
      <c r="H957" s="69"/>
      <c r="I957" s="69"/>
      <c r="J957" s="69"/>
      <c r="K957" s="69"/>
      <c r="L957" s="69"/>
      <c r="M957" s="69"/>
      <c r="N957" s="69"/>
      <c r="O957" s="146"/>
      <c r="P957" s="69"/>
      <c r="Q957" s="69"/>
      <c r="R957" s="45"/>
    </row>
    <row r="958" spans="1:35" x14ac:dyDescent="0.2">
      <c r="A958" s="45"/>
      <c r="B958" s="45"/>
      <c r="C958" s="74"/>
      <c r="D958" s="75"/>
      <c r="E958" s="75"/>
      <c r="F958" s="69"/>
      <c r="G958" s="69"/>
      <c r="H958" s="69"/>
      <c r="I958" s="69"/>
      <c r="J958" s="69"/>
      <c r="K958" s="69"/>
      <c r="L958" s="69"/>
      <c r="M958" s="69"/>
      <c r="N958" s="69"/>
      <c r="O958" s="146"/>
      <c r="P958" s="69"/>
      <c r="Q958" s="69"/>
      <c r="R958" s="45"/>
    </row>
    <row r="959" spans="1:35" x14ac:dyDescent="0.2">
      <c r="A959" s="45"/>
      <c r="B959" s="45"/>
      <c r="C959" s="74"/>
      <c r="D959" s="75"/>
      <c r="E959" s="75"/>
      <c r="F959" s="69"/>
      <c r="G959" s="69"/>
      <c r="H959" s="69"/>
      <c r="I959" s="69"/>
      <c r="J959" s="69"/>
      <c r="K959" s="69"/>
      <c r="L959" s="69"/>
      <c r="M959" s="69"/>
      <c r="N959" s="69"/>
      <c r="O959" s="146"/>
      <c r="P959" s="69"/>
      <c r="Q959" s="69"/>
      <c r="R959" s="45"/>
    </row>
    <row r="960" spans="1:35" x14ac:dyDescent="0.2">
      <c r="A960" s="45"/>
      <c r="B960" s="45"/>
      <c r="C960" s="74"/>
      <c r="D960" s="75"/>
      <c r="E960" s="75"/>
      <c r="F960" s="69"/>
      <c r="G960" s="69"/>
      <c r="H960" s="69"/>
      <c r="I960" s="69"/>
      <c r="J960" s="69"/>
      <c r="K960" s="69"/>
      <c r="L960" s="69"/>
      <c r="M960" s="69"/>
      <c r="N960" s="69"/>
      <c r="O960" s="146"/>
      <c r="P960" s="69"/>
      <c r="Q960" s="69"/>
      <c r="R960" s="45"/>
    </row>
    <row r="961" spans="1:18" x14ac:dyDescent="0.2">
      <c r="A961" s="45"/>
      <c r="B961" s="45"/>
      <c r="C961" s="74"/>
      <c r="D961" s="75"/>
      <c r="E961" s="75"/>
      <c r="F961" s="69"/>
      <c r="G961" s="69"/>
      <c r="H961" s="69"/>
      <c r="I961" s="69"/>
      <c r="J961" s="69"/>
      <c r="K961" s="69"/>
      <c r="L961" s="69"/>
      <c r="M961" s="69"/>
      <c r="N961" s="69"/>
      <c r="O961" s="146"/>
      <c r="P961" s="69"/>
      <c r="Q961" s="69"/>
      <c r="R961" s="45"/>
    </row>
    <row r="962" spans="1:18" x14ac:dyDescent="0.2">
      <c r="A962" s="45"/>
      <c r="B962" s="45"/>
      <c r="C962" s="74"/>
      <c r="D962" s="75"/>
      <c r="E962" s="75"/>
      <c r="F962" s="69"/>
      <c r="G962" s="69"/>
      <c r="H962" s="69"/>
      <c r="I962" s="69"/>
      <c r="J962" s="69"/>
      <c r="K962" s="69"/>
      <c r="L962" s="69"/>
      <c r="M962" s="69"/>
      <c r="N962" s="69"/>
      <c r="O962" s="146"/>
      <c r="P962" s="69"/>
      <c r="Q962" s="69"/>
      <c r="R962" s="45"/>
    </row>
    <row r="963" spans="1:18" x14ac:dyDescent="0.2">
      <c r="A963" s="45"/>
      <c r="B963" s="45"/>
      <c r="C963" s="74"/>
      <c r="D963" s="75"/>
      <c r="E963" s="75"/>
      <c r="F963" s="69"/>
      <c r="G963" s="69"/>
      <c r="H963" s="69"/>
      <c r="I963" s="69"/>
      <c r="J963" s="69"/>
      <c r="K963" s="69"/>
      <c r="L963" s="69"/>
      <c r="M963" s="69"/>
      <c r="N963" s="69"/>
      <c r="O963" s="146"/>
      <c r="P963" s="69"/>
      <c r="Q963" s="69"/>
      <c r="R963" s="45"/>
    </row>
    <row r="964" spans="1:18" x14ac:dyDescent="0.2">
      <c r="A964" s="45"/>
      <c r="B964" s="45"/>
      <c r="C964" s="74"/>
      <c r="D964" s="75"/>
      <c r="E964" s="75"/>
      <c r="F964" s="69"/>
      <c r="G964" s="69"/>
      <c r="H964" s="69"/>
      <c r="I964" s="69"/>
      <c r="J964" s="69"/>
      <c r="K964" s="69"/>
      <c r="L964" s="69"/>
      <c r="M964" s="69"/>
      <c r="N964" s="69"/>
      <c r="O964" s="146"/>
      <c r="P964" s="69"/>
      <c r="Q964" s="69"/>
      <c r="R964" s="45"/>
    </row>
    <row r="965" spans="1:18" x14ac:dyDescent="0.2">
      <c r="A965" s="45"/>
      <c r="B965" s="45"/>
      <c r="C965" s="74"/>
      <c r="D965" s="75"/>
      <c r="E965" s="75"/>
      <c r="F965" s="69"/>
      <c r="G965" s="69"/>
      <c r="H965" s="69"/>
      <c r="I965" s="69"/>
      <c r="J965" s="69"/>
      <c r="K965" s="69"/>
      <c r="L965" s="69"/>
      <c r="M965" s="69"/>
      <c r="N965" s="69"/>
      <c r="O965" s="146"/>
      <c r="P965" s="69"/>
      <c r="Q965" s="69"/>
      <c r="R965" s="45"/>
    </row>
    <row r="966" spans="1:18" x14ac:dyDescent="0.2">
      <c r="A966" s="45"/>
      <c r="B966" s="45"/>
      <c r="C966" s="74"/>
      <c r="D966" s="75"/>
      <c r="E966" s="75"/>
      <c r="F966" s="69"/>
      <c r="G966" s="69"/>
      <c r="H966" s="69"/>
      <c r="I966" s="69"/>
      <c r="J966" s="69"/>
      <c r="K966" s="69"/>
      <c r="L966" s="69"/>
      <c r="M966" s="69"/>
      <c r="N966" s="69"/>
      <c r="O966" s="146"/>
      <c r="P966" s="69"/>
      <c r="Q966" s="69"/>
      <c r="R966" s="45"/>
    </row>
    <row r="967" spans="1:18" x14ac:dyDescent="0.2">
      <c r="A967" s="45"/>
      <c r="B967" s="45"/>
      <c r="C967" s="74"/>
      <c r="D967" s="75"/>
      <c r="E967" s="75"/>
      <c r="F967" s="69"/>
      <c r="G967" s="69"/>
      <c r="H967" s="69"/>
      <c r="I967" s="69"/>
      <c r="J967" s="69"/>
      <c r="K967" s="69"/>
      <c r="L967" s="69"/>
      <c r="M967" s="69"/>
      <c r="N967" s="69"/>
      <c r="O967" s="146"/>
      <c r="P967" s="69"/>
      <c r="Q967" s="69"/>
      <c r="R967" s="45"/>
    </row>
    <row r="968" spans="1:18" x14ac:dyDescent="0.2">
      <c r="A968" s="45"/>
      <c r="B968" s="45"/>
      <c r="C968" s="74"/>
      <c r="D968" s="75"/>
      <c r="E968" s="75"/>
      <c r="F968" s="69"/>
      <c r="G968" s="69"/>
      <c r="H968" s="69"/>
      <c r="I968" s="69"/>
      <c r="J968" s="69"/>
      <c r="K968" s="69"/>
      <c r="L968" s="69"/>
      <c r="M968" s="69"/>
      <c r="N968" s="69"/>
      <c r="O968" s="146"/>
      <c r="P968" s="69"/>
      <c r="Q968" s="69"/>
      <c r="R968" s="45"/>
    </row>
    <row r="969" spans="1:18" x14ac:dyDescent="0.2">
      <c r="A969" s="45"/>
      <c r="B969" s="45"/>
      <c r="C969" s="74"/>
      <c r="D969" s="75"/>
      <c r="E969" s="75"/>
      <c r="F969" s="69"/>
      <c r="G969" s="69"/>
      <c r="H969" s="69"/>
      <c r="I969" s="69"/>
      <c r="J969" s="69"/>
      <c r="K969" s="69"/>
      <c r="L969" s="69"/>
      <c r="M969" s="69"/>
      <c r="N969" s="69"/>
      <c r="O969" s="146"/>
      <c r="P969" s="69"/>
      <c r="Q969" s="69"/>
      <c r="R969" s="45"/>
    </row>
    <row r="970" spans="1:18" x14ac:dyDescent="0.2">
      <c r="A970" s="45"/>
      <c r="B970" s="45"/>
      <c r="C970" s="74"/>
      <c r="D970" s="75"/>
      <c r="E970" s="75"/>
      <c r="F970" s="69"/>
      <c r="G970" s="69"/>
      <c r="H970" s="69"/>
      <c r="I970" s="69"/>
      <c r="J970" s="69"/>
      <c r="K970" s="69"/>
      <c r="L970" s="69"/>
      <c r="M970" s="69"/>
      <c r="N970" s="69"/>
      <c r="O970" s="146"/>
      <c r="P970" s="69"/>
      <c r="Q970" s="69"/>
      <c r="R970" s="45"/>
    </row>
    <row r="971" spans="1:18" x14ac:dyDescent="0.2">
      <c r="A971" s="45"/>
      <c r="B971" s="45"/>
      <c r="C971" s="74"/>
      <c r="D971" s="75"/>
      <c r="E971" s="75"/>
      <c r="F971" s="69"/>
      <c r="G971" s="69"/>
      <c r="H971" s="69"/>
      <c r="I971" s="69"/>
      <c r="J971" s="69"/>
      <c r="K971" s="69"/>
      <c r="L971" s="69"/>
      <c r="M971" s="69"/>
      <c r="N971" s="69"/>
      <c r="O971" s="146"/>
      <c r="P971" s="69"/>
      <c r="Q971" s="69"/>
      <c r="R971" s="45"/>
    </row>
    <row r="972" spans="1:18" x14ac:dyDescent="0.2">
      <c r="A972" s="45"/>
      <c r="B972" s="45"/>
      <c r="C972" s="74"/>
      <c r="D972" s="75"/>
      <c r="E972" s="75"/>
      <c r="F972" s="69"/>
      <c r="G972" s="69"/>
      <c r="H972" s="69"/>
      <c r="I972" s="69"/>
      <c r="J972" s="69"/>
      <c r="K972" s="69"/>
      <c r="L972" s="69"/>
      <c r="M972" s="69"/>
      <c r="N972" s="69"/>
      <c r="O972" s="146"/>
      <c r="P972" s="69"/>
      <c r="Q972" s="69"/>
      <c r="R972" s="45"/>
    </row>
    <row r="973" spans="1:18" x14ac:dyDescent="0.2">
      <c r="A973" s="45"/>
      <c r="B973" s="45"/>
      <c r="C973" s="74"/>
      <c r="D973" s="75"/>
      <c r="E973" s="75"/>
      <c r="F973" s="69"/>
      <c r="G973" s="69"/>
      <c r="H973" s="69"/>
      <c r="I973" s="69"/>
      <c r="J973" s="69"/>
      <c r="K973" s="69"/>
      <c r="L973" s="69"/>
      <c r="M973" s="69"/>
      <c r="N973" s="69"/>
      <c r="O973" s="146"/>
      <c r="P973" s="69"/>
      <c r="Q973" s="69"/>
      <c r="R973" s="45"/>
    </row>
    <row r="974" spans="1:18" x14ac:dyDescent="0.2">
      <c r="A974" s="45"/>
      <c r="B974" s="45"/>
      <c r="C974" s="74"/>
      <c r="D974" s="75"/>
      <c r="E974" s="75"/>
      <c r="F974" s="69"/>
      <c r="G974" s="69"/>
      <c r="H974" s="69"/>
      <c r="I974" s="69"/>
      <c r="J974" s="69"/>
      <c r="K974" s="69"/>
      <c r="L974" s="69"/>
      <c r="M974" s="69"/>
      <c r="N974" s="69"/>
      <c r="O974" s="146"/>
      <c r="P974" s="69"/>
      <c r="Q974" s="69"/>
      <c r="R974" s="45"/>
    </row>
    <row r="975" spans="1:18" x14ac:dyDescent="0.2">
      <c r="A975" s="45"/>
      <c r="B975" s="45"/>
      <c r="C975" s="74"/>
      <c r="D975" s="75"/>
      <c r="E975" s="75"/>
      <c r="F975" s="69"/>
      <c r="G975" s="69"/>
      <c r="H975" s="69"/>
      <c r="I975" s="69"/>
      <c r="J975" s="69"/>
      <c r="K975" s="69"/>
      <c r="L975" s="69"/>
      <c r="M975" s="69"/>
      <c r="N975" s="69"/>
      <c r="O975" s="146"/>
      <c r="P975" s="69"/>
      <c r="Q975" s="69"/>
      <c r="R975" s="45"/>
    </row>
    <row r="976" spans="1:18" x14ac:dyDescent="0.2">
      <c r="A976" s="45"/>
      <c r="B976" s="45"/>
      <c r="C976" s="74"/>
      <c r="D976" s="75"/>
      <c r="E976" s="75"/>
      <c r="F976" s="69"/>
      <c r="G976" s="69"/>
      <c r="H976" s="69"/>
      <c r="I976" s="69"/>
      <c r="J976" s="69"/>
      <c r="K976" s="69"/>
      <c r="L976" s="69"/>
      <c r="M976" s="69"/>
      <c r="N976" s="69"/>
      <c r="O976" s="146"/>
      <c r="P976" s="69"/>
      <c r="Q976" s="69"/>
      <c r="R976" s="45"/>
    </row>
    <row r="977" spans="1:18" x14ac:dyDescent="0.2">
      <c r="A977" s="45"/>
      <c r="B977" s="45"/>
      <c r="C977" s="74"/>
      <c r="D977" s="75"/>
      <c r="E977" s="75"/>
      <c r="F977" s="69"/>
      <c r="G977" s="69"/>
      <c r="H977" s="69"/>
      <c r="I977" s="69"/>
      <c r="J977" s="69"/>
      <c r="K977" s="69"/>
      <c r="L977" s="69"/>
      <c r="M977" s="69"/>
      <c r="N977" s="69"/>
      <c r="O977" s="146"/>
      <c r="P977" s="69"/>
      <c r="Q977" s="69"/>
      <c r="R977" s="45"/>
    </row>
    <row r="978" spans="1:18" x14ac:dyDescent="0.2">
      <c r="A978" s="45"/>
      <c r="B978" s="45"/>
      <c r="C978" s="74"/>
      <c r="D978" s="75"/>
      <c r="E978" s="75"/>
      <c r="F978" s="69"/>
      <c r="G978" s="69"/>
      <c r="H978" s="69"/>
      <c r="I978" s="69"/>
      <c r="J978" s="69"/>
      <c r="K978" s="69"/>
      <c r="L978" s="69"/>
      <c r="M978" s="69"/>
      <c r="N978" s="69"/>
      <c r="O978" s="146"/>
      <c r="P978" s="69"/>
      <c r="Q978" s="69"/>
      <c r="R978" s="45"/>
    </row>
    <row r="979" spans="1:18" x14ac:dyDescent="0.2">
      <c r="A979" s="45"/>
      <c r="B979" s="45"/>
      <c r="C979" s="74"/>
      <c r="D979" s="75"/>
      <c r="E979" s="75"/>
      <c r="F979" s="69"/>
      <c r="G979" s="69"/>
      <c r="H979" s="69"/>
      <c r="I979" s="69"/>
      <c r="J979" s="69"/>
      <c r="K979" s="69"/>
      <c r="L979" s="69"/>
      <c r="M979" s="69"/>
      <c r="N979" s="69"/>
      <c r="O979" s="146"/>
      <c r="P979" s="69"/>
      <c r="Q979" s="69"/>
      <c r="R979" s="45"/>
    </row>
    <row r="980" spans="1:18" x14ac:dyDescent="0.2">
      <c r="A980" s="45"/>
      <c r="B980" s="45"/>
      <c r="C980" s="74"/>
      <c r="D980" s="75"/>
      <c r="E980" s="75"/>
      <c r="F980" s="69"/>
      <c r="G980" s="69"/>
      <c r="H980" s="69"/>
      <c r="I980" s="69"/>
      <c r="J980" s="69"/>
      <c r="K980" s="69"/>
      <c r="L980" s="69"/>
      <c r="M980" s="69"/>
      <c r="N980" s="69"/>
      <c r="O980" s="146"/>
      <c r="P980" s="69"/>
      <c r="Q980" s="69"/>
      <c r="R980" s="45"/>
    </row>
    <row r="981" spans="1:18" x14ac:dyDescent="0.2">
      <c r="A981" s="45"/>
      <c r="B981" s="45"/>
      <c r="C981" s="74"/>
      <c r="D981" s="75"/>
      <c r="E981" s="75"/>
      <c r="F981" s="69"/>
      <c r="G981" s="69"/>
      <c r="H981" s="69"/>
      <c r="I981" s="69"/>
      <c r="J981" s="69"/>
      <c r="K981" s="69"/>
      <c r="L981" s="69"/>
      <c r="M981" s="69"/>
      <c r="N981" s="69"/>
      <c r="O981" s="146"/>
      <c r="P981" s="69"/>
      <c r="Q981" s="69"/>
      <c r="R981" s="45"/>
    </row>
    <row r="982" spans="1:18" x14ac:dyDescent="0.2">
      <c r="A982" s="45"/>
      <c r="B982" s="45"/>
      <c r="C982" s="74"/>
      <c r="D982" s="75"/>
      <c r="E982" s="75"/>
      <c r="F982" s="69"/>
      <c r="G982" s="69"/>
      <c r="H982" s="69"/>
      <c r="I982" s="69"/>
      <c r="J982" s="69"/>
      <c r="K982" s="69"/>
      <c r="L982" s="69"/>
      <c r="M982" s="69"/>
      <c r="N982" s="69"/>
      <c r="O982" s="146"/>
      <c r="P982" s="69"/>
      <c r="Q982" s="69"/>
      <c r="R982" s="45"/>
    </row>
    <row r="983" spans="1:18" x14ac:dyDescent="0.2">
      <c r="A983" s="45"/>
      <c r="B983" s="45"/>
      <c r="C983" s="74"/>
      <c r="D983" s="75"/>
      <c r="E983" s="75"/>
      <c r="F983" s="69"/>
      <c r="G983" s="69"/>
      <c r="H983" s="69"/>
      <c r="I983" s="69"/>
      <c r="J983" s="69"/>
      <c r="K983" s="69"/>
      <c r="L983" s="69"/>
      <c r="M983" s="69"/>
      <c r="N983" s="69"/>
      <c r="O983" s="146"/>
      <c r="P983" s="69"/>
      <c r="Q983" s="69"/>
      <c r="R983" s="45"/>
    </row>
    <row r="984" spans="1:18" x14ac:dyDescent="0.2">
      <c r="A984" s="45"/>
      <c r="B984" s="45"/>
      <c r="C984" s="74"/>
      <c r="D984" s="75"/>
      <c r="E984" s="75"/>
      <c r="F984" s="69"/>
      <c r="G984" s="69"/>
      <c r="H984" s="69"/>
      <c r="I984" s="69"/>
      <c r="J984" s="69"/>
      <c r="K984" s="69"/>
      <c r="L984" s="69"/>
      <c r="M984" s="69"/>
      <c r="N984" s="69"/>
      <c r="O984" s="146"/>
      <c r="P984" s="69"/>
      <c r="Q984" s="69"/>
      <c r="R984" s="45"/>
    </row>
    <row r="985" spans="1:18" x14ac:dyDescent="0.2">
      <c r="A985" s="45"/>
      <c r="B985" s="45"/>
      <c r="C985" s="74"/>
      <c r="D985" s="75"/>
      <c r="E985" s="75"/>
      <c r="F985" s="69"/>
      <c r="G985" s="69"/>
      <c r="H985" s="69"/>
      <c r="I985" s="69"/>
      <c r="J985" s="69"/>
      <c r="K985" s="69"/>
      <c r="L985" s="69"/>
      <c r="M985" s="69"/>
      <c r="N985" s="69"/>
      <c r="O985" s="146"/>
      <c r="P985" s="69"/>
      <c r="Q985" s="69"/>
      <c r="R985" s="45"/>
    </row>
    <row r="986" spans="1:18" x14ac:dyDescent="0.2">
      <c r="A986" s="45"/>
      <c r="B986" s="45"/>
      <c r="C986" s="74"/>
      <c r="D986" s="75"/>
      <c r="E986" s="75"/>
      <c r="F986" s="69"/>
      <c r="G986" s="69"/>
      <c r="H986" s="69"/>
      <c r="I986" s="69"/>
      <c r="J986" s="69"/>
      <c r="K986" s="69"/>
      <c r="L986" s="69"/>
      <c r="M986" s="69"/>
      <c r="N986" s="69"/>
      <c r="O986" s="146"/>
      <c r="P986" s="69"/>
      <c r="Q986" s="69"/>
      <c r="R986" s="45"/>
    </row>
    <row r="987" spans="1:18" x14ac:dyDescent="0.2">
      <c r="A987" s="45"/>
      <c r="B987" s="45"/>
      <c r="C987" s="74"/>
      <c r="D987" s="75"/>
      <c r="E987" s="75"/>
      <c r="F987" s="69"/>
      <c r="G987" s="69"/>
      <c r="H987" s="69"/>
      <c r="I987" s="69"/>
      <c r="J987" s="69"/>
      <c r="K987" s="69"/>
      <c r="L987" s="69"/>
      <c r="M987" s="69"/>
      <c r="N987" s="69"/>
      <c r="O987" s="146"/>
      <c r="P987" s="69"/>
      <c r="Q987" s="69"/>
      <c r="R987" s="45"/>
    </row>
    <row r="988" spans="1:18" x14ac:dyDescent="0.2">
      <c r="A988" s="45"/>
      <c r="B988" s="45"/>
      <c r="C988" s="74"/>
      <c r="D988" s="75"/>
      <c r="E988" s="75"/>
      <c r="F988" s="69"/>
      <c r="G988" s="69"/>
      <c r="H988" s="69"/>
      <c r="I988" s="69"/>
      <c r="J988" s="69"/>
      <c r="K988" s="69"/>
      <c r="L988" s="69"/>
      <c r="M988" s="69"/>
      <c r="N988" s="69"/>
      <c r="O988" s="146"/>
      <c r="P988" s="69"/>
      <c r="Q988" s="69"/>
      <c r="R988" s="45"/>
    </row>
    <row r="989" spans="1:18" x14ac:dyDescent="0.2">
      <c r="A989" s="45"/>
      <c r="B989" s="45"/>
      <c r="C989" s="74"/>
      <c r="D989" s="75"/>
      <c r="E989" s="75"/>
      <c r="F989" s="69"/>
      <c r="G989" s="69"/>
      <c r="H989" s="69"/>
      <c r="I989" s="69"/>
      <c r="J989" s="69"/>
      <c r="K989" s="69"/>
      <c r="L989" s="69"/>
      <c r="M989" s="69"/>
      <c r="N989" s="69"/>
      <c r="O989" s="146"/>
      <c r="P989" s="69"/>
      <c r="Q989" s="69"/>
      <c r="R989" s="45"/>
    </row>
    <row r="990" spans="1:18" x14ac:dyDescent="0.2">
      <c r="A990" s="45"/>
      <c r="B990" s="45"/>
      <c r="C990" s="74"/>
      <c r="D990" s="75"/>
      <c r="E990" s="75"/>
      <c r="F990" s="69"/>
      <c r="G990" s="69"/>
      <c r="H990" s="69"/>
      <c r="I990" s="69"/>
      <c r="J990" s="69"/>
      <c r="K990" s="69"/>
      <c r="L990" s="69"/>
      <c r="M990" s="69"/>
      <c r="N990" s="69"/>
      <c r="O990" s="146"/>
      <c r="P990" s="69"/>
      <c r="Q990" s="69"/>
      <c r="R990" s="45"/>
    </row>
    <row r="991" spans="1:18" x14ac:dyDescent="0.2">
      <c r="A991" s="45"/>
      <c r="B991" s="45"/>
      <c r="C991" s="74"/>
      <c r="D991" s="75"/>
      <c r="E991" s="75"/>
      <c r="F991" s="69"/>
      <c r="G991" s="69"/>
      <c r="H991" s="69"/>
      <c r="I991" s="69"/>
      <c r="J991" s="69"/>
      <c r="K991" s="69"/>
      <c r="L991" s="69"/>
      <c r="M991" s="69"/>
      <c r="N991" s="69"/>
      <c r="O991" s="146"/>
      <c r="P991" s="69"/>
      <c r="Q991" s="69"/>
      <c r="R991" s="45"/>
    </row>
    <row r="992" spans="1:18" x14ac:dyDescent="0.2">
      <c r="A992" s="45"/>
      <c r="B992" s="45"/>
      <c r="C992" s="74"/>
      <c r="D992" s="75"/>
      <c r="E992" s="75"/>
      <c r="F992" s="69"/>
      <c r="G992" s="69"/>
      <c r="H992" s="69"/>
      <c r="I992" s="69"/>
      <c r="J992" s="69"/>
      <c r="K992" s="69"/>
      <c r="L992" s="69"/>
      <c r="M992" s="69"/>
      <c r="N992" s="69"/>
      <c r="O992" s="146"/>
      <c r="P992" s="69"/>
      <c r="Q992" s="69"/>
      <c r="R992" s="45"/>
    </row>
    <row r="993" spans="1:18" x14ac:dyDescent="0.2">
      <c r="A993" s="45"/>
      <c r="B993" s="45"/>
      <c r="C993" s="74"/>
      <c r="D993" s="75"/>
      <c r="E993" s="75"/>
      <c r="F993" s="69"/>
      <c r="G993" s="69"/>
      <c r="H993" s="69"/>
      <c r="I993" s="69"/>
      <c r="J993" s="69"/>
      <c r="K993" s="69"/>
      <c r="L993" s="69"/>
      <c r="M993" s="69"/>
      <c r="N993" s="69"/>
      <c r="O993" s="146"/>
      <c r="P993" s="69"/>
      <c r="Q993" s="69"/>
      <c r="R993" s="45"/>
    </row>
    <row r="994" spans="1:18" x14ac:dyDescent="0.2">
      <c r="A994" s="45"/>
      <c r="B994" s="45"/>
      <c r="C994" s="74"/>
      <c r="D994" s="75"/>
      <c r="E994" s="75"/>
      <c r="F994" s="69"/>
      <c r="G994" s="69"/>
      <c r="H994" s="69"/>
      <c r="I994" s="69"/>
      <c r="J994" s="69"/>
      <c r="K994" s="69"/>
      <c r="L994" s="69"/>
      <c r="M994" s="69"/>
      <c r="N994" s="69"/>
      <c r="O994" s="146"/>
      <c r="P994" s="69"/>
      <c r="Q994" s="69"/>
      <c r="R994" s="45"/>
    </row>
    <row r="995" spans="1:18" x14ac:dyDescent="0.2">
      <c r="A995" s="45"/>
      <c r="B995" s="45"/>
      <c r="C995" s="74"/>
      <c r="D995" s="75"/>
      <c r="E995" s="75"/>
      <c r="F995" s="69"/>
      <c r="G995" s="69"/>
      <c r="H995" s="69"/>
      <c r="I995" s="69"/>
      <c r="J995" s="69"/>
      <c r="K995" s="69"/>
      <c r="L995" s="69"/>
      <c r="M995" s="69"/>
      <c r="N995" s="69"/>
      <c r="O995" s="146"/>
      <c r="P995" s="69"/>
      <c r="Q995" s="69"/>
      <c r="R995" s="45"/>
    </row>
    <row r="996" spans="1:18" x14ac:dyDescent="0.2">
      <c r="A996" s="45"/>
      <c r="B996" s="45"/>
      <c r="C996" s="74"/>
      <c r="D996" s="75"/>
      <c r="E996" s="75"/>
      <c r="F996" s="69"/>
      <c r="G996" s="69"/>
      <c r="H996" s="69"/>
      <c r="I996" s="69"/>
      <c r="J996" s="69"/>
      <c r="K996" s="69"/>
      <c r="L996" s="69"/>
      <c r="M996" s="69"/>
      <c r="N996" s="69"/>
      <c r="O996" s="146"/>
      <c r="P996" s="69"/>
      <c r="Q996" s="69"/>
      <c r="R996" s="45"/>
    </row>
    <row r="997" spans="1:18" x14ac:dyDescent="0.2">
      <c r="A997" s="45"/>
      <c r="B997" s="45"/>
      <c r="C997" s="74"/>
      <c r="D997" s="75"/>
      <c r="E997" s="75"/>
      <c r="F997" s="69"/>
      <c r="G997" s="69"/>
      <c r="H997" s="69"/>
      <c r="I997" s="69"/>
      <c r="J997" s="69"/>
      <c r="K997" s="69"/>
      <c r="L997" s="69"/>
      <c r="M997" s="69"/>
      <c r="N997" s="69"/>
      <c r="O997" s="146"/>
      <c r="P997" s="69"/>
      <c r="Q997" s="69"/>
      <c r="R997" s="45"/>
    </row>
    <row r="998" spans="1:18" x14ac:dyDescent="0.2">
      <c r="A998" s="45"/>
      <c r="B998" s="45"/>
      <c r="C998" s="74"/>
      <c r="D998" s="75"/>
      <c r="E998" s="75"/>
      <c r="F998" s="69"/>
      <c r="G998" s="69"/>
      <c r="H998" s="69"/>
      <c r="I998" s="69"/>
      <c r="J998" s="69"/>
      <c r="K998" s="69"/>
      <c r="L998" s="69"/>
      <c r="M998" s="69"/>
      <c r="N998" s="69"/>
      <c r="O998" s="146"/>
      <c r="P998" s="69"/>
      <c r="Q998" s="69"/>
      <c r="R998" s="45"/>
    </row>
    <row r="999" spans="1:18" x14ac:dyDescent="0.2">
      <c r="A999" s="45"/>
      <c r="B999" s="45"/>
      <c r="C999" s="74"/>
      <c r="D999" s="75"/>
      <c r="E999" s="75"/>
      <c r="F999" s="69"/>
      <c r="G999" s="69"/>
      <c r="H999" s="69"/>
      <c r="I999" s="69"/>
      <c r="J999" s="69"/>
      <c r="K999" s="69"/>
      <c r="L999" s="69"/>
      <c r="M999" s="69"/>
      <c r="N999" s="69"/>
      <c r="O999" s="146"/>
      <c r="P999" s="69"/>
      <c r="Q999" s="69"/>
      <c r="R999" s="45"/>
    </row>
    <row r="1000" spans="1:18" x14ac:dyDescent="0.2">
      <c r="A1000" s="45"/>
      <c r="B1000" s="45"/>
      <c r="C1000" s="74"/>
      <c r="D1000" s="75"/>
      <c r="E1000" s="75"/>
      <c r="F1000" s="69"/>
      <c r="G1000" s="69"/>
      <c r="H1000" s="69"/>
      <c r="I1000" s="69"/>
      <c r="J1000" s="69"/>
      <c r="K1000" s="69"/>
      <c r="L1000" s="69"/>
      <c r="M1000" s="69"/>
      <c r="N1000" s="69"/>
      <c r="O1000" s="146"/>
      <c r="P1000" s="69"/>
      <c r="Q1000" s="69"/>
      <c r="R1000" s="45"/>
    </row>
    <row r="1001" spans="1:18" x14ac:dyDescent="0.2">
      <c r="A1001" s="45"/>
      <c r="B1001" s="45"/>
      <c r="C1001" s="74"/>
      <c r="D1001" s="75"/>
      <c r="E1001" s="75"/>
      <c r="F1001" s="69"/>
      <c r="G1001" s="69"/>
      <c r="H1001" s="69"/>
      <c r="I1001" s="69"/>
      <c r="J1001" s="69"/>
      <c r="K1001" s="69"/>
      <c r="L1001" s="69"/>
      <c r="M1001" s="69"/>
      <c r="N1001" s="69"/>
      <c r="O1001" s="146"/>
      <c r="P1001" s="69"/>
      <c r="Q1001" s="69"/>
      <c r="R1001" s="45"/>
    </row>
    <row r="1002" spans="1:18" x14ac:dyDescent="0.2">
      <c r="A1002" s="45"/>
      <c r="B1002" s="45"/>
      <c r="C1002" s="74"/>
      <c r="D1002" s="75"/>
      <c r="E1002" s="75"/>
      <c r="F1002" s="69"/>
      <c r="G1002" s="69"/>
      <c r="H1002" s="69"/>
      <c r="I1002" s="69"/>
      <c r="J1002" s="69"/>
      <c r="K1002" s="69"/>
      <c r="L1002" s="69"/>
      <c r="M1002" s="69"/>
      <c r="N1002" s="69"/>
      <c r="O1002" s="146"/>
      <c r="P1002" s="69"/>
      <c r="Q1002" s="69"/>
      <c r="R1002" s="45"/>
    </row>
    <row r="1003" spans="1:18" x14ac:dyDescent="0.2">
      <c r="A1003" s="45"/>
      <c r="B1003" s="45"/>
      <c r="C1003" s="74"/>
      <c r="D1003" s="75"/>
      <c r="E1003" s="75"/>
      <c r="F1003" s="69"/>
      <c r="G1003" s="69"/>
      <c r="H1003" s="69"/>
      <c r="I1003" s="69"/>
      <c r="J1003" s="69"/>
      <c r="K1003" s="69"/>
      <c r="L1003" s="69"/>
      <c r="M1003" s="69"/>
      <c r="N1003" s="69"/>
      <c r="O1003" s="146"/>
      <c r="P1003" s="69"/>
      <c r="Q1003" s="69"/>
      <c r="R1003" s="45"/>
    </row>
    <row r="1004" spans="1:18" x14ac:dyDescent="0.2">
      <c r="A1004" s="45"/>
      <c r="B1004" s="45"/>
      <c r="C1004" s="74"/>
      <c r="D1004" s="75"/>
      <c r="E1004" s="75"/>
      <c r="F1004" s="69"/>
      <c r="G1004" s="69"/>
      <c r="H1004" s="69"/>
      <c r="I1004" s="69"/>
      <c r="J1004" s="69"/>
      <c r="K1004" s="69"/>
      <c r="L1004" s="69"/>
      <c r="M1004" s="69"/>
      <c r="N1004" s="69"/>
      <c r="O1004" s="146"/>
      <c r="P1004" s="69"/>
      <c r="Q1004" s="69"/>
      <c r="R1004" s="45"/>
    </row>
    <row r="1005" spans="1:18" x14ac:dyDescent="0.2">
      <c r="A1005" s="45"/>
      <c r="B1005" s="45"/>
      <c r="C1005" s="74"/>
      <c r="D1005" s="75"/>
      <c r="E1005" s="75"/>
      <c r="F1005" s="69"/>
      <c r="G1005" s="69"/>
      <c r="H1005" s="69"/>
      <c r="I1005" s="69"/>
      <c r="J1005" s="69"/>
      <c r="K1005" s="69"/>
      <c r="L1005" s="69"/>
      <c r="M1005" s="69"/>
      <c r="N1005" s="69"/>
      <c r="O1005" s="146"/>
      <c r="P1005" s="69"/>
      <c r="Q1005" s="69"/>
      <c r="R1005" s="45"/>
    </row>
    <row r="1006" spans="1:18" x14ac:dyDescent="0.2">
      <c r="A1006" s="45"/>
      <c r="B1006" s="45"/>
      <c r="C1006" s="74"/>
      <c r="D1006" s="75"/>
      <c r="E1006" s="75"/>
      <c r="F1006" s="69"/>
      <c r="G1006" s="69"/>
      <c r="H1006" s="69"/>
      <c r="I1006" s="69"/>
      <c r="J1006" s="69"/>
      <c r="K1006" s="69"/>
      <c r="L1006" s="69"/>
      <c r="M1006" s="69"/>
      <c r="N1006" s="69"/>
      <c r="O1006" s="146"/>
      <c r="P1006" s="69"/>
      <c r="Q1006" s="69"/>
      <c r="R1006" s="45"/>
    </row>
    <row r="1007" spans="1:18" x14ac:dyDescent="0.2">
      <c r="A1007" s="45"/>
      <c r="B1007" s="45"/>
      <c r="C1007" s="74"/>
      <c r="D1007" s="75"/>
      <c r="E1007" s="75"/>
      <c r="F1007" s="69"/>
      <c r="G1007" s="69"/>
      <c r="H1007" s="69"/>
      <c r="I1007" s="69"/>
      <c r="J1007" s="69"/>
      <c r="K1007" s="69"/>
      <c r="L1007" s="69"/>
      <c r="M1007" s="69"/>
      <c r="N1007" s="69"/>
      <c r="O1007" s="146"/>
      <c r="P1007" s="69"/>
      <c r="Q1007" s="69"/>
      <c r="R1007" s="45"/>
    </row>
    <row r="1008" spans="1:18" x14ac:dyDescent="0.2">
      <c r="A1008" s="45"/>
      <c r="B1008" s="45"/>
      <c r="C1008" s="74"/>
      <c r="D1008" s="75"/>
      <c r="E1008" s="75"/>
      <c r="F1008" s="69"/>
      <c r="G1008" s="69"/>
      <c r="H1008" s="69"/>
      <c r="I1008" s="69"/>
      <c r="J1008" s="69"/>
      <c r="K1008" s="69"/>
      <c r="L1008" s="69"/>
      <c r="M1008" s="69"/>
      <c r="N1008" s="69"/>
      <c r="O1008" s="146"/>
      <c r="P1008" s="69"/>
      <c r="Q1008" s="69"/>
      <c r="R1008" s="45"/>
    </row>
    <row r="1009" spans="1:18" x14ac:dyDescent="0.2">
      <c r="A1009" s="45"/>
      <c r="B1009" s="45"/>
      <c r="C1009" s="74"/>
      <c r="D1009" s="75"/>
      <c r="E1009" s="75"/>
      <c r="F1009" s="69"/>
      <c r="G1009" s="69"/>
      <c r="H1009" s="69"/>
      <c r="I1009" s="69"/>
      <c r="J1009" s="69"/>
      <c r="K1009" s="69"/>
      <c r="L1009" s="69"/>
      <c r="M1009" s="69"/>
      <c r="N1009" s="69"/>
      <c r="O1009" s="146"/>
      <c r="P1009" s="69"/>
      <c r="Q1009" s="69"/>
      <c r="R1009" s="45"/>
    </row>
    <row r="1010" spans="1:18" x14ac:dyDescent="0.2">
      <c r="A1010" s="45"/>
      <c r="B1010" s="45"/>
      <c r="C1010" s="74"/>
      <c r="D1010" s="75"/>
      <c r="E1010" s="75"/>
      <c r="F1010" s="69"/>
      <c r="G1010" s="69"/>
      <c r="H1010" s="69"/>
      <c r="I1010" s="69"/>
      <c r="J1010" s="69"/>
      <c r="K1010" s="69"/>
      <c r="L1010" s="69"/>
      <c r="M1010" s="69"/>
      <c r="N1010" s="69"/>
      <c r="O1010" s="146"/>
      <c r="P1010" s="69"/>
      <c r="Q1010" s="69"/>
      <c r="R1010" s="45"/>
    </row>
    <row r="1011" spans="1:18" x14ac:dyDescent="0.2">
      <c r="A1011" s="45"/>
      <c r="B1011" s="45"/>
      <c r="C1011" s="74"/>
      <c r="D1011" s="75"/>
      <c r="E1011" s="75"/>
      <c r="F1011" s="69"/>
      <c r="G1011" s="69"/>
      <c r="H1011" s="69"/>
      <c r="I1011" s="69"/>
      <c r="J1011" s="69"/>
      <c r="K1011" s="69"/>
      <c r="L1011" s="69"/>
      <c r="M1011" s="69"/>
      <c r="N1011" s="69"/>
      <c r="O1011" s="146"/>
      <c r="P1011" s="69"/>
      <c r="Q1011" s="69"/>
      <c r="R1011" s="45"/>
    </row>
    <row r="1012" spans="1:18" x14ac:dyDescent="0.2">
      <c r="A1012" s="45"/>
      <c r="B1012" s="45"/>
      <c r="C1012" s="74"/>
      <c r="D1012" s="75"/>
      <c r="E1012" s="75"/>
      <c r="F1012" s="69"/>
      <c r="G1012" s="69"/>
      <c r="H1012" s="69"/>
      <c r="I1012" s="69"/>
      <c r="J1012" s="69"/>
      <c r="K1012" s="69"/>
      <c r="L1012" s="69"/>
      <c r="M1012" s="69"/>
      <c r="N1012" s="69"/>
      <c r="O1012" s="146"/>
      <c r="P1012" s="69"/>
      <c r="Q1012" s="69"/>
      <c r="R1012" s="45"/>
    </row>
    <row r="1013" spans="1:18" x14ac:dyDescent="0.2">
      <c r="A1013" s="45"/>
      <c r="B1013" s="45"/>
      <c r="C1013" s="74"/>
      <c r="D1013" s="75"/>
      <c r="E1013" s="75"/>
      <c r="F1013" s="69"/>
      <c r="G1013" s="69"/>
      <c r="H1013" s="69"/>
      <c r="I1013" s="69"/>
      <c r="J1013" s="69"/>
      <c r="K1013" s="69"/>
      <c r="L1013" s="69"/>
      <c r="M1013" s="69"/>
      <c r="N1013" s="69"/>
      <c r="O1013" s="146"/>
      <c r="P1013" s="69"/>
      <c r="Q1013" s="69"/>
      <c r="R1013" s="45"/>
    </row>
    <row r="1014" spans="1:18" x14ac:dyDescent="0.2">
      <c r="A1014" s="45"/>
      <c r="B1014" s="45"/>
      <c r="C1014" s="74"/>
      <c r="D1014" s="75"/>
      <c r="E1014" s="75"/>
      <c r="F1014" s="69"/>
      <c r="G1014" s="69"/>
      <c r="H1014" s="69"/>
      <c r="I1014" s="69"/>
      <c r="J1014" s="69"/>
      <c r="K1014" s="69"/>
      <c r="L1014" s="69"/>
      <c r="M1014" s="69"/>
      <c r="N1014" s="69"/>
      <c r="O1014" s="146"/>
      <c r="P1014" s="69"/>
      <c r="Q1014" s="69"/>
      <c r="R1014" s="45"/>
    </row>
    <row r="1015" spans="1:18" x14ac:dyDescent="0.2">
      <c r="A1015" s="45"/>
      <c r="B1015" s="45"/>
      <c r="C1015" s="74"/>
      <c r="D1015" s="75"/>
      <c r="E1015" s="75"/>
      <c r="F1015" s="69"/>
      <c r="G1015" s="69"/>
      <c r="H1015" s="69"/>
      <c r="I1015" s="69"/>
      <c r="J1015" s="69"/>
      <c r="K1015" s="69"/>
      <c r="L1015" s="69"/>
      <c r="M1015" s="69"/>
      <c r="N1015" s="69"/>
      <c r="O1015" s="146"/>
      <c r="P1015" s="69"/>
      <c r="Q1015" s="69"/>
      <c r="R1015" s="45"/>
    </row>
    <row r="1016" spans="1:18" x14ac:dyDescent="0.2">
      <c r="A1016" s="45"/>
      <c r="B1016" s="45"/>
      <c r="C1016" s="74"/>
      <c r="D1016" s="75"/>
      <c r="E1016" s="75"/>
      <c r="F1016" s="69"/>
      <c r="G1016" s="69"/>
      <c r="H1016" s="69"/>
      <c r="I1016" s="69"/>
      <c r="J1016" s="69"/>
      <c r="K1016" s="69"/>
      <c r="L1016" s="69"/>
      <c r="M1016" s="69"/>
      <c r="N1016" s="69"/>
      <c r="O1016" s="146"/>
      <c r="P1016" s="69"/>
      <c r="Q1016" s="69"/>
      <c r="R1016" s="45"/>
    </row>
    <row r="1017" spans="1:18" x14ac:dyDescent="0.2">
      <c r="A1017" s="45"/>
      <c r="B1017" s="45"/>
      <c r="C1017" s="74"/>
      <c r="D1017" s="75"/>
      <c r="E1017" s="75"/>
      <c r="F1017" s="69"/>
      <c r="G1017" s="69"/>
      <c r="H1017" s="69"/>
      <c r="I1017" s="69"/>
      <c r="J1017" s="69"/>
      <c r="K1017" s="69"/>
      <c r="L1017" s="69"/>
      <c r="M1017" s="69"/>
      <c r="N1017" s="69"/>
      <c r="O1017" s="146"/>
      <c r="P1017" s="69"/>
      <c r="Q1017" s="69"/>
      <c r="R1017" s="45"/>
    </row>
    <row r="1018" spans="1:18" x14ac:dyDescent="0.2">
      <c r="A1018" s="45"/>
      <c r="B1018" s="45"/>
      <c r="C1018" s="74"/>
      <c r="D1018" s="75"/>
      <c r="E1018" s="75"/>
      <c r="F1018" s="69"/>
      <c r="G1018" s="69"/>
      <c r="H1018" s="69"/>
      <c r="I1018" s="69"/>
      <c r="J1018" s="69"/>
      <c r="K1018" s="69"/>
      <c r="L1018" s="69"/>
      <c r="M1018" s="69"/>
      <c r="N1018" s="69"/>
      <c r="O1018" s="146"/>
      <c r="P1018" s="69"/>
      <c r="Q1018" s="69"/>
      <c r="R1018" s="45"/>
    </row>
    <row r="1019" spans="1:18" x14ac:dyDescent="0.2">
      <c r="A1019" s="45"/>
      <c r="B1019" s="45"/>
      <c r="C1019" s="74"/>
      <c r="D1019" s="75"/>
      <c r="E1019" s="75"/>
      <c r="F1019" s="69"/>
      <c r="G1019" s="69"/>
      <c r="H1019" s="69"/>
      <c r="I1019" s="69"/>
      <c r="J1019" s="69"/>
      <c r="K1019" s="69"/>
      <c r="L1019" s="69"/>
      <c r="M1019" s="69"/>
      <c r="N1019" s="69"/>
      <c r="O1019" s="146"/>
      <c r="P1019" s="69"/>
      <c r="Q1019" s="69"/>
      <c r="R1019" s="45"/>
    </row>
    <row r="1020" spans="1:18" x14ac:dyDescent="0.2">
      <c r="A1020" s="45"/>
      <c r="B1020" s="45"/>
      <c r="C1020" s="74"/>
      <c r="D1020" s="75"/>
      <c r="E1020" s="75"/>
      <c r="F1020" s="69"/>
      <c r="G1020" s="69"/>
      <c r="H1020" s="69"/>
      <c r="I1020" s="69"/>
      <c r="J1020" s="69"/>
      <c r="K1020" s="69"/>
      <c r="L1020" s="69"/>
      <c r="M1020" s="69"/>
      <c r="N1020" s="69"/>
      <c r="O1020" s="146"/>
      <c r="P1020" s="69"/>
      <c r="Q1020" s="69"/>
      <c r="R1020" s="45"/>
    </row>
    <row r="1021" spans="1:18" x14ac:dyDescent="0.2">
      <c r="A1021" s="45"/>
      <c r="B1021" s="45"/>
      <c r="C1021" s="74"/>
      <c r="D1021" s="75"/>
      <c r="E1021" s="75"/>
      <c r="F1021" s="69"/>
      <c r="G1021" s="69"/>
      <c r="H1021" s="69"/>
      <c r="I1021" s="69"/>
      <c r="J1021" s="69"/>
      <c r="K1021" s="69"/>
      <c r="L1021" s="69"/>
      <c r="M1021" s="69"/>
      <c r="N1021" s="69"/>
      <c r="O1021" s="146"/>
      <c r="P1021" s="69"/>
      <c r="Q1021" s="69"/>
      <c r="R1021" s="45"/>
    </row>
    <row r="1022" spans="1:18" x14ac:dyDescent="0.2">
      <c r="A1022" s="45"/>
      <c r="B1022" s="45"/>
      <c r="C1022" s="74"/>
      <c r="D1022" s="75"/>
      <c r="E1022" s="75"/>
      <c r="F1022" s="69"/>
      <c r="G1022" s="69"/>
      <c r="H1022" s="69"/>
      <c r="I1022" s="69"/>
      <c r="J1022" s="69"/>
      <c r="K1022" s="69"/>
      <c r="L1022" s="69"/>
      <c r="M1022" s="69"/>
      <c r="N1022" s="69"/>
      <c r="O1022" s="146"/>
      <c r="P1022" s="69"/>
      <c r="Q1022" s="69"/>
      <c r="R1022" s="45"/>
    </row>
    <row r="1023" spans="1:18" x14ac:dyDescent="0.2">
      <c r="A1023" s="45"/>
      <c r="B1023" s="45"/>
      <c r="C1023" s="74"/>
      <c r="D1023" s="75"/>
      <c r="E1023" s="75"/>
      <c r="F1023" s="69"/>
      <c r="G1023" s="69"/>
      <c r="H1023" s="69"/>
      <c r="I1023" s="69"/>
      <c r="J1023" s="69"/>
      <c r="K1023" s="69"/>
      <c r="L1023" s="69"/>
      <c r="M1023" s="69"/>
      <c r="N1023" s="69"/>
      <c r="O1023" s="146"/>
      <c r="P1023" s="69"/>
      <c r="Q1023" s="69"/>
      <c r="R1023" s="45"/>
    </row>
    <row r="1024" spans="1:18" x14ac:dyDescent="0.2">
      <c r="A1024" s="45"/>
      <c r="B1024" s="45"/>
      <c r="C1024" s="74"/>
      <c r="D1024" s="75"/>
      <c r="E1024" s="75"/>
      <c r="F1024" s="69"/>
      <c r="G1024" s="69"/>
      <c r="H1024" s="69"/>
      <c r="I1024" s="69"/>
      <c r="J1024" s="69"/>
      <c r="K1024" s="69"/>
      <c r="L1024" s="69"/>
      <c r="M1024" s="69"/>
      <c r="N1024" s="69"/>
      <c r="O1024" s="146"/>
      <c r="P1024" s="69"/>
      <c r="Q1024" s="69"/>
      <c r="R1024" s="45"/>
    </row>
    <row r="1025" spans="1:18" x14ac:dyDescent="0.2">
      <c r="A1025" s="45"/>
      <c r="B1025" s="45"/>
      <c r="C1025" s="74"/>
      <c r="D1025" s="75"/>
      <c r="E1025" s="75"/>
      <c r="F1025" s="69"/>
      <c r="G1025" s="69"/>
      <c r="H1025" s="69"/>
      <c r="I1025" s="69"/>
      <c r="J1025" s="69"/>
      <c r="K1025" s="69"/>
      <c r="L1025" s="69"/>
      <c r="M1025" s="69"/>
      <c r="N1025" s="69"/>
      <c r="O1025" s="146"/>
      <c r="P1025" s="69"/>
      <c r="Q1025" s="69"/>
      <c r="R1025" s="45"/>
    </row>
    <row r="1026" spans="1:18" x14ac:dyDescent="0.2">
      <c r="A1026" s="45"/>
      <c r="B1026" s="45"/>
      <c r="C1026" s="74"/>
      <c r="D1026" s="75"/>
      <c r="E1026" s="75"/>
      <c r="F1026" s="69"/>
      <c r="G1026" s="69"/>
      <c r="H1026" s="69"/>
      <c r="I1026" s="69"/>
      <c r="J1026" s="69"/>
      <c r="K1026" s="69"/>
      <c r="L1026" s="69"/>
      <c r="M1026" s="69"/>
      <c r="N1026" s="69"/>
      <c r="O1026" s="146"/>
      <c r="P1026" s="69"/>
      <c r="Q1026" s="69"/>
      <c r="R1026" s="45"/>
    </row>
    <row r="1027" spans="1:18" x14ac:dyDescent="0.2">
      <c r="A1027" s="45"/>
      <c r="B1027" s="45"/>
      <c r="C1027" s="74"/>
      <c r="D1027" s="75"/>
      <c r="E1027" s="75"/>
      <c r="F1027" s="69"/>
      <c r="G1027" s="69"/>
      <c r="H1027" s="69"/>
      <c r="I1027" s="69"/>
      <c r="J1027" s="69"/>
      <c r="K1027" s="69"/>
      <c r="L1027" s="69"/>
      <c r="M1027" s="69"/>
      <c r="N1027" s="69"/>
      <c r="O1027" s="146"/>
      <c r="P1027" s="69"/>
      <c r="Q1027" s="69"/>
      <c r="R1027" s="45"/>
    </row>
    <row r="1028" spans="1:18" x14ac:dyDescent="0.2">
      <c r="A1028" s="45"/>
      <c r="B1028" s="45"/>
      <c r="C1028" s="74"/>
      <c r="D1028" s="75"/>
      <c r="E1028" s="75"/>
      <c r="F1028" s="69"/>
      <c r="G1028" s="69"/>
      <c r="H1028" s="69"/>
      <c r="I1028" s="69"/>
      <c r="J1028" s="69"/>
      <c r="K1028" s="69"/>
      <c r="L1028" s="69"/>
      <c r="M1028" s="69"/>
      <c r="N1028" s="69"/>
      <c r="O1028" s="146"/>
      <c r="P1028" s="69"/>
      <c r="Q1028" s="69"/>
      <c r="R1028" s="45"/>
    </row>
    <row r="1029" spans="1:18" x14ac:dyDescent="0.2">
      <c r="A1029" s="45"/>
      <c r="B1029" s="45"/>
      <c r="C1029" s="74"/>
      <c r="D1029" s="75"/>
      <c r="E1029" s="75"/>
      <c r="F1029" s="69"/>
      <c r="G1029" s="69"/>
      <c r="H1029" s="69"/>
      <c r="I1029" s="69"/>
      <c r="J1029" s="69"/>
      <c r="K1029" s="69"/>
      <c r="L1029" s="69"/>
      <c r="M1029" s="69"/>
      <c r="N1029" s="69"/>
      <c r="O1029" s="146"/>
      <c r="P1029" s="69"/>
      <c r="Q1029" s="69"/>
      <c r="R1029" s="45"/>
    </row>
    <row r="1030" spans="1:18" x14ac:dyDescent="0.2">
      <c r="A1030" s="45"/>
      <c r="B1030" s="45"/>
      <c r="C1030" s="74"/>
      <c r="D1030" s="75"/>
      <c r="E1030" s="75"/>
      <c r="F1030" s="69"/>
      <c r="G1030" s="69"/>
      <c r="H1030" s="69"/>
      <c r="I1030" s="69"/>
      <c r="J1030" s="69"/>
      <c r="K1030" s="69"/>
      <c r="L1030" s="69"/>
      <c r="M1030" s="69"/>
      <c r="N1030" s="69"/>
      <c r="O1030" s="146"/>
      <c r="P1030" s="69"/>
      <c r="Q1030" s="69"/>
      <c r="R1030" s="45"/>
    </row>
    <row r="1031" spans="1:18" x14ac:dyDescent="0.2">
      <c r="A1031" s="45"/>
      <c r="B1031" s="45"/>
      <c r="C1031" s="74"/>
      <c r="D1031" s="75"/>
      <c r="E1031" s="75"/>
      <c r="F1031" s="69"/>
      <c r="G1031" s="69"/>
      <c r="H1031" s="69"/>
      <c r="I1031" s="69"/>
      <c r="J1031" s="69"/>
      <c r="K1031" s="69"/>
      <c r="L1031" s="69"/>
      <c r="M1031" s="69"/>
      <c r="N1031" s="69"/>
      <c r="O1031" s="146"/>
      <c r="P1031" s="69"/>
      <c r="Q1031" s="69"/>
      <c r="R1031" s="45"/>
    </row>
    <row r="1032" spans="1:18" x14ac:dyDescent="0.2">
      <c r="A1032" s="45"/>
      <c r="B1032" s="45"/>
      <c r="C1032" s="74"/>
      <c r="D1032" s="75"/>
      <c r="E1032" s="75"/>
      <c r="F1032" s="69"/>
      <c r="G1032" s="69"/>
      <c r="H1032" s="69"/>
      <c r="I1032" s="69"/>
      <c r="J1032" s="69"/>
      <c r="K1032" s="69"/>
      <c r="L1032" s="69"/>
      <c r="M1032" s="69"/>
      <c r="N1032" s="69"/>
      <c r="O1032" s="146"/>
      <c r="P1032" s="69"/>
      <c r="Q1032" s="69"/>
      <c r="R1032" s="45"/>
    </row>
    <row r="1033" spans="1:18" x14ac:dyDescent="0.2">
      <c r="A1033" s="45"/>
      <c r="B1033" s="45"/>
      <c r="C1033" s="74"/>
      <c r="D1033" s="75"/>
      <c r="E1033" s="75"/>
      <c r="F1033" s="69"/>
      <c r="G1033" s="69"/>
      <c r="H1033" s="69"/>
      <c r="I1033" s="69"/>
      <c r="J1033" s="69"/>
      <c r="K1033" s="69"/>
      <c r="L1033" s="69"/>
      <c r="M1033" s="69"/>
      <c r="N1033" s="69"/>
      <c r="O1033" s="146"/>
      <c r="P1033" s="69"/>
      <c r="Q1033" s="69"/>
      <c r="R1033" s="45"/>
    </row>
    <row r="1034" spans="1:18" x14ac:dyDescent="0.2">
      <c r="A1034" s="45"/>
      <c r="B1034" s="45"/>
      <c r="C1034" s="74"/>
      <c r="D1034" s="75"/>
      <c r="E1034" s="75"/>
      <c r="F1034" s="69"/>
      <c r="G1034" s="69"/>
      <c r="H1034" s="69"/>
      <c r="I1034" s="69"/>
      <c r="J1034" s="69"/>
      <c r="K1034" s="69"/>
      <c r="L1034" s="69"/>
      <c r="M1034" s="69"/>
      <c r="N1034" s="69"/>
      <c r="O1034" s="146"/>
      <c r="P1034" s="69"/>
      <c r="Q1034" s="69"/>
      <c r="R1034" s="45"/>
    </row>
    <row r="1035" spans="1:18" x14ac:dyDescent="0.2">
      <c r="A1035" s="45"/>
      <c r="B1035" s="45"/>
      <c r="C1035" s="74"/>
      <c r="D1035" s="75"/>
      <c r="E1035" s="75"/>
      <c r="F1035" s="69"/>
      <c r="G1035" s="69"/>
      <c r="H1035" s="69"/>
      <c r="I1035" s="69"/>
      <c r="J1035" s="69"/>
      <c r="K1035" s="69"/>
      <c r="L1035" s="69"/>
      <c r="M1035" s="69"/>
      <c r="N1035" s="69"/>
      <c r="O1035" s="146"/>
      <c r="P1035" s="69"/>
      <c r="Q1035" s="69"/>
      <c r="R1035" s="45"/>
    </row>
    <row r="1036" spans="1:18" x14ac:dyDescent="0.2">
      <c r="A1036" s="45"/>
      <c r="B1036" s="45"/>
      <c r="C1036" s="74"/>
      <c r="D1036" s="75"/>
      <c r="E1036" s="75"/>
      <c r="F1036" s="69"/>
      <c r="G1036" s="69"/>
      <c r="H1036" s="69"/>
      <c r="I1036" s="69"/>
      <c r="J1036" s="69"/>
      <c r="K1036" s="69"/>
      <c r="L1036" s="69"/>
      <c r="M1036" s="69"/>
      <c r="N1036" s="69"/>
      <c r="O1036" s="146"/>
      <c r="P1036" s="69"/>
      <c r="Q1036" s="69"/>
      <c r="R1036" s="45"/>
    </row>
    <row r="1037" spans="1:18" x14ac:dyDescent="0.2">
      <c r="A1037" s="45"/>
      <c r="B1037" s="45"/>
      <c r="C1037" s="74"/>
      <c r="D1037" s="75"/>
      <c r="E1037" s="75"/>
      <c r="F1037" s="69"/>
      <c r="G1037" s="69"/>
      <c r="H1037" s="69"/>
      <c r="I1037" s="69"/>
      <c r="J1037" s="69"/>
      <c r="K1037" s="69"/>
      <c r="L1037" s="69"/>
      <c r="M1037" s="69"/>
      <c r="N1037" s="69"/>
      <c r="O1037" s="146"/>
      <c r="P1037" s="69"/>
      <c r="Q1037" s="69"/>
      <c r="R1037" s="45"/>
    </row>
    <row r="1038" spans="1:18" x14ac:dyDescent="0.2">
      <c r="A1038" s="45"/>
      <c r="B1038" s="45"/>
      <c r="C1038" s="74"/>
      <c r="D1038" s="75"/>
      <c r="E1038" s="75"/>
      <c r="F1038" s="69"/>
      <c r="G1038" s="69"/>
      <c r="H1038" s="69"/>
      <c r="I1038" s="69"/>
      <c r="J1038" s="69"/>
      <c r="K1038" s="69"/>
      <c r="L1038" s="69"/>
      <c r="M1038" s="69"/>
      <c r="N1038" s="69"/>
      <c r="O1038" s="146"/>
      <c r="P1038" s="69"/>
      <c r="Q1038" s="69"/>
      <c r="R1038" s="45"/>
    </row>
    <row r="1039" spans="1:18" x14ac:dyDescent="0.2">
      <c r="A1039" s="45"/>
      <c r="B1039" s="45"/>
      <c r="C1039" s="74"/>
      <c r="D1039" s="75"/>
      <c r="E1039" s="75"/>
      <c r="F1039" s="69"/>
      <c r="G1039" s="69"/>
      <c r="H1039" s="69"/>
      <c r="I1039" s="69"/>
      <c r="J1039" s="69"/>
      <c r="K1039" s="69"/>
      <c r="L1039" s="69"/>
      <c r="M1039" s="69"/>
      <c r="N1039" s="69"/>
      <c r="O1039" s="146"/>
      <c r="P1039" s="69"/>
      <c r="Q1039" s="69"/>
      <c r="R1039" s="45"/>
    </row>
    <row r="1040" spans="1:18" x14ac:dyDescent="0.2">
      <c r="A1040" s="45"/>
      <c r="B1040" s="45"/>
      <c r="C1040" s="74"/>
      <c r="D1040" s="75"/>
      <c r="E1040" s="75"/>
      <c r="F1040" s="69"/>
      <c r="G1040" s="69"/>
      <c r="H1040" s="69"/>
      <c r="I1040" s="69"/>
      <c r="J1040" s="69"/>
      <c r="K1040" s="69"/>
      <c r="L1040" s="69"/>
      <c r="M1040" s="69"/>
      <c r="N1040" s="69"/>
      <c r="O1040" s="146"/>
      <c r="P1040" s="69"/>
      <c r="Q1040" s="69"/>
      <c r="R1040" s="45"/>
    </row>
    <row r="1041" spans="1:18" x14ac:dyDescent="0.2">
      <c r="A1041" s="45"/>
      <c r="B1041" s="45"/>
      <c r="C1041" s="74"/>
      <c r="D1041" s="75"/>
      <c r="E1041" s="75"/>
      <c r="F1041" s="69"/>
      <c r="G1041" s="69"/>
      <c r="H1041" s="69"/>
      <c r="I1041" s="69"/>
      <c r="J1041" s="69"/>
      <c r="K1041" s="69"/>
      <c r="L1041" s="69"/>
      <c r="M1041" s="69"/>
      <c r="N1041" s="69"/>
      <c r="O1041" s="146"/>
      <c r="P1041" s="69"/>
      <c r="Q1041" s="69"/>
      <c r="R1041" s="45"/>
    </row>
    <row r="1042" spans="1:18" x14ac:dyDescent="0.2">
      <c r="A1042" s="45"/>
      <c r="B1042" s="45"/>
      <c r="C1042" s="74"/>
      <c r="D1042" s="75"/>
      <c r="E1042" s="75"/>
      <c r="F1042" s="69"/>
      <c r="G1042" s="69"/>
      <c r="H1042" s="69"/>
      <c r="I1042" s="69"/>
      <c r="J1042" s="69"/>
      <c r="K1042" s="69"/>
      <c r="L1042" s="69"/>
      <c r="M1042" s="69"/>
      <c r="N1042" s="69"/>
      <c r="O1042" s="146"/>
      <c r="P1042" s="69"/>
      <c r="Q1042" s="69"/>
      <c r="R1042" s="45"/>
    </row>
    <row r="1043" spans="1:18" x14ac:dyDescent="0.2">
      <c r="A1043" s="45"/>
      <c r="B1043" s="45"/>
      <c r="C1043" s="74"/>
      <c r="D1043" s="75"/>
      <c r="E1043" s="75"/>
      <c r="F1043" s="69"/>
      <c r="G1043" s="69"/>
      <c r="H1043" s="69"/>
      <c r="I1043" s="69"/>
      <c r="J1043" s="69"/>
      <c r="K1043" s="69"/>
      <c r="L1043" s="69"/>
      <c r="M1043" s="69"/>
      <c r="N1043" s="69"/>
      <c r="O1043" s="146"/>
      <c r="P1043" s="69"/>
      <c r="Q1043" s="69"/>
      <c r="R1043" s="45"/>
    </row>
    <row r="1044" spans="1:18" x14ac:dyDescent="0.2">
      <c r="A1044" s="45"/>
      <c r="B1044" s="45"/>
      <c r="C1044" s="74"/>
      <c r="D1044" s="75"/>
      <c r="E1044" s="75"/>
      <c r="F1044" s="69"/>
      <c r="G1044" s="69"/>
      <c r="H1044" s="69"/>
      <c r="I1044" s="69"/>
      <c r="J1044" s="69"/>
      <c r="K1044" s="69"/>
      <c r="L1044" s="69"/>
      <c r="M1044" s="69"/>
      <c r="N1044" s="69"/>
      <c r="O1044" s="146"/>
      <c r="P1044" s="69"/>
      <c r="Q1044" s="69"/>
      <c r="R1044" s="45"/>
    </row>
    <row r="1045" spans="1:18" x14ac:dyDescent="0.2">
      <c r="A1045" s="45"/>
      <c r="B1045" s="45"/>
      <c r="C1045" s="74"/>
      <c r="D1045" s="75"/>
      <c r="E1045" s="75"/>
      <c r="F1045" s="69"/>
      <c r="G1045" s="69"/>
      <c r="H1045" s="69"/>
      <c r="I1045" s="69"/>
      <c r="J1045" s="69"/>
      <c r="K1045" s="69"/>
      <c r="L1045" s="69"/>
      <c r="M1045" s="69"/>
      <c r="N1045" s="69"/>
      <c r="O1045" s="146"/>
      <c r="P1045" s="69"/>
      <c r="Q1045" s="69"/>
      <c r="R1045" s="45"/>
    </row>
    <row r="1046" spans="1:18" x14ac:dyDescent="0.2">
      <c r="A1046" s="45"/>
      <c r="B1046" s="45"/>
      <c r="C1046" s="74"/>
      <c r="D1046" s="75"/>
      <c r="E1046" s="75"/>
      <c r="F1046" s="69"/>
      <c r="G1046" s="69"/>
      <c r="H1046" s="69"/>
      <c r="I1046" s="69"/>
      <c r="J1046" s="69"/>
      <c r="K1046" s="69"/>
      <c r="L1046" s="69"/>
      <c r="M1046" s="69"/>
      <c r="N1046" s="69"/>
      <c r="O1046" s="146"/>
      <c r="P1046" s="69"/>
      <c r="Q1046" s="69"/>
      <c r="R1046" s="45"/>
    </row>
    <row r="1047" spans="1:18" x14ac:dyDescent="0.2">
      <c r="A1047" s="45"/>
      <c r="B1047" s="45"/>
      <c r="C1047" s="74"/>
      <c r="D1047" s="75"/>
      <c r="E1047" s="75"/>
      <c r="F1047" s="69"/>
      <c r="G1047" s="69"/>
      <c r="H1047" s="69"/>
      <c r="I1047" s="69"/>
      <c r="J1047" s="69"/>
      <c r="K1047" s="69"/>
      <c r="L1047" s="69"/>
      <c r="M1047" s="69"/>
      <c r="N1047" s="69"/>
      <c r="O1047" s="146"/>
      <c r="P1047" s="69"/>
      <c r="Q1047" s="69"/>
      <c r="R1047" s="45"/>
    </row>
    <row r="1048" spans="1:18" x14ac:dyDescent="0.2">
      <c r="A1048" s="45"/>
      <c r="B1048" s="45"/>
      <c r="C1048" s="74"/>
      <c r="D1048" s="75"/>
      <c r="E1048" s="75"/>
      <c r="F1048" s="69"/>
      <c r="G1048" s="69"/>
      <c r="H1048" s="69"/>
      <c r="I1048" s="69"/>
      <c r="J1048" s="69"/>
      <c r="K1048" s="69"/>
      <c r="L1048" s="69"/>
      <c r="M1048" s="69"/>
      <c r="N1048" s="69"/>
      <c r="O1048" s="146"/>
      <c r="P1048" s="69"/>
      <c r="Q1048" s="69"/>
      <c r="R1048" s="45"/>
    </row>
    <row r="1049" spans="1:18" x14ac:dyDescent="0.2">
      <c r="A1049" s="45"/>
      <c r="B1049" s="45"/>
      <c r="C1049" s="74"/>
      <c r="D1049" s="75"/>
      <c r="E1049" s="75"/>
      <c r="F1049" s="69"/>
      <c r="G1049" s="69"/>
      <c r="H1049" s="69"/>
      <c r="I1049" s="69"/>
      <c r="J1049" s="69"/>
      <c r="K1049" s="69"/>
      <c r="L1049" s="69"/>
      <c r="M1049" s="69"/>
      <c r="N1049" s="69"/>
      <c r="O1049" s="146"/>
      <c r="P1049" s="69"/>
      <c r="Q1049" s="69"/>
      <c r="R1049" s="45"/>
    </row>
    <row r="1050" spans="1:18" x14ac:dyDescent="0.2">
      <c r="A1050" s="45"/>
      <c r="B1050" s="45"/>
      <c r="C1050" s="74"/>
      <c r="D1050" s="75"/>
      <c r="E1050" s="75"/>
      <c r="F1050" s="69"/>
      <c r="G1050" s="69"/>
      <c r="H1050" s="69"/>
      <c r="I1050" s="69"/>
      <c r="J1050" s="69"/>
      <c r="K1050" s="69"/>
      <c r="L1050" s="69"/>
      <c r="M1050" s="69"/>
      <c r="N1050" s="69"/>
      <c r="O1050" s="146"/>
      <c r="P1050" s="69"/>
      <c r="Q1050" s="69"/>
      <c r="R1050" s="45"/>
    </row>
    <row r="1051" spans="1:18" x14ac:dyDescent="0.2">
      <c r="A1051" s="45"/>
      <c r="B1051" s="45"/>
      <c r="C1051" s="74"/>
      <c r="D1051" s="75"/>
      <c r="E1051" s="75"/>
      <c r="F1051" s="69"/>
      <c r="G1051" s="69"/>
      <c r="H1051" s="69"/>
      <c r="I1051" s="69"/>
      <c r="J1051" s="69"/>
      <c r="K1051" s="69"/>
      <c r="L1051" s="69"/>
      <c r="M1051" s="69"/>
      <c r="N1051" s="69"/>
      <c r="O1051" s="146"/>
      <c r="P1051" s="69"/>
      <c r="Q1051" s="69"/>
      <c r="R1051" s="45"/>
    </row>
    <row r="1052" spans="1:18" x14ac:dyDescent="0.2">
      <c r="A1052" s="45"/>
      <c r="B1052" s="45"/>
      <c r="C1052" s="74"/>
      <c r="D1052" s="75"/>
      <c r="E1052" s="75"/>
      <c r="F1052" s="69"/>
      <c r="G1052" s="69"/>
      <c r="H1052" s="69"/>
      <c r="I1052" s="69"/>
      <c r="J1052" s="69"/>
      <c r="K1052" s="69"/>
      <c r="L1052" s="69"/>
      <c r="M1052" s="69"/>
      <c r="N1052" s="69"/>
      <c r="O1052" s="146"/>
      <c r="P1052" s="69"/>
      <c r="Q1052" s="69"/>
      <c r="R1052" s="45"/>
    </row>
    <row r="1053" spans="1:18" x14ac:dyDescent="0.2">
      <c r="A1053" s="45"/>
      <c r="B1053" s="45"/>
      <c r="C1053" s="74"/>
      <c r="D1053" s="75"/>
      <c r="E1053" s="75"/>
      <c r="F1053" s="69"/>
      <c r="G1053" s="69"/>
      <c r="H1053" s="69"/>
      <c r="I1053" s="69"/>
      <c r="J1053" s="69"/>
      <c r="K1053" s="69"/>
      <c r="L1053" s="69"/>
      <c r="M1053" s="69"/>
      <c r="N1053" s="69"/>
      <c r="O1053" s="146"/>
      <c r="P1053" s="69"/>
      <c r="Q1053" s="69"/>
      <c r="R1053" s="45"/>
    </row>
    <row r="1054" spans="1:18" x14ac:dyDescent="0.2">
      <c r="A1054" s="45"/>
      <c r="B1054" s="45"/>
      <c r="C1054" s="74"/>
      <c r="D1054" s="75"/>
      <c r="E1054" s="75"/>
      <c r="F1054" s="69"/>
      <c r="G1054" s="69"/>
      <c r="H1054" s="69"/>
      <c r="I1054" s="69"/>
      <c r="J1054" s="69"/>
      <c r="K1054" s="69"/>
      <c r="L1054" s="69"/>
      <c r="M1054" s="69"/>
      <c r="N1054" s="69"/>
      <c r="O1054" s="146"/>
      <c r="P1054" s="69"/>
      <c r="Q1054" s="69"/>
      <c r="R1054" s="45"/>
    </row>
    <row r="1055" spans="1:18" x14ac:dyDescent="0.2">
      <c r="A1055" s="45"/>
      <c r="B1055" s="45"/>
      <c r="C1055" s="74"/>
      <c r="D1055" s="75"/>
      <c r="E1055" s="75"/>
      <c r="F1055" s="69"/>
      <c r="G1055" s="69"/>
      <c r="H1055" s="69"/>
      <c r="I1055" s="69"/>
      <c r="J1055" s="69"/>
      <c r="K1055" s="69"/>
      <c r="L1055" s="69"/>
      <c r="M1055" s="69"/>
      <c r="N1055" s="69"/>
      <c r="O1055" s="146"/>
      <c r="P1055" s="69"/>
      <c r="Q1055" s="69"/>
      <c r="R1055" s="45"/>
    </row>
    <row r="1056" spans="1:18" x14ac:dyDescent="0.2">
      <c r="A1056" s="45"/>
      <c r="B1056" s="45"/>
      <c r="C1056" s="74"/>
      <c r="D1056" s="75"/>
      <c r="E1056" s="75"/>
      <c r="F1056" s="69"/>
      <c r="G1056" s="69"/>
      <c r="H1056" s="69"/>
      <c r="I1056" s="69"/>
      <c r="J1056" s="69"/>
      <c r="K1056" s="69"/>
      <c r="L1056" s="69"/>
      <c r="M1056" s="69"/>
      <c r="N1056" s="69"/>
      <c r="O1056" s="146"/>
      <c r="P1056" s="69"/>
      <c r="Q1056" s="69"/>
      <c r="R1056" s="45"/>
    </row>
    <row r="1057" spans="1:18" x14ac:dyDescent="0.2">
      <c r="A1057" s="45"/>
      <c r="B1057" s="45"/>
      <c r="C1057" s="74"/>
      <c r="D1057" s="75"/>
      <c r="E1057" s="75"/>
      <c r="F1057" s="69"/>
      <c r="G1057" s="69"/>
      <c r="H1057" s="69"/>
      <c r="I1057" s="69"/>
      <c r="J1057" s="69"/>
      <c r="K1057" s="69"/>
      <c r="L1057" s="69"/>
      <c r="M1057" s="69"/>
      <c r="N1057" s="69"/>
      <c r="O1057" s="146"/>
      <c r="P1057" s="69"/>
      <c r="Q1057" s="69"/>
      <c r="R1057" s="45"/>
    </row>
    <row r="1058" spans="1:18" x14ac:dyDescent="0.2">
      <c r="A1058" s="45"/>
      <c r="B1058" s="45"/>
      <c r="C1058" s="74"/>
      <c r="D1058" s="75"/>
      <c r="E1058" s="75"/>
      <c r="F1058" s="69"/>
      <c r="G1058" s="69"/>
      <c r="H1058" s="69"/>
      <c r="I1058" s="69"/>
      <c r="J1058" s="69"/>
      <c r="K1058" s="69"/>
      <c r="L1058" s="69"/>
      <c r="M1058" s="69"/>
      <c r="N1058" s="69"/>
      <c r="O1058" s="146"/>
      <c r="P1058" s="69"/>
      <c r="Q1058" s="69"/>
      <c r="R1058" s="45"/>
    </row>
    <row r="1059" spans="1:18" x14ac:dyDescent="0.2">
      <c r="A1059" s="45"/>
      <c r="B1059" s="45"/>
      <c r="C1059" s="74"/>
      <c r="D1059" s="75"/>
      <c r="E1059" s="75"/>
      <c r="F1059" s="69"/>
      <c r="G1059" s="69"/>
      <c r="H1059" s="69"/>
      <c r="I1059" s="69"/>
      <c r="J1059" s="69"/>
      <c r="K1059" s="69"/>
      <c r="L1059" s="69"/>
      <c r="M1059" s="69"/>
      <c r="N1059" s="69"/>
      <c r="O1059" s="146"/>
      <c r="P1059" s="69"/>
      <c r="Q1059" s="69"/>
      <c r="R1059" s="45"/>
    </row>
    <row r="1060" spans="1:18" x14ac:dyDescent="0.2">
      <c r="A1060" s="45"/>
      <c r="B1060" s="45"/>
      <c r="C1060" s="74"/>
      <c r="D1060" s="75"/>
      <c r="E1060" s="75"/>
      <c r="F1060" s="69"/>
      <c r="G1060" s="69"/>
      <c r="H1060" s="69"/>
      <c r="I1060" s="69"/>
      <c r="J1060" s="69"/>
      <c r="K1060" s="69"/>
      <c r="L1060" s="69"/>
      <c r="M1060" s="69"/>
      <c r="N1060" s="69"/>
      <c r="O1060" s="146"/>
      <c r="P1060" s="69"/>
      <c r="Q1060" s="69"/>
      <c r="R1060" s="45"/>
    </row>
    <row r="1061" spans="1:18" x14ac:dyDescent="0.2">
      <c r="A1061" s="45"/>
      <c r="B1061" s="45"/>
      <c r="C1061" s="74"/>
      <c r="D1061" s="75"/>
      <c r="E1061" s="75"/>
      <c r="F1061" s="69"/>
      <c r="G1061" s="69"/>
      <c r="H1061" s="69"/>
      <c r="I1061" s="69"/>
      <c r="J1061" s="69"/>
      <c r="K1061" s="69"/>
      <c r="L1061" s="69"/>
      <c r="M1061" s="69"/>
      <c r="N1061" s="69"/>
      <c r="O1061" s="146"/>
      <c r="P1061" s="69"/>
      <c r="Q1061" s="69"/>
      <c r="R1061" s="45"/>
    </row>
    <row r="1062" spans="1:18" x14ac:dyDescent="0.2">
      <c r="A1062" s="45"/>
      <c r="B1062" s="45"/>
      <c r="C1062" s="74"/>
      <c r="D1062" s="75"/>
      <c r="E1062" s="75"/>
      <c r="F1062" s="69"/>
      <c r="G1062" s="69"/>
      <c r="H1062" s="69"/>
      <c r="I1062" s="69"/>
      <c r="J1062" s="69"/>
      <c r="K1062" s="69"/>
      <c r="L1062" s="69"/>
      <c r="M1062" s="69"/>
      <c r="N1062" s="69"/>
      <c r="O1062" s="146"/>
      <c r="P1062" s="69"/>
      <c r="Q1062" s="69"/>
      <c r="R1062" s="45"/>
    </row>
    <row r="1063" spans="1:18" x14ac:dyDescent="0.2">
      <c r="A1063" s="45"/>
      <c r="B1063" s="45"/>
      <c r="C1063" s="74"/>
      <c r="D1063" s="75"/>
      <c r="E1063" s="75"/>
      <c r="F1063" s="69"/>
      <c r="G1063" s="69"/>
      <c r="H1063" s="69"/>
      <c r="I1063" s="69"/>
      <c r="J1063" s="69"/>
      <c r="K1063" s="69"/>
      <c r="L1063" s="69"/>
      <c r="M1063" s="69"/>
      <c r="N1063" s="69"/>
      <c r="O1063" s="146"/>
      <c r="P1063" s="69"/>
      <c r="Q1063" s="69"/>
      <c r="R1063" s="45"/>
    </row>
    <row r="1064" spans="1:18" x14ac:dyDescent="0.2">
      <c r="A1064" s="45"/>
      <c r="B1064" s="45"/>
      <c r="C1064" s="74"/>
      <c r="D1064" s="75"/>
      <c r="E1064" s="75"/>
      <c r="F1064" s="69"/>
      <c r="G1064" s="69"/>
      <c r="H1064" s="69"/>
      <c r="I1064" s="69"/>
      <c r="J1064" s="69"/>
      <c r="K1064" s="69"/>
      <c r="L1064" s="69"/>
      <c r="M1064" s="69"/>
      <c r="N1064" s="69"/>
      <c r="O1064" s="146"/>
      <c r="P1064" s="69"/>
      <c r="Q1064" s="69"/>
      <c r="R1064" s="45"/>
    </row>
    <row r="1065" spans="1:18" x14ac:dyDescent="0.2">
      <c r="A1065" s="45"/>
      <c r="B1065" s="45"/>
      <c r="C1065" s="74"/>
      <c r="D1065" s="75"/>
      <c r="E1065" s="75"/>
      <c r="F1065" s="69"/>
      <c r="G1065" s="69"/>
      <c r="H1065" s="69"/>
      <c r="I1065" s="69"/>
      <c r="J1065" s="69"/>
      <c r="K1065" s="69"/>
      <c r="L1065" s="69"/>
      <c r="M1065" s="69"/>
      <c r="N1065" s="69"/>
      <c r="O1065" s="146"/>
      <c r="P1065" s="69"/>
      <c r="Q1065" s="69"/>
      <c r="R1065" s="45"/>
    </row>
    <row r="1066" spans="1:18" x14ac:dyDescent="0.2">
      <c r="A1066" s="45"/>
      <c r="B1066" s="45"/>
      <c r="C1066" s="74"/>
      <c r="D1066" s="75"/>
      <c r="E1066" s="75"/>
      <c r="F1066" s="69"/>
      <c r="G1066" s="69"/>
      <c r="H1066" s="69"/>
      <c r="I1066" s="69"/>
      <c r="J1066" s="69"/>
      <c r="K1066" s="69"/>
      <c r="L1066" s="69"/>
      <c r="M1066" s="69"/>
      <c r="N1066" s="69"/>
      <c r="O1066" s="146"/>
      <c r="P1066" s="69"/>
      <c r="Q1066" s="69"/>
      <c r="R1066" s="45"/>
    </row>
    <row r="1067" spans="1:18" x14ac:dyDescent="0.2">
      <c r="A1067" s="45"/>
      <c r="B1067" s="45"/>
      <c r="C1067" s="74"/>
      <c r="D1067" s="75"/>
      <c r="E1067" s="75"/>
      <c r="F1067" s="69"/>
      <c r="G1067" s="69"/>
      <c r="H1067" s="69"/>
      <c r="I1067" s="69"/>
      <c r="J1067" s="69"/>
      <c r="K1067" s="69"/>
      <c r="L1067" s="69"/>
      <c r="M1067" s="69"/>
      <c r="N1067" s="69"/>
      <c r="O1067" s="146"/>
      <c r="P1067" s="69"/>
      <c r="Q1067" s="69"/>
      <c r="R1067" s="45"/>
    </row>
    <row r="1068" spans="1:18" x14ac:dyDescent="0.2">
      <c r="A1068" s="45"/>
      <c r="B1068" s="45"/>
      <c r="C1068" s="74"/>
      <c r="D1068" s="75"/>
      <c r="E1068" s="75"/>
      <c r="F1068" s="69"/>
      <c r="G1068" s="69"/>
      <c r="H1068" s="69"/>
      <c r="I1068" s="69"/>
      <c r="J1068" s="69"/>
      <c r="K1068" s="69"/>
      <c r="L1068" s="69"/>
      <c r="M1068" s="69"/>
      <c r="N1068" s="69"/>
      <c r="O1068" s="146"/>
      <c r="P1068" s="69"/>
      <c r="Q1068" s="69"/>
      <c r="R1068" s="45"/>
    </row>
    <row r="1069" spans="1:18" x14ac:dyDescent="0.2">
      <c r="A1069" s="45"/>
      <c r="B1069" s="45"/>
      <c r="C1069" s="74"/>
      <c r="D1069" s="75"/>
      <c r="E1069" s="75"/>
      <c r="F1069" s="69"/>
      <c r="G1069" s="69"/>
      <c r="H1069" s="69"/>
      <c r="I1069" s="69"/>
      <c r="J1069" s="69"/>
      <c r="K1069" s="69"/>
      <c r="L1069" s="69"/>
      <c r="M1069" s="69"/>
      <c r="N1069" s="69"/>
      <c r="O1069" s="146"/>
      <c r="P1069" s="69"/>
      <c r="Q1069" s="69"/>
      <c r="R1069" s="45"/>
    </row>
    <row r="1070" spans="1:18" x14ac:dyDescent="0.2">
      <c r="A1070" s="45"/>
      <c r="B1070" s="45"/>
      <c r="C1070" s="74"/>
      <c r="D1070" s="75"/>
      <c r="E1070" s="75"/>
      <c r="F1070" s="69"/>
      <c r="G1070" s="69"/>
      <c r="H1070" s="69"/>
      <c r="I1070" s="69"/>
      <c r="J1070" s="69"/>
      <c r="K1070" s="69"/>
      <c r="L1070" s="69"/>
      <c r="M1070" s="69"/>
      <c r="N1070" s="69"/>
      <c r="O1070" s="146"/>
      <c r="P1070" s="69"/>
      <c r="Q1070" s="69"/>
      <c r="R1070" s="45"/>
    </row>
    <row r="1071" spans="1:18" x14ac:dyDescent="0.2">
      <c r="A1071" s="45"/>
      <c r="B1071" s="45"/>
      <c r="C1071" s="74"/>
      <c r="D1071" s="75"/>
      <c r="E1071" s="75"/>
      <c r="F1071" s="69"/>
      <c r="G1071" s="69"/>
      <c r="H1071" s="69"/>
      <c r="I1071" s="69"/>
      <c r="J1071" s="69"/>
      <c r="K1071" s="69"/>
      <c r="L1071" s="69"/>
      <c r="M1071" s="69"/>
      <c r="N1071" s="69"/>
      <c r="O1071" s="146"/>
      <c r="P1071" s="69"/>
      <c r="Q1071" s="69"/>
      <c r="R1071" s="45"/>
    </row>
    <row r="1072" spans="1:18" x14ac:dyDescent="0.2">
      <c r="A1072" s="45"/>
      <c r="B1072" s="45"/>
      <c r="C1072" s="74"/>
      <c r="D1072" s="75"/>
      <c r="E1072" s="75"/>
      <c r="F1072" s="69"/>
      <c r="G1072" s="69"/>
      <c r="H1072" s="69"/>
      <c r="I1072" s="69"/>
      <c r="J1072" s="69"/>
      <c r="K1072" s="69"/>
      <c r="L1072" s="69"/>
      <c r="M1072" s="69"/>
      <c r="N1072" s="69"/>
      <c r="O1072" s="146"/>
      <c r="P1072" s="69"/>
      <c r="Q1072" s="69"/>
      <c r="R1072" s="45"/>
    </row>
    <row r="1073" spans="1:18" x14ac:dyDescent="0.2">
      <c r="A1073" s="45"/>
      <c r="B1073" s="45"/>
      <c r="C1073" s="74"/>
      <c r="D1073" s="75"/>
      <c r="E1073" s="75"/>
      <c r="F1073" s="69"/>
      <c r="G1073" s="69"/>
      <c r="H1073" s="69"/>
      <c r="I1073" s="69"/>
      <c r="J1073" s="69"/>
      <c r="K1073" s="69"/>
      <c r="L1073" s="69"/>
      <c r="M1073" s="69"/>
      <c r="N1073" s="69"/>
      <c r="O1073" s="146"/>
      <c r="P1073" s="69"/>
      <c r="Q1073" s="69"/>
      <c r="R1073" s="45"/>
    </row>
    <row r="1074" spans="1:18" x14ac:dyDescent="0.2">
      <c r="A1074" s="45"/>
      <c r="B1074" s="45"/>
      <c r="C1074" s="74"/>
      <c r="D1074" s="75"/>
      <c r="E1074" s="75"/>
      <c r="F1074" s="69"/>
      <c r="G1074" s="69"/>
      <c r="H1074" s="69"/>
      <c r="I1074" s="69"/>
      <c r="J1074" s="69"/>
      <c r="K1074" s="69"/>
      <c r="L1074" s="69"/>
      <c r="M1074" s="69"/>
      <c r="N1074" s="69"/>
      <c r="O1074" s="146"/>
      <c r="P1074" s="69"/>
      <c r="Q1074" s="69"/>
      <c r="R1074" s="45"/>
    </row>
    <row r="1075" spans="1:18" x14ac:dyDescent="0.2">
      <c r="A1075" s="45"/>
      <c r="B1075" s="45"/>
      <c r="C1075" s="74"/>
      <c r="D1075" s="75"/>
      <c r="E1075" s="75"/>
      <c r="F1075" s="69"/>
      <c r="G1075" s="69"/>
      <c r="H1075" s="69"/>
      <c r="I1075" s="69"/>
      <c r="J1075" s="69"/>
      <c r="K1075" s="69"/>
      <c r="L1075" s="69"/>
      <c r="M1075" s="69"/>
      <c r="N1075" s="69"/>
      <c r="O1075" s="146"/>
      <c r="P1075" s="69"/>
      <c r="Q1075" s="69"/>
      <c r="R1075" s="45"/>
    </row>
    <row r="1076" spans="1:18" x14ac:dyDescent="0.2">
      <c r="A1076" s="45"/>
      <c r="B1076" s="45"/>
      <c r="C1076" s="74"/>
      <c r="D1076" s="75"/>
      <c r="E1076" s="75"/>
      <c r="F1076" s="69"/>
      <c r="G1076" s="69"/>
      <c r="H1076" s="69"/>
      <c r="I1076" s="69"/>
      <c r="J1076" s="69"/>
      <c r="K1076" s="69"/>
      <c r="L1076" s="69"/>
      <c r="M1076" s="69"/>
      <c r="N1076" s="69"/>
      <c r="O1076" s="146"/>
      <c r="P1076" s="69"/>
      <c r="Q1076" s="69"/>
      <c r="R1076" s="45"/>
    </row>
    <row r="1077" spans="1:18" x14ac:dyDescent="0.2">
      <c r="A1077" s="45"/>
      <c r="B1077" s="45"/>
      <c r="C1077" s="74"/>
      <c r="D1077" s="75"/>
      <c r="E1077" s="75"/>
      <c r="F1077" s="69"/>
      <c r="G1077" s="69"/>
      <c r="H1077" s="69"/>
      <c r="I1077" s="69"/>
      <c r="J1077" s="69"/>
      <c r="K1077" s="69"/>
      <c r="L1077" s="69"/>
      <c r="M1077" s="69"/>
      <c r="N1077" s="69"/>
      <c r="O1077" s="146"/>
      <c r="P1077" s="69"/>
      <c r="Q1077" s="69"/>
      <c r="R1077" s="45"/>
    </row>
    <row r="1078" spans="1:18" x14ac:dyDescent="0.2">
      <c r="A1078" s="45"/>
      <c r="B1078" s="45"/>
      <c r="C1078" s="74"/>
      <c r="D1078" s="75"/>
      <c r="E1078" s="75"/>
      <c r="F1078" s="69"/>
      <c r="G1078" s="69"/>
      <c r="H1078" s="69"/>
      <c r="I1078" s="69"/>
      <c r="J1078" s="69"/>
      <c r="K1078" s="69"/>
      <c r="L1078" s="69"/>
      <c r="M1078" s="69"/>
      <c r="N1078" s="69"/>
      <c r="O1078" s="146"/>
      <c r="P1078" s="69"/>
      <c r="Q1078" s="69"/>
      <c r="R1078" s="45"/>
    </row>
    <row r="1079" spans="1:18" x14ac:dyDescent="0.2">
      <c r="A1079" s="45"/>
      <c r="B1079" s="45"/>
      <c r="C1079" s="74"/>
      <c r="D1079" s="75"/>
      <c r="E1079" s="75"/>
      <c r="F1079" s="69"/>
      <c r="G1079" s="69"/>
      <c r="H1079" s="69"/>
      <c r="I1079" s="69"/>
      <c r="J1079" s="69"/>
      <c r="K1079" s="69"/>
      <c r="L1079" s="69"/>
      <c r="M1079" s="69"/>
      <c r="N1079" s="69"/>
      <c r="O1079" s="146"/>
      <c r="P1079" s="69"/>
      <c r="Q1079" s="69"/>
      <c r="R1079" s="45"/>
    </row>
    <row r="1080" spans="1:18" x14ac:dyDescent="0.2">
      <c r="A1080" s="45"/>
      <c r="B1080" s="45"/>
      <c r="C1080" s="74"/>
      <c r="D1080" s="75"/>
      <c r="E1080" s="75"/>
      <c r="F1080" s="69"/>
      <c r="G1080" s="69"/>
      <c r="H1080" s="69"/>
      <c r="I1080" s="69"/>
      <c r="J1080" s="69"/>
      <c r="K1080" s="69"/>
      <c r="L1080" s="69"/>
      <c r="M1080" s="69"/>
      <c r="N1080" s="69"/>
      <c r="O1080" s="146"/>
      <c r="P1080" s="69"/>
      <c r="Q1080" s="69"/>
      <c r="R1080" s="45"/>
    </row>
    <row r="1081" spans="1:18" x14ac:dyDescent="0.2">
      <c r="A1081" s="45"/>
      <c r="B1081" s="45"/>
      <c r="C1081" s="74"/>
      <c r="D1081" s="75"/>
      <c r="E1081" s="75"/>
      <c r="F1081" s="69"/>
      <c r="G1081" s="69"/>
      <c r="H1081" s="69"/>
      <c r="I1081" s="69"/>
      <c r="J1081" s="69"/>
      <c r="K1081" s="69"/>
      <c r="L1081" s="69"/>
      <c r="M1081" s="69"/>
      <c r="N1081" s="69"/>
      <c r="O1081" s="146"/>
      <c r="P1081" s="69"/>
      <c r="Q1081" s="69"/>
      <c r="R1081" s="45"/>
    </row>
    <row r="1082" spans="1:18" x14ac:dyDescent="0.2">
      <c r="A1082" s="45"/>
      <c r="B1082" s="45"/>
      <c r="C1082" s="74"/>
      <c r="D1082" s="75"/>
      <c r="E1082" s="75"/>
      <c r="F1082" s="69"/>
      <c r="G1082" s="69"/>
      <c r="H1082" s="69"/>
      <c r="I1082" s="69"/>
      <c r="J1082" s="69"/>
      <c r="K1082" s="69"/>
      <c r="L1082" s="69"/>
      <c r="M1082" s="69"/>
      <c r="N1082" s="69"/>
      <c r="O1082" s="146"/>
      <c r="P1082" s="69"/>
      <c r="Q1082" s="69"/>
      <c r="R1082" s="45"/>
    </row>
    <row r="1083" spans="1:18" x14ac:dyDescent="0.2">
      <c r="A1083" s="45"/>
      <c r="B1083" s="45"/>
      <c r="C1083" s="74"/>
      <c r="D1083" s="75"/>
      <c r="E1083" s="75"/>
      <c r="F1083" s="69"/>
      <c r="G1083" s="69"/>
      <c r="H1083" s="69"/>
      <c r="I1083" s="69"/>
      <c r="J1083" s="69"/>
      <c r="K1083" s="69"/>
      <c r="L1083" s="69"/>
      <c r="M1083" s="69"/>
      <c r="N1083" s="69"/>
      <c r="O1083" s="146"/>
      <c r="P1083" s="69"/>
      <c r="Q1083" s="69"/>
      <c r="R1083" s="45"/>
    </row>
    <row r="1084" spans="1:18" x14ac:dyDescent="0.2">
      <c r="A1084" s="45"/>
      <c r="B1084" s="45"/>
      <c r="C1084" s="74"/>
      <c r="D1084" s="75"/>
      <c r="E1084" s="75"/>
      <c r="F1084" s="69"/>
      <c r="G1084" s="69"/>
      <c r="H1084" s="69"/>
      <c r="I1084" s="69"/>
      <c r="J1084" s="69"/>
      <c r="K1084" s="69"/>
      <c r="L1084" s="69"/>
      <c r="M1084" s="69"/>
      <c r="N1084" s="69"/>
      <c r="O1084" s="146"/>
      <c r="P1084" s="69"/>
      <c r="Q1084" s="69"/>
      <c r="R1084" s="45"/>
    </row>
    <row r="1085" spans="1:18" x14ac:dyDescent="0.2">
      <c r="A1085" s="45"/>
      <c r="B1085" s="45"/>
      <c r="C1085" s="74"/>
      <c r="D1085" s="75"/>
      <c r="E1085" s="75"/>
      <c r="F1085" s="69"/>
      <c r="G1085" s="69"/>
      <c r="H1085" s="69"/>
      <c r="I1085" s="69"/>
      <c r="J1085" s="69"/>
      <c r="K1085" s="69"/>
      <c r="L1085" s="69"/>
      <c r="M1085" s="69"/>
      <c r="N1085" s="69"/>
      <c r="O1085" s="146"/>
      <c r="P1085" s="69"/>
      <c r="Q1085" s="69"/>
      <c r="R1085" s="45"/>
    </row>
    <row r="1086" spans="1:18" x14ac:dyDescent="0.2">
      <c r="A1086" s="45"/>
      <c r="B1086" s="45"/>
      <c r="C1086" s="74"/>
      <c r="D1086" s="75"/>
      <c r="E1086" s="75"/>
      <c r="F1086" s="69"/>
      <c r="G1086" s="69"/>
      <c r="H1086" s="69"/>
      <c r="I1086" s="69"/>
      <c r="J1086" s="69"/>
      <c r="K1086" s="69"/>
      <c r="L1086" s="69"/>
      <c r="M1086" s="69"/>
      <c r="N1086" s="69"/>
      <c r="O1086" s="146"/>
      <c r="P1086" s="69"/>
      <c r="Q1086" s="69"/>
      <c r="R1086" s="45"/>
    </row>
    <row r="1087" spans="1:18" x14ac:dyDescent="0.2">
      <c r="A1087" s="45"/>
      <c r="B1087" s="45"/>
      <c r="C1087" s="74"/>
      <c r="D1087" s="75"/>
      <c r="E1087" s="75"/>
      <c r="F1087" s="69"/>
      <c r="G1087" s="69"/>
      <c r="H1087" s="69"/>
      <c r="I1087" s="69"/>
      <c r="J1087" s="69"/>
      <c r="K1087" s="69"/>
      <c r="L1087" s="69"/>
      <c r="M1087" s="69"/>
      <c r="N1087" s="69"/>
      <c r="O1087" s="146"/>
      <c r="P1087" s="69"/>
      <c r="Q1087" s="69"/>
      <c r="R1087" s="45"/>
    </row>
    <row r="1088" spans="1:18" x14ac:dyDescent="0.2">
      <c r="A1088" s="45"/>
      <c r="B1088" s="45"/>
      <c r="C1088" s="74"/>
      <c r="D1088" s="75"/>
      <c r="E1088" s="75"/>
      <c r="F1088" s="69"/>
      <c r="G1088" s="69"/>
      <c r="H1088" s="69"/>
      <c r="I1088" s="69"/>
      <c r="J1088" s="69"/>
      <c r="K1088" s="69"/>
      <c r="L1088" s="69"/>
      <c r="M1088" s="69"/>
      <c r="N1088" s="69"/>
      <c r="O1088" s="146"/>
      <c r="P1088" s="69"/>
      <c r="Q1088" s="69"/>
      <c r="R1088" s="45"/>
    </row>
    <row r="1089" spans="1:18" x14ac:dyDescent="0.2">
      <c r="A1089" s="45"/>
      <c r="B1089" s="45"/>
      <c r="C1089" s="74"/>
      <c r="D1089" s="75"/>
      <c r="E1089" s="75"/>
      <c r="F1089" s="69"/>
      <c r="G1089" s="69"/>
      <c r="H1089" s="69"/>
      <c r="I1089" s="69"/>
      <c r="J1089" s="69"/>
      <c r="K1089" s="69"/>
      <c r="L1089" s="69"/>
      <c r="M1089" s="69"/>
      <c r="N1089" s="69"/>
      <c r="O1089" s="146"/>
      <c r="P1089" s="69"/>
      <c r="Q1089" s="69"/>
      <c r="R1089" s="45"/>
    </row>
    <row r="1090" spans="1:18" x14ac:dyDescent="0.2">
      <c r="A1090" s="45"/>
      <c r="B1090" s="45"/>
      <c r="C1090" s="74"/>
      <c r="D1090" s="75"/>
      <c r="E1090" s="75"/>
      <c r="F1090" s="69"/>
      <c r="G1090" s="69"/>
      <c r="H1090" s="69"/>
      <c r="I1090" s="69"/>
      <c r="J1090" s="69"/>
      <c r="K1090" s="69"/>
      <c r="L1090" s="69"/>
      <c r="M1090" s="69"/>
      <c r="N1090" s="69"/>
      <c r="O1090" s="146"/>
      <c r="P1090" s="69"/>
      <c r="Q1090" s="69"/>
      <c r="R1090" s="45"/>
    </row>
    <row r="1091" spans="1:18" x14ac:dyDescent="0.2">
      <c r="A1091" s="45"/>
      <c r="B1091" s="45"/>
      <c r="C1091" s="74"/>
      <c r="D1091" s="75"/>
      <c r="E1091" s="75"/>
      <c r="F1091" s="69"/>
      <c r="G1091" s="69"/>
      <c r="H1091" s="69"/>
      <c r="I1091" s="69"/>
      <c r="J1091" s="69"/>
      <c r="K1091" s="69"/>
      <c r="L1091" s="69"/>
      <c r="M1091" s="69"/>
      <c r="N1091" s="69"/>
      <c r="O1091" s="146"/>
      <c r="P1091" s="69"/>
      <c r="Q1091" s="69"/>
      <c r="R1091" s="45"/>
    </row>
    <row r="1092" spans="1:18" x14ac:dyDescent="0.2">
      <c r="A1092" s="45"/>
      <c r="B1092" s="45"/>
      <c r="C1092" s="74"/>
      <c r="D1092" s="75"/>
      <c r="E1092" s="75"/>
      <c r="F1092" s="69"/>
      <c r="G1092" s="69"/>
      <c r="H1092" s="69"/>
      <c r="I1092" s="69"/>
      <c r="J1092" s="69"/>
      <c r="K1092" s="69"/>
      <c r="L1092" s="69"/>
      <c r="M1092" s="69"/>
      <c r="N1092" s="69"/>
      <c r="O1092" s="146"/>
      <c r="P1092" s="69"/>
      <c r="Q1092" s="69"/>
      <c r="R1092" s="45"/>
    </row>
    <row r="1093" spans="1:18" x14ac:dyDescent="0.2">
      <c r="A1093" s="45"/>
      <c r="B1093" s="45"/>
      <c r="C1093" s="74"/>
      <c r="D1093" s="75"/>
      <c r="E1093" s="75"/>
      <c r="F1093" s="69"/>
      <c r="G1093" s="69"/>
      <c r="H1093" s="69"/>
      <c r="I1093" s="69"/>
      <c r="J1093" s="69"/>
      <c r="K1093" s="69"/>
      <c r="L1093" s="69"/>
      <c r="M1093" s="69"/>
      <c r="N1093" s="69"/>
      <c r="O1093" s="146"/>
      <c r="P1093" s="69"/>
      <c r="Q1093" s="69"/>
      <c r="R1093" s="45"/>
    </row>
    <row r="1094" spans="1:18" x14ac:dyDescent="0.2">
      <c r="A1094" s="45"/>
      <c r="B1094" s="45"/>
      <c r="C1094" s="74"/>
      <c r="D1094" s="75"/>
      <c r="E1094" s="75"/>
      <c r="F1094" s="69"/>
      <c r="G1094" s="69"/>
      <c r="H1094" s="69"/>
      <c r="I1094" s="69"/>
      <c r="J1094" s="69"/>
      <c r="K1094" s="69"/>
      <c r="L1094" s="69"/>
      <c r="M1094" s="69"/>
      <c r="N1094" s="69"/>
      <c r="O1094" s="146"/>
      <c r="P1094" s="69"/>
      <c r="Q1094" s="69"/>
      <c r="R1094" s="45"/>
    </row>
    <row r="1095" spans="1:18" x14ac:dyDescent="0.2">
      <c r="A1095" s="45"/>
      <c r="B1095" s="45"/>
      <c r="C1095" s="74"/>
      <c r="D1095" s="75"/>
      <c r="E1095" s="75"/>
      <c r="F1095" s="69"/>
      <c r="G1095" s="69"/>
      <c r="H1095" s="69"/>
      <c r="I1095" s="69"/>
      <c r="J1095" s="69"/>
      <c r="K1095" s="69"/>
      <c r="L1095" s="69"/>
      <c r="M1095" s="69"/>
      <c r="N1095" s="69"/>
      <c r="O1095" s="146"/>
      <c r="P1095" s="69"/>
      <c r="Q1095" s="69"/>
      <c r="R1095" s="45"/>
    </row>
    <row r="1096" spans="1:18" x14ac:dyDescent="0.2">
      <c r="A1096" s="45"/>
      <c r="B1096" s="45"/>
      <c r="C1096" s="74"/>
      <c r="D1096" s="75"/>
      <c r="E1096" s="75"/>
      <c r="F1096" s="69"/>
      <c r="G1096" s="69"/>
      <c r="H1096" s="69"/>
      <c r="I1096" s="69"/>
      <c r="J1096" s="69"/>
      <c r="K1096" s="69"/>
      <c r="L1096" s="69"/>
      <c r="M1096" s="69"/>
      <c r="N1096" s="69"/>
      <c r="O1096" s="146"/>
      <c r="P1096" s="69"/>
      <c r="Q1096" s="69"/>
      <c r="R1096" s="45"/>
    </row>
    <row r="1097" spans="1:18" x14ac:dyDescent="0.2">
      <c r="A1097" s="45"/>
      <c r="B1097" s="45"/>
      <c r="C1097" s="74"/>
      <c r="D1097" s="75"/>
      <c r="E1097" s="75"/>
      <c r="F1097" s="69"/>
      <c r="G1097" s="69"/>
      <c r="H1097" s="69"/>
      <c r="I1097" s="69"/>
      <c r="J1097" s="69"/>
      <c r="K1097" s="69"/>
      <c r="L1097" s="69"/>
      <c r="M1097" s="69"/>
      <c r="N1097" s="69"/>
      <c r="O1097" s="146"/>
      <c r="P1097" s="69"/>
      <c r="Q1097" s="69"/>
      <c r="R1097" s="45"/>
    </row>
    <row r="1098" spans="1:18" x14ac:dyDescent="0.2">
      <c r="A1098" s="45"/>
      <c r="B1098" s="45"/>
      <c r="C1098" s="74"/>
      <c r="D1098" s="75"/>
      <c r="E1098" s="75"/>
      <c r="F1098" s="69"/>
      <c r="G1098" s="69"/>
      <c r="H1098" s="69"/>
      <c r="I1098" s="69"/>
      <c r="J1098" s="69"/>
      <c r="K1098" s="69"/>
      <c r="L1098" s="69"/>
      <c r="M1098" s="69"/>
      <c r="N1098" s="69"/>
      <c r="O1098" s="146"/>
      <c r="P1098" s="69"/>
      <c r="Q1098" s="69"/>
      <c r="R1098" s="45"/>
    </row>
    <row r="1099" spans="1:18" x14ac:dyDescent="0.2">
      <c r="A1099" s="45"/>
      <c r="B1099" s="45"/>
      <c r="C1099" s="74"/>
      <c r="D1099" s="75"/>
      <c r="E1099" s="75"/>
      <c r="F1099" s="69"/>
      <c r="G1099" s="69"/>
      <c r="H1099" s="69"/>
      <c r="I1099" s="69"/>
      <c r="J1099" s="69"/>
      <c r="K1099" s="69"/>
      <c r="L1099" s="69"/>
      <c r="M1099" s="69"/>
      <c r="N1099" s="69"/>
      <c r="O1099" s="146"/>
      <c r="P1099" s="69"/>
      <c r="Q1099" s="69"/>
      <c r="R1099" s="45"/>
    </row>
    <row r="1100" spans="1:18" x14ac:dyDescent="0.2">
      <c r="A1100" s="45"/>
      <c r="B1100" s="45"/>
      <c r="C1100" s="74"/>
      <c r="D1100" s="75"/>
      <c r="E1100" s="75"/>
      <c r="F1100" s="69"/>
      <c r="G1100" s="69"/>
      <c r="H1100" s="69"/>
      <c r="I1100" s="69"/>
      <c r="J1100" s="69"/>
      <c r="K1100" s="69"/>
      <c r="L1100" s="69"/>
      <c r="M1100" s="69"/>
      <c r="N1100" s="69"/>
      <c r="O1100" s="146"/>
      <c r="P1100" s="69"/>
      <c r="Q1100" s="69"/>
      <c r="R1100" s="45"/>
    </row>
    <row r="1101" spans="1:18" x14ac:dyDescent="0.2">
      <c r="A1101" s="45"/>
      <c r="B1101" s="45"/>
      <c r="C1101" s="74"/>
      <c r="D1101" s="75"/>
      <c r="E1101" s="75"/>
      <c r="F1101" s="69"/>
      <c r="G1101" s="69"/>
      <c r="H1101" s="69"/>
      <c r="I1101" s="69"/>
      <c r="J1101" s="69"/>
      <c r="K1101" s="69"/>
      <c r="L1101" s="69"/>
      <c r="M1101" s="69"/>
      <c r="N1101" s="69"/>
      <c r="O1101" s="146"/>
      <c r="P1101" s="69"/>
      <c r="Q1101" s="69"/>
      <c r="R1101" s="45"/>
    </row>
    <row r="1102" spans="1:18" x14ac:dyDescent="0.2">
      <c r="A1102" s="45"/>
      <c r="B1102" s="45"/>
      <c r="C1102" s="74"/>
      <c r="D1102" s="75"/>
      <c r="E1102" s="75"/>
      <c r="F1102" s="69"/>
      <c r="G1102" s="69"/>
      <c r="H1102" s="69"/>
      <c r="I1102" s="69"/>
      <c r="J1102" s="69"/>
      <c r="K1102" s="69"/>
      <c r="L1102" s="69"/>
      <c r="M1102" s="69"/>
      <c r="N1102" s="69"/>
      <c r="O1102" s="146"/>
      <c r="P1102" s="69"/>
      <c r="Q1102" s="69"/>
      <c r="R1102" s="45"/>
    </row>
    <row r="1103" spans="1:18" x14ac:dyDescent="0.2">
      <c r="A1103" s="45"/>
      <c r="B1103" s="45"/>
      <c r="C1103" s="74"/>
      <c r="D1103" s="75"/>
      <c r="E1103" s="75"/>
      <c r="F1103" s="69"/>
      <c r="G1103" s="69"/>
      <c r="H1103" s="69"/>
      <c r="I1103" s="69"/>
      <c r="J1103" s="69"/>
      <c r="K1103" s="69"/>
      <c r="L1103" s="69"/>
      <c r="M1103" s="69"/>
      <c r="N1103" s="69"/>
      <c r="O1103" s="146"/>
      <c r="P1103" s="69"/>
      <c r="Q1103" s="69"/>
      <c r="R1103" s="45"/>
    </row>
    <row r="1104" spans="1:18" x14ac:dyDescent="0.2">
      <c r="A1104" s="45"/>
      <c r="B1104" s="45"/>
      <c r="C1104" s="74"/>
      <c r="D1104" s="75"/>
      <c r="E1104" s="75"/>
      <c r="F1104" s="69"/>
      <c r="G1104" s="69"/>
      <c r="H1104" s="69"/>
      <c r="I1104" s="69"/>
      <c r="J1104" s="69"/>
      <c r="K1104" s="69"/>
      <c r="L1104" s="69"/>
      <c r="M1104" s="69"/>
      <c r="N1104" s="69"/>
      <c r="O1104" s="146"/>
      <c r="P1104" s="69"/>
      <c r="Q1104" s="69"/>
      <c r="R1104" s="45"/>
    </row>
    <row r="1105" spans="1:18" x14ac:dyDescent="0.2">
      <c r="A1105" s="45"/>
      <c r="B1105" s="45"/>
      <c r="C1105" s="74"/>
      <c r="D1105" s="75"/>
      <c r="E1105" s="75"/>
      <c r="F1105" s="69"/>
      <c r="G1105" s="69"/>
      <c r="H1105" s="69"/>
      <c r="I1105" s="69"/>
      <c r="J1105" s="69"/>
      <c r="K1105" s="69"/>
      <c r="L1105" s="69"/>
      <c r="M1105" s="69"/>
      <c r="N1105" s="69"/>
      <c r="O1105" s="146"/>
      <c r="P1105" s="69"/>
      <c r="Q1105" s="69"/>
      <c r="R1105" s="45"/>
    </row>
    <row r="1106" spans="1:18" x14ac:dyDescent="0.2">
      <c r="A1106" s="45"/>
      <c r="B1106" s="45"/>
      <c r="C1106" s="74"/>
      <c r="D1106" s="75"/>
      <c r="E1106" s="75"/>
      <c r="F1106" s="69"/>
      <c r="G1106" s="69"/>
      <c r="H1106" s="69"/>
      <c r="I1106" s="69"/>
      <c r="J1106" s="69"/>
      <c r="K1106" s="69"/>
      <c r="L1106" s="69"/>
      <c r="M1106" s="69"/>
      <c r="N1106" s="69"/>
      <c r="O1106" s="146"/>
      <c r="P1106" s="69"/>
      <c r="Q1106" s="69"/>
      <c r="R1106" s="45"/>
    </row>
    <row r="1107" spans="1:18" x14ac:dyDescent="0.2">
      <c r="A1107" s="45"/>
      <c r="B1107" s="45"/>
      <c r="C1107" s="74"/>
      <c r="D1107" s="75"/>
      <c r="E1107" s="75"/>
      <c r="F1107" s="69"/>
      <c r="G1107" s="69"/>
      <c r="H1107" s="69"/>
      <c r="I1107" s="69"/>
      <c r="J1107" s="69"/>
      <c r="K1107" s="69"/>
      <c r="L1107" s="69"/>
      <c r="M1107" s="69"/>
      <c r="N1107" s="69"/>
      <c r="O1107" s="146"/>
      <c r="P1107" s="69"/>
      <c r="Q1107" s="69"/>
      <c r="R1107" s="45"/>
    </row>
    <row r="1108" spans="1:18" x14ac:dyDescent="0.2">
      <c r="A1108" s="45"/>
      <c r="B1108" s="45"/>
      <c r="C1108" s="74"/>
      <c r="D1108" s="75"/>
      <c r="E1108" s="75"/>
      <c r="F1108" s="69"/>
      <c r="G1108" s="69"/>
      <c r="H1108" s="69"/>
      <c r="I1108" s="69"/>
      <c r="J1108" s="69"/>
      <c r="K1108" s="69"/>
      <c r="L1108" s="69"/>
      <c r="M1108" s="69"/>
      <c r="N1108" s="69"/>
      <c r="O1108" s="146"/>
      <c r="P1108" s="69"/>
      <c r="Q1108" s="69"/>
      <c r="R1108" s="45"/>
    </row>
    <row r="1109" spans="1:18" x14ac:dyDescent="0.2">
      <c r="A1109" s="45"/>
      <c r="B1109" s="45"/>
      <c r="C1109" s="74"/>
      <c r="D1109" s="75"/>
      <c r="E1109" s="75"/>
      <c r="F1109" s="69"/>
      <c r="G1109" s="69"/>
      <c r="H1109" s="69"/>
      <c r="I1109" s="69"/>
      <c r="J1109" s="69"/>
      <c r="K1109" s="69"/>
      <c r="L1109" s="69"/>
      <c r="M1109" s="69"/>
      <c r="N1109" s="69"/>
      <c r="O1109" s="146"/>
      <c r="P1109" s="69"/>
      <c r="Q1109" s="69"/>
      <c r="R1109" s="45"/>
    </row>
    <row r="1110" spans="1:18" x14ac:dyDescent="0.2">
      <c r="A1110" s="45"/>
      <c r="B1110" s="45"/>
      <c r="C1110" s="74"/>
      <c r="D1110" s="75"/>
      <c r="E1110" s="75"/>
      <c r="F1110" s="69"/>
      <c r="G1110" s="69"/>
      <c r="H1110" s="69"/>
      <c r="I1110" s="69"/>
      <c r="J1110" s="69"/>
      <c r="K1110" s="69"/>
      <c r="L1110" s="69"/>
      <c r="M1110" s="69"/>
      <c r="N1110" s="69"/>
      <c r="O1110" s="146"/>
      <c r="P1110" s="69"/>
      <c r="Q1110" s="69"/>
      <c r="R1110" s="45"/>
    </row>
    <row r="1111" spans="1:18" x14ac:dyDescent="0.2">
      <c r="A1111" s="45"/>
      <c r="B1111" s="45"/>
      <c r="C1111" s="74"/>
      <c r="D1111" s="75"/>
      <c r="E1111" s="75"/>
      <c r="F1111" s="69"/>
      <c r="G1111" s="69"/>
      <c r="H1111" s="69"/>
      <c r="I1111" s="69"/>
      <c r="J1111" s="69"/>
      <c r="K1111" s="69"/>
      <c r="L1111" s="69"/>
      <c r="M1111" s="69"/>
      <c r="N1111" s="69"/>
      <c r="O1111" s="146"/>
      <c r="P1111" s="69"/>
      <c r="Q1111" s="69"/>
      <c r="R1111" s="45"/>
    </row>
    <row r="1112" spans="1:18" x14ac:dyDescent="0.2">
      <c r="A1112" s="45"/>
      <c r="B1112" s="45"/>
      <c r="C1112" s="74"/>
      <c r="D1112" s="75"/>
      <c r="E1112" s="75"/>
      <c r="F1112" s="69"/>
      <c r="G1112" s="69"/>
      <c r="H1112" s="69"/>
      <c r="I1112" s="69"/>
      <c r="J1112" s="69"/>
      <c r="K1112" s="69"/>
      <c r="L1112" s="69"/>
      <c r="M1112" s="69"/>
      <c r="N1112" s="69"/>
      <c r="O1112" s="146"/>
      <c r="P1112" s="69"/>
      <c r="Q1112" s="69"/>
      <c r="R1112" s="45"/>
    </row>
    <row r="1113" spans="1:18" x14ac:dyDescent="0.2">
      <c r="A1113" s="45"/>
      <c r="B1113" s="45"/>
      <c r="C1113" s="74"/>
      <c r="D1113" s="75"/>
      <c r="E1113" s="75"/>
      <c r="F1113" s="69"/>
      <c r="G1113" s="69"/>
      <c r="H1113" s="69"/>
      <c r="I1113" s="69"/>
      <c r="J1113" s="69"/>
      <c r="K1113" s="69"/>
      <c r="L1113" s="69"/>
      <c r="M1113" s="69"/>
      <c r="N1113" s="69"/>
      <c r="O1113" s="146"/>
      <c r="P1113" s="69"/>
      <c r="Q1113" s="69"/>
      <c r="R1113" s="45"/>
    </row>
    <row r="1114" spans="1:18" x14ac:dyDescent="0.2">
      <c r="A1114" s="45"/>
      <c r="B1114" s="45"/>
      <c r="C1114" s="74"/>
      <c r="D1114" s="75"/>
      <c r="E1114" s="75"/>
      <c r="F1114" s="69"/>
      <c r="G1114" s="69"/>
      <c r="H1114" s="69"/>
      <c r="I1114" s="69"/>
      <c r="J1114" s="69"/>
      <c r="K1114" s="69"/>
      <c r="L1114" s="69"/>
      <c r="M1114" s="69"/>
      <c r="N1114" s="69"/>
      <c r="O1114" s="146"/>
      <c r="P1114" s="69"/>
      <c r="Q1114" s="69"/>
      <c r="R1114" s="45"/>
    </row>
    <row r="1115" spans="1:18" x14ac:dyDescent="0.2">
      <c r="A1115" s="45"/>
      <c r="B1115" s="45"/>
      <c r="C1115" s="74"/>
      <c r="D1115" s="75"/>
      <c r="E1115" s="75"/>
      <c r="F1115" s="69"/>
      <c r="G1115" s="69"/>
      <c r="H1115" s="69"/>
      <c r="I1115" s="69"/>
      <c r="J1115" s="69"/>
      <c r="K1115" s="69"/>
      <c r="L1115" s="69"/>
      <c r="M1115" s="69"/>
      <c r="N1115" s="69"/>
      <c r="O1115" s="146"/>
      <c r="P1115" s="69"/>
      <c r="Q1115" s="69"/>
      <c r="R1115" s="45"/>
    </row>
    <row r="1116" spans="1:18" x14ac:dyDescent="0.2">
      <c r="A1116" s="45"/>
      <c r="B1116" s="45"/>
      <c r="C1116" s="74"/>
      <c r="D1116" s="75"/>
      <c r="E1116" s="75"/>
      <c r="F1116" s="69"/>
      <c r="G1116" s="69"/>
      <c r="H1116" s="69"/>
      <c r="I1116" s="69"/>
      <c r="J1116" s="69"/>
      <c r="K1116" s="69"/>
      <c r="L1116" s="69"/>
      <c r="M1116" s="69"/>
      <c r="N1116" s="69"/>
      <c r="O1116" s="146"/>
      <c r="P1116" s="69"/>
      <c r="Q1116" s="69"/>
      <c r="R1116" s="45"/>
    </row>
    <row r="1117" spans="1:18" x14ac:dyDescent="0.2">
      <c r="A1117" s="45"/>
      <c r="B1117" s="45"/>
      <c r="C1117" s="74"/>
      <c r="D1117" s="75"/>
      <c r="E1117" s="75"/>
      <c r="F1117" s="69"/>
      <c r="G1117" s="69"/>
      <c r="H1117" s="69"/>
      <c r="I1117" s="69"/>
      <c r="J1117" s="69"/>
      <c r="K1117" s="69"/>
      <c r="L1117" s="69"/>
      <c r="M1117" s="69"/>
      <c r="N1117" s="69"/>
      <c r="O1117" s="146"/>
      <c r="P1117" s="69"/>
      <c r="Q1117" s="69"/>
      <c r="R1117" s="45"/>
    </row>
    <row r="1118" spans="1:18" x14ac:dyDescent="0.2">
      <c r="A1118" s="45"/>
      <c r="B1118" s="45"/>
      <c r="C1118" s="74"/>
      <c r="D1118" s="75"/>
      <c r="E1118" s="75"/>
      <c r="F1118" s="69"/>
      <c r="G1118" s="69"/>
      <c r="H1118" s="69"/>
      <c r="I1118" s="69"/>
      <c r="J1118" s="69"/>
      <c r="K1118" s="69"/>
      <c r="L1118" s="69"/>
      <c r="M1118" s="69"/>
      <c r="N1118" s="69"/>
      <c r="O1118" s="146"/>
      <c r="P1118" s="69"/>
      <c r="Q1118" s="69"/>
      <c r="R1118" s="45"/>
    </row>
    <row r="1119" spans="1:18" x14ac:dyDescent="0.2">
      <c r="A1119" s="45"/>
      <c r="B1119" s="45"/>
      <c r="C1119" s="74"/>
      <c r="D1119" s="75"/>
      <c r="E1119" s="75"/>
      <c r="F1119" s="69"/>
      <c r="G1119" s="69"/>
      <c r="H1119" s="69"/>
      <c r="I1119" s="69"/>
      <c r="J1119" s="69"/>
      <c r="K1119" s="69"/>
      <c r="L1119" s="69"/>
      <c r="M1119" s="69"/>
      <c r="N1119" s="69"/>
      <c r="O1119" s="146"/>
      <c r="P1119" s="69"/>
      <c r="Q1119" s="69"/>
      <c r="R1119" s="45"/>
    </row>
    <row r="1120" spans="1:18" x14ac:dyDescent="0.2">
      <c r="A1120" s="45"/>
      <c r="B1120" s="45"/>
      <c r="C1120" s="74"/>
      <c r="D1120" s="75"/>
      <c r="E1120" s="75"/>
      <c r="F1120" s="69"/>
      <c r="G1120" s="69"/>
      <c r="H1120" s="69"/>
      <c r="I1120" s="69"/>
      <c r="J1120" s="69"/>
      <c r="K1120" s="69"/>
      <c r="L1120" s="69"/>
      <c r="M1120" s="69"/>
      <c r="N1120" s="69"/>
      <c r="O1120" s="146"/>
      <c r="P1120" s="69"/>
      <c r="Q1120" s="69"/>
      <c r="R1120" s="45"/>
    </row>
    <row r="1121" spans="1:18" x14ac:dyDescent="0.2">
      <c r="A1121" s="45"/>
      <c r="B1121" s="45"/>
      <c r="C1121" s="74"/>
      <c r="D1121" s="75"/>
      <c r="E1121" s="75"/>
      <c r="F1121" s="69"/>
      <c r="G1121" s="69"/>
      <c r="H1121" s="69"/>
      <c r="I1121" s="69"/>
      <c r="J1121" s="69"/>
      <c r="K1121" s="69"/>
      <c r="L1121" s="69"/>
      <c r="M1121" s="69"/>
      <c r="N1121" s="69"/>
      <c r="O1121" s="146"/>
      <c r="P1121" s="69"/>
      <c r="Q1121" s="69"/>
      <c r="R1121" s="45"/>
    </row>
    <row r="1122" spans="1:18" x14ac:dyDescent="0.2">
      <c r="A1122" s="45"/>
      <c r="B1122" s="45"/>
      <c r="C1122" s="74"/>
      <c r="D1122" s="75"/>
      <c r="E1122" s="75"/>
      <c r="F1122" s="69"/>
      <c r="G1122" s="69"/>
      <c r="H1122" s="69"/>
      <c r="I1122" s="69"/>
      <c r="J1122" s="69"/>
      <c r="K1122" s="69"/>
      <c r="L1122" s="69"/>
      <c r="M1122" s="69"/>
      <c r="N1122" s="69"/>
      <c r="O1122" s="146"/>
      <c r="P1122" s="69"/>
      <c r="Q1122" s="69"/>
      <c r="R1122" s="45"/>
    </row>
    <row r="1123" spans="1:18" x14ac:dyDescent="0.2">
      <c r="A1123" s="45"/>
      <c r="B1123" s="45"/>
      <c r="C1123" s="74"/>
      <c r="D1123" s="75"/>
      <c r="E1123" s="75"/>
      <c r="F1123" s="69"/>
      <c r="G1123" s="69"/>
      <c r="H1123" s="69"/>
      <c r="I1123" s="69"/>
      <c r="J1123" s="69"/>
      <c r="K1123" s="69"/>
      <c r="L1123" s="69"/>
      <c r="M1123" s="69"/>
      <c r="N1123" s="69"/>
      <c r="O1123" s="146"/>
      <c r="P1123" s="69"/>
      <c r="Q1123" s="69"/>
      <c r="R1123" s="45"/>
    </row>
    <row r="1124" spans="1:18" x14ac:dyDescent="0.2">
      <c r="A1124" s="45"/>
      <c r="B1124" s="45"/>
      <c r="C1124" s="74"/>
      <c r="D1124" s="75"/>
      <c r="E1124" s="75"/>
      <c r="F1124" s="69"/>
      <c r="G1124" s="69"/>
      <c r="H1124" s="69"/>
      <c r="I1124" s="69"/>
      <c r="J1124" s="69"/>
      <c r="K1124" s="69"/>
      <c r="L1124" s="69"/>
      <c r="M1124" s="69"/>
      <c r="N1124" s="69"/>
      <c r="O1124" s="146"/>
      <c r="P1124" s="69"/>
      <c r="Q1124" s="69"/>
      <c r="R1124" s="45"/>
    </row>
    <row r="1125" spans="1:18" x14ac:dyDescent="0.2">
      <c r="A1125" s="45"/>
      <c r="B1125" s="45"/>
      <c r="C1125" s="74"/>
      <c r="D1125" s="75"/>
      <c r="E1125" s="75"/>
      <c r="F1125" s="69"/>
      <c r="G1125" s="69"/>
      <c r="H1125" s="69"/>
      <c r="I1125" s="69"/>
      <c r="J1125" s="69"/>
      <c r="K1125" s="69"/>
      <c r="L1125" s="69"/>
      <c r="M1125" s="69"/>
      <c r="N1125" s="69"/>
      <c r="O1125" s="146"/>
      <c r="P1125" s="69"/>
      <c r="Q1125" s="69"/>
      <c r="R1125" s="45"/>
    </row>
    <row r="1126" spans="1:18" x14ac:dyDescent="0.2">
      <c r="A1126" s="45"/>
      <c r="B1126" s="45"/>
      <c r="C1126" s="74"/>
      <c r="D1126" s="75"/>
      <c r="E1126" s="75"/>
      <c r="F1126" s="69"/>
      <c r="G1126" s="69"/>
      <c r="H1126" s="69"/>
      <c r="I1126" s="69"/>
      <c r="J1126" s="69"/>
      <c r="K1126" s="69"/>
      <c r="L1126" s="69"/>
      <c r="M1126" s="69"/>
      <c r="N1126" s="69"/>
      <c r="O1126" s="146"/>
      <c r="P1126" s="69"/>
      <c r="Q1126" s="69"/>
      <c r="R1126" s="45"/>
    </row>
    <row r="1127" spans="1:18" x14ac:dyDescent="0.2">
      <c r="A1127" s="45"/>
      <c r="B1127" s="45"/>
      <c r="C1127" s="74"/>
      <c r="D1127" s="75"/>
      <c r="E1127" s="75"/>
      <c r="F1127" s="69"/>
      <c r="G1127" s="69"/>
      <c r="H1127" s="69"/>
      <c r="I1127" s="69"/>
      <c r="J1127" s="69"/>
      <c r="K1127" s="69"/>
      <c r="L1127" s="69"/>
      <c r="M1127" s="69"/>
      <c r="N1127" s="69"/>
      <c r="O1127" s="146"/>
      <c r="P1127" s="69"/>
      <c r="Q1127" s="69"/>
      <c r="R1127" s="45"/>
    </row>
    <row r="1128" spans="1:18" x14ac:dyDescent="0.2">
      <c r="A1128" s="45"/>
      <c r="B1128" s="45"/>
      <c r="C1128" s="74"/>
      <c r="D1128" s="75"/>
      <c r="E1128" s="75"/>
      <c r="F1128" s="69"/>
      <c r="G1128" s="69"/>
      <c r="H1128" s="69"/>
      <c r="I1128" s="69"/>
      <c r="J1128" s="69"/>
      <c r="K1128" s="69"/>
      <c r="L1128" s="69"/>
      <c r="M1128" s="69"/>
      <c r="N1128" s="69"/>
      <c r="O1128" s="146"/>
      <c r="P1128" s="69"/>
      <c r="Q1128" s="69"/>
      <c r="R1128" s="45"/>
    </row>
    <row r="1129" spans="1:18" x14ac:dyDescent="0.2">
      <c r="A1129" s="45"/>
      <c r="B1129" s="45"/>
      <c r="C1129" s="74"/>
      <c r="D1129" s="75"/>
      <c r="E1129" s="75"/>
      <c r="F1129" s="69"/>
      <c r="G1129" s="69"/>
      <c r="H1129" s="69"/>
      <c r="I1129" s="69"/>
      <c r="J1129" s="69"/>
      <c r="K1129" s="69"/>
      <c r="L1129" s="69"/>
      <c r="M1129" s="69"/>
      <c r="N1129" s="69"/>
      <c r="O1129" s="146"/>
      <c r="P1129" s="69"/>
      <c r="Q1129" s="69"/>
      <c r="R1129" s="45"/>
    </row>
    <row r="1130" spans="1:18" x14ac:dyDescent="0.2">
      <c r="A1130" s="45"/>
      <c r="B1130" s="45"/>
      <c r="C1130" s="74"/>
      <c r="D1130" s="75"/>
      <c r="E1130" s="75"/>
      <c r="F1130" s="69"/>
      <c r="G1130" s="69"/>
      <c r="H1130" s="69"/>
      <c r="I1130" s="69"/>
      <c r="J1130" s="69"/>
      <c r="K1130" s="69"/>
      <c r="L1130" s="69"/>
      <c r="M1130" s="69"/>
      <c r="N1130" s="69"/>
      <c r="O1130" s="146"/>
      <c r="P1130" s="69"/>
      <c r="Q1130" s="69"/>
      <c r="R1130" s="45"/>
    </row>
    <row r="1131" spans="1:18" x14ac:dyDescent="0.2">
      <c r="A1131" s="45"/>
      <c r="B1131" s="45"/>
      <c r="C1131" s="74"/>
      <c r="D1131" s="75"/>
      <c r="E1131" s="75"/>
      <c r="F1131" s="69"/>
      <c r="G1131" s="69"/>
      <c r="H1131" s="69"/>
      <c r="I1131" s="69"/>
      <c r="J1131" s="69"/>
      <c r="K1131" s="69"/>
      <c r="L1131" s="69"/>
      <c r="M1131" s="69"/>
      <c r="N1131" s="69"/>
      <c r="O1131" s="146"/>
      <c r="P1131" s="69"/>
      <c r="Q1131" s="69"/>
      <c r="R1131" s="45"/>
    </row>
    <row r="1132" spans="1:18" x14ac:dyDescent="0.2">
      <c r="A1132" s="45"/>
      <c r="B1132" s="45"/>
      <c r="C1132" s="74"/>
      <c r="D1132" s="75"/>
      <c r="E1132" s="75"/>
      <c r="F1132" s="69"/>
      <c r="G1132" s="69"/>
      <c r="H1132" s="69"/>
      <c r="I1132" s="69"/>
      <c r="J1132" s="69"/>
      <c r="K1132" s="69"/>
      <c r="L1132" s="69"/>
      <c r="M1132" s="69"/>
      <c r="N1132" s="69"/>
      <c r="O1132" s="146"/>
      <c r="P1132" s="69"/>
      <c r="Q1132" s="69"/>
      <c r="R1132" s="45"/>
    </row>
    <row r="1133" spans="1:18" x14ac:dyDescent="0.2">
      <c r="A1133" s="45"/>
      <c r="B1133" s="45"/>
      <c r="C1133" s="74"/>
      <c r="D1133" s="75"/>
      <c r="E1133" s="75"/>
      <c r="F1133" s="69"/>
      <c r="G1133" s="69"/>
      <c r="H1133" s="69"/>
      <c r="I1133" s="69"/>
      <c r="J1133" s="69"/>
      <c r="K1133" s="69"/>
      <c r="L1133" s="69"/>
      <c r="M1133" s="69"/>
      <c r="N1133" s="69"/>
      <c r="O1133" s="146"/>
      <c r="P1133" s="69"/>
      <c r="Q1133" s="69"/>
      <c r="R1133" s="45"/>
    </row>
    <row r="1134" spans="1:18" x14ac:dyDescent="0.2">
      <c r="A1134" s="45"/>
      <c r="B1134" s="45"/>
      <c r="C1134" s="74"/>
      <c r="D1134" s="75"/>
      <c r="E1134" s="75"/>
      <c r="F1134" s="69"/>
      <c r="G1134" s="69"/>
      <c r="H1134" s="69"/>
      <c r="I1134" s="69"/>
      <c r="J1134" s="69"/>
      <c r="K1134" s="69"/>
      <c r="L1134" s="69"/>
      <c r="M1134" s="69"/>
      <c r="N1134" s="69"/>
      <c r="O1134" s="146"/>
      <c r="P1134" s="69"/>
      <c r="Q1134" s="69"/>
      <c r="R1134" s="45"/>
    </row>
    <row r="1135" spans="1:18" x14ac:dyDescent="0.2">
      <c r="A1135" s="45"/>
      <c r="B1135" s="45"/>
      <c r="C1135" s="74"/>
      <c r="D1135" s="75"/>
      <c r="E1135" s="75"/>
      <c r="F1135" s="69"/>
      <c r="G1135" s="69"/>
      <c r="H1135" s="69"/>
      <c r="I1135" s="69"/>
      <c r="J1135" s="69"/>
      <c r="K1135" s="69"/>
      <c r="L1135" s="69"/>
      <c r="M1135" s="69"/>
      <c r="N1135" s="69"/>
      <c r="O1135" s="146"/>
      <c r="P1135" s="69"/>
      <c r="Q1135" s="69"/>
      <c r="R1135" s="45"/>
    </row>
    <row r="1136" spans="1:18" x14ac:dyDescent="0.2">
      <c r="A1136" s="45"/>
      <c r="B1136" s="45"/>
      <c r="C1136" s="74"/>
      <c r="D1136" s="75"/>
      <c r="E1136" s="75"/>
      <c r="F1136" s="69"/>
      <c r="G1136" s="69"/>
      <c r="H1136" s="69"/>
      <c r="I1136" s="69"/>
      <c r="J1136" s="69"/>
      <c r="K1136" s="69"/>
      <c r="L1136" s="69"/>
      <c r="M1136" s="69"/>
      <c r="N1136" s="69"/>
      <c r="O1136" s="146"/>
      <c r="P1136" s="69"/>
      <c r="Q1136" s="69"/>
      <c r="R1136" s="45"/>
    </row>
    <row r="1137" spans="1:18" x14ac:dyDescent="0.2">
      <c r="A1137" s="45"/>
      <c r="B1137" s="45"/>
      <c r="C1137" s="74"/>
      <c r="D1137" s="75"/>
      <c r="E1137" s="75"/>
      <c r="F1137" s="69"/>
      <c r="G1137" s="69"/>
      <c r="H1137" s="69"/>
      <c r="I1137" s="69"/>
      <c r="J1137" s="69"/>
      <c r="K1137" s="69"/>
      <c r="L1137" s="69"/>
      <c r="M1137" s="69"/>
      <c r="N1137" s="69"/>
      <c r="O1137" s="146"/>
      <c r="P1137" s="69"/>
      <c r="Q1137" s="69"/>
      <c r="R1137" s="45"/>
    </row>
    <row r="1138" spans="1:18" x14ac:dyDescent="0.2">
      <c r="A1138" s="45"/>
      <c r="B1138" s="45"/>
      <c r="C1138" s="74"/>
      <c r="D1138" s="75"/>
      <c r="E1138" s="75"/>
      <c r="F1138" s="69"/>
      <c r="G1138" s="69"/>
      <c r="H1138" s="69"/>
      <c r="I1138" s="69"/>
      <c r="J1138" s="69"/>
      <c r="K1138" s="69"/>
      <c r="L1138" s="69"/>
      <c r="M1138" s="69"/>
      <c r="N1138" s="69"/>
      <c r="O1138" s="146"/>
      <c r="P1138" s="69"/>
      <c r="Q1138" s="69"/>
      <c r="R1138" s="45"/>
    </row>
    <row r="1139" spans="1:18" x14ac:dyDescent="0.2">
      <c r="A1139" s="45"/>
      <c r="B1139" s="45"/>
      <c r="C1139" s="74"/>
      <c r="D1139" s="75"/>
      <c r="E1139" s="75"/>
      <c r="F1139" s="69"/>
      <c r="G1139" s="69"/>
      <c r="H1139" s="69"/>
      <c r="I1139" s="69"/>
      <c r="J1139" s="69"/>
      <c r="K1139" s="69"/>
      <c r="L1139" s="69"/>
      <c r="M1139" s="69"/>
      <c r="N1139" s="69"/>
      <c r="O1139" s="146"/>
      <c r="P1139" s="69"/>
      <c r="Q1139" s="69"/>
      <c r="R1139" s="45"/>
    </row>
    <row r="1140" spans="1:18" x14ac:dyDescent="0.2">
      <c r="A1140" s="45"/>
      <c r="B1140" s="45"/>
      <c r="C1140" s="74"/>
      <c r="D1140" s="75"/>
      <c r="E1140" s="75"/>
      <c r="F1140" s="69"/>
      <c r="G1140" s="69"/>
      <c r="H1140" s="69"/>
      <c r="I1140" s="69"/>
      <c r="J1140" s="69"/>
      <c r="K1140" s="69"/>
      <c r="L1140" s="69"/>
      <c r="M1140" s="69"/>
      <c r="N1140" s="69"/>
      <c r="O1140" s="146"/>
      <c r="P1140" s="69"/>
      <c r="Q1140" s="69"/>
      <c r="R1140" s="45"/>
    </row>
    <row r="1141" spans="1:18" x14ac:dyDescent="0.2">
      <c r="A1141" s="45"/>
      <c r="B1141" s="45"/>
      <c r="C1141" s="74"/>
      <c r="D1141" s="75"/>
      <c r="E1141" s="75"/>
      <c r="F1141" s="69"/>
      <c r="G1141" s="69"/>
      <c r="H1141" s="69"/>
      <c r="I1141" s="69"/>
      <c r="J1141" s="69"/>
      <c r="K1141" s="69"/>
      <c r="L1141" s="69"/>
      <c r="M1141" s="69"/>
      <c r="N1141" s="69"/>
      <c r="O1141" s="146"/>
      <c r="P1141" s="69"/>
      <c r="Q1141" s="69"/>
      <c r="R1141" s="45"/>
    </row>
    <row r="1142" spans="1:18" x14ac:dyDescent="0.2">
      <c r="A1142" s="45"/>
      <c r="B1142" s="45"/>
      <c r="C1142" s="74"/>
      <c r="D1142" s="75"/>
      <c r="E1142" s="75"/>
      <c r="F1142" s="69"/>
      <c r="G1142" s="69"/>
      <c r="H1142" s="69"/>
      <c r="I1142" s="69"/>
      <c r="J1142" s="69"/>
      <c r="K1142" s="69"/>
      <c r="L1142" s="69"/>
      <c r="M1142" s="69"/>
      <c r="N1142" s="69"/>
      <c r="O1142" s="146"/>
      <c r="P1142" s="69"/>
      <c r="Q1142" s="69"/>
      <c r="R1142" s="45"/>
    </row>
    <row r="1143" spans="1:18" x14ac:dyDescent="0.2">
      <c r="A1143" s="45"/>
      <c r="B1143" s="45"/>
      <c r="C1143" s="74"/>
      <c r="D1143" s="75"/>
      <c r="E1143" s="75"/>
      <c r="F1143" s="69"/>
      <c r="G1143" s="69"/>
      <c r="H1143" s="69"/>
      <c r="I1143" s="69"/>
      <c r="J1143" s="69"/>
      <c r="K1143" s="69"/>
      <c r="L1143" s="69"/>
      <c r="M1143" s="69"/>
      <c r="N1143" s="69"/>
      <c r="O1143" s="146"/>
      <c r="P1143" s="69"/>
      <c r="Q1143" s="69"/>
      <c r="R1143" s="45"/>
    </row>
    <row r="1144" spans="1:18" x14ac:dyDescent="0.2">
      <c r="A1144" s="45"/>
      <c r="B1144" s="45"/>
      <c r="C1144" s="74"/>
      <c r="D1144" s="75"/>
      <c r="E1144" s="75"/>
      <c r="F1144" s="69"/>
      <c r="G1144" s="69"/>
      <c r="H1144" s="69"/>
      <c r="I1144" s="69"/>
      <c r="J1144" s="69"/>
      <c r="K1144" s="69"/>
      <c r="L1144" s="69"/>
      <c r="M1144" s="69"/>
      <c r="N1144" s="69"/>
      <c r="O1144" s="146"/>
      <c r="P1144" s="69"/>
      <c r="Q1144" s="69"/>
      <c r="R1144" s="45"/>
    </row>
    <row r="1145" spans="1:18" x14ac:dyDescent="0.2">
      <c r="A1145" s="45"/>
      <c r="B1145" s="45"/>
      <c r="C1145" s="74"/>
      <c r="D1145" s="75"/>
      <c r="E1145" s="75"/>
      <c r="F1145" s="69"/>
      <c r="G1145" s="69"/>
      <c r="H1145" s="69"/>
      <c r="I1145" s="69"/>
      <c r="J1145" s="69"/>
      <c r="K1145" s="69"/>
      <c r="L1145" s="69"/>
      <c r="M1145" s="69"/>
      <c r="N1145" s="69"/>
      <c r="O1145" s="146"/>
      <c r="P1145" s="69"/>
      <c r="Q1145" s="69"/>
      <c r="R1145" s="45"/>
    </row>
    <row r="1146" spans="1:18" x14ac:dyDescent="0.2">
      <c r="A1146" s="45"/>
      <c r="B1146" s="45"/>
      <c r="C1146" s="74"/>
      <c r="D1146" s="75"/>
      <c r="E1146" s="75"/>
      <c r="F1146" s="69"/>
      <c r="G1146" s="69"/>
      <c r="H1146" s="69"/>
      <c r="I1146" s="69"/>
      <c r="J1146" s="69"/>
      <c r="K1146" s="69"/>
      <c r="L1146" s="69"/>
      <c r="M1146" s="69"/>
      <c r="N1146" s="69"/>
      <c r="O1146" s="146"/>
      <c r="P1146" s="69"/>
      <c r="Q1146" s="69"/>
      <c r="R1146" s="45"/>
    </row>
    <row r="1147" spans="1:18" x14ac:dyDescent="0.2">
      <c r="A1147" s="45"/>
      <c r="B1147" s="45"/>
      <c r="C1147" s="74"/>
      <c r="D1147" s="75"/>
      <c r="E1147" s="75"/>
      <c r="F1147" s="69"/>
      <c r="G1147" s="69"/>
      <c r="H1147" s="69"/>
      <c r="I1147" s="69"/>
      <c r="J1147" s="69"/>
      <c r="K1147" s="69"/>
      <c r="L1147" s="69"/>
      <c r="M1147" s="69"/>
      <c r="N1147" s="69"/>
      <c r="O1147" s="146"/>
      <c r="P1147" s="69"/>
      <c r="Q1147" s="69"/>
      <c r="R1147" s="45"/>
    </row>
    <row r="1148" spans="1:18" x14ac:dyDescent="0.2">
      <c r="A1148" s="45"/>
      <c r="B1148" s="45"/>
      <c r="C1148" s="74"/>
      <c r="D1148" s="75"/>
      <c r="E1148" s="75"/>
      <c r="F1148" s="69"/>
      <c r="G1148" s="69"/>
      <c r="H1148" s="69"/>
      <c r="I1148" s="69"/>
      <c r="J1148" s="69"/>
      <c r="K1148" s="69"/>
      <c r="L1148" s="69"/>
      <c r="M1148" s="69"/>
      <c r="N1148" s="69"/>
      <c r="O1148" s="146"/>
      <c r="P1148" s="69"/>
      <c r="Q1148" s="69"/>
      <c r="R1148" s="45"/>
    </row>
    <row r="1149" spans="1:18" x14ac:dyDescent="0.2">
      <c r="A1149" s="45"/>
      <c r="B1149" s="45"/>
      <c r="C1149" s="74"/>
      <c r="D1149" s="75"/>
      <c r="E1149" s="75"/>
      <c r="F1149" s="69"/>
      <c r="G1149" s="69"/>
      <c r="H1149" s="69"/>
      <c r="I1149" s="69"/>
      <c r="J1149" s="69"/>
      <c r="K1149" s="69"/>
      <c r="L1149" s="69"/>
      <c r="M1149" s="69"/>
      <c r="N1149" s="69"/>
      <c r="O1149" s="146"/>
      <c r="P1149" s="69"/>
      <c r="Q1149" s="69"/>
      <c r="R1149" s="45"/>
    </row>
    <row r="1150" spans="1:18" x14ac:dyDescent="0.2">
      <c r="A1150" s="45"/>
      <c r="B1150" s="45"/>
      <c r="C1150" s="74"/>
      <c r="D1150" s="75"/>
      <c r="E1150" s="75"/>
      <c r="F1150" s="69"/>
      <c r="G1150" s="69"/>
      <c r="H1150" s="69"/>
      <c r="I1150" s="69"/>
      <c r="J1150" s="69"/>
      <c r="K1150" s="69"/>
      <c r="L1150" s="69"/>
      <c r="M1150" s="69"/>
      <c r="N1150" s="69"/>
      <c r="O1150" s="146"/>
      <c r="P1150" s="69"/>
      <c r="Q1150" s="69"/>
      <c r="R1150" s="45"/>
    </row>
    <row r="1151" spans="1:18" x14ac:dyDescent="0.2">
      <c r="A1151" s="45"/>
      <c r="B1151" s="45"/>
      <c r="C1151" s="74"/>
      <c r="D1151" s="75"/>
      <c r="E1151" s="75"/>
      <c r="F1151" s="69"/>
      <c r="G1151" s="69"/>
      <c r="H1151" s="69"/>
      <c r="I1151" s="69"/>
      <c r="J1151" s="69"/>
      <c r="K1151" s="69"/>
      <c r="L1151" s="69"/>
      <c r="M1151" s="69"/>
      <c r="N1151" s="69"/>
      <c r="O1151" s="146"/>
      <c r="P1151" s="69"/>
      <c r="Q1151" s="69"/>
      <c r="R1151" s="45"/>
    </row>
    <row r="1152" spans="1:18" x14ac:dyDescent="0.2">
      <c r="A1152" s="45"/>
      <c r="B1152" s="45"/>
      <c r="C1152" s="74"/>
      <c r="D1152" s="75"/>
      <c r="E1152" s="75"/>
      <c r="F1152" s="69"/>
      <c r="G1152" s="69"/>
      <c r="H1152" s="69"/>
      <c r="I1152" s="69"/>
      <c r="J1152" s="69"/>
      <c r="K1152" s="69"/>
      <c r="L1152" s="69"/>
      <c r="M1152" s="69"/>
      <c r="N1152" s="69"/>
      <c r="O1152" s="146"/>
      <c r="P1152" s="69"/>
      <c r="Q1152" s="69"/>
      <c r="R1152" s="45"/>
    </row>
    <row r="1153" spans="1:18" x14ac:dyDescent="0.2">
      <c r="A1153" s="45"/>
      <c r="B1153" s="45"/>
      <c r="C1153" s="74"/>
      <c r="D1153" s="75"/>
      <c r="E1153" s="75"/>
      <c r="F1153" s="69"/>
      <c r="G1153" s="69"/>
      <c r="H1153" s="69"/>
      <c r="I1153" s="69"/>
      <c r="J1153" s="69"/>
      <c r="K1153" s="69"/>
      <c r="L1153" s="69"/>
      <c r="M1153" s="69"/>
      <c r="N1153" s="69"/>
      <c r="O1153" s="146"/>
      <c r="P1153" s="69"/>
      <c r="Q1153" s="69"/>
      <c r="R1153" s="45"/>
    </row>
    <row r="1154" spans="1:18" x14ac:dyDescent="0.2">
      <c r="A1154" s="45"/>
      <c r="B1154" s="45"/>
      <c r="C1154" s="74"/>
      <c r="D1154" s="75"/>
      <c r="E1154" s="75"/>
      <c r="F1154" s="69"/>
      <c r="G1154" s="69"/>
      <c r="H1154" s="69"/>
      <c r="I1154" s="69"/>
      <c r="J1154" s="69"/>
      <c r="K1154" s="69"/>
      <c r="L1154" s="69"/>
      <c r="M1154" s="69"/>
      <c r="N1154" s="69"/>
      <c r="O1154" s="146"/>
      <c r="P1154" s="69"/>
      <c r="Q1154" s="69"/>
      <c r="R1154" s="45"/>
    </row>
    <row r="1155" spans="1:18" x14ac:dyDescent="0.2">
      <c r="A1155" s="45"/>
      <c r="B1155" s="45"/>
      <c r="C1155" s="74"/>
      <c r="D1155" s="75"/>
      <c r="E1155" s="75"/>
      <c r="F1155" s="69"/>
      <c r="G1155" s="69"/>
      <c r="H1155" s="69"/>
      <c r="I1155" s="69"/>
      <c r="J1155" s="69"/>
      <c r="K1155" s="69"/>
      <c r="L1155" s="69"/>
      <c r="M1155" s="69"/>
      <c r="N1155" s="69"/>
      <c r="O1155" s="146"/>
      <c r="P1155" s="69"/>
      <c r="Q1155" s="69"/>
      <c r="R1155" s="45"/>
    </row>
    <row r="1156" spans="1:18" x14ac:dyDescent="0.2">
      <c r="A1156" s="45"/>
      <c r="B1156" s="45"/>
      <c r="C1156" s="74"/>
      <c r="D1156" s="75"/>
      <c r="E1156" s="75"/>
      <c r="F1156" s="69"/>
      <c r="G1156" s="69"/>
      <c r="H1156" s="69"/>
      <c r="I1156" s="69"/>
      <c r="J1156" s="69"/>
      <c r="K1156" s="69"/>
      <c r="L1156" s="69"/>
      <c r="M1156" s="69"/>
      <c r="N1156" s="69"/>
      <c r="O1156" s="146"/>
      <c r="P1156" s="69"/>
      <c r="Q1156" s="69"/>
      <c r="R1156" s="45"/>
    </row>
    <row r="1157" spans="1:18" x14ac:dyDescent="0.2">
      <c r="A1157" s="45"/>
      <c r="B1157" s="45"/>
      <c r="C1157" s="74"/>
      <c r="D1157" s="75"/>
      <c r="E1157" s="75"/>
      <c r="F1157" s="69"/>
      <c r="G1157" s="69"/>
      <c r="H1157" s="69"/>
      <c r="I1157" s="69"/>
      <c r="J1157" s="69"/>
      <c r="K1157" s="69"/>
      <c r="L1157" s="69"/>
      <c r="M1157" s="69"/>
      <c r="N1157" s="69"/>
      <c r="O1157" s="146"/>
      <c r="P1157" s="69"/>
      <c r="Q1157" s="69"/>
      <c r="R1157" s="45"/>
    </row>
    <row r="1158" spans="1:18" x14ac:dyDescent="0.2">
      <c r="A1158" s="45"/>
      <c r="B1158" s="45"/>
      <c r="C1158" s="74"/>
      <c r="D1158" s="75"/>
      <c r="E1158" s="75"/>
      <c r="F1158" s="69"/>
      <c r="G1158" s="69"/>
      <c r="H1158" s="69"/>
      <c r="I1158" s="69"/>
      <c r="J1158" s="69"/>
      <c r="K1158" s="69"/>
      <c r="L1158" s="69"/>
      <c r="M1158" s="69"/>
      <c r="N1158" s="69"/>
      <c r="O1158" s="146"/>
      <c r="P1158" s="69"/>
      <c r="Q1158" s="69"/>
      <c r="R1158" s="45"/>
    </row>
    <row r="1159" spans="1:18" x14ac:dyDescent="0.2">
      <c r="A1159" s="45"/>
      <c r="B1159" s="45"/>
      <c r="C1159" s="74"/>
      <c r="D1159" s="75"/>
      <c r="E1159" s="75"/>
      <c r="F1159" s="69"/>
      <c r="G1159" s="69"/>
      <c r="H1159" s="69"/>
      <c r="I1159" s="69"/>
      <c r="J1159" s="69"/>
      <c r="K1159" s="69"/>
      <c r="L1159" s="69"/>
      <c r="M1159" s="69"/>
      <c r="N1159" s="69"/>
      <c r="O1159" s="146"/>
      <c r="P1159" s="69"/>
      <c r="Q1159" s="69"/>
      <c r="R1159" s="45"/>
    </row>
    <row r="1160" spans="1:18" x14ac:dyDescent="0.2">
      <c r="A1160" s="45"/>
      <c r="B1160" s="45"/>
      <c r="C1160" s="74"/>
      <c r="D1160" s="75"/>
      <c r="E1160" s="75"/>
      <c r="F1160" s="69"/>
      <c r="G1160" s="69"/>
      <c r="H1160" s="69"/>
      <c r="I1160" s="69"/>
      <c r="J1160" s="69"/>
      <c r="K1160" s="69"/>
      <c r="L1160" s="69"/>
      <c r="M1160" s="69"/>
      <c r="N1160" s="69"/>
      <c r="O1160" s="146"/>
      <c r="P1160" s="69"/>
      <c r="Q1160" s="69"/>
      <c r="R1160" s="45"/>
    </row>
    <row r="1161" spans="1:18" x14ac:dyDescent="0.2">
      <c r="A1161" s="45"/>
      <c r="B1161" s="45"/>
      <c r="C1161" s="74"/>
      <c r="D1161" s="75"/>
      <c r="E1161" s="75"/>
      <c r="F1161" s="69"/>
      <c r="G1161" s="69"/>
      <c r="H1161" s="69"/>
      <c r="I1161" s="69"/>
      <c r="J1161" s="69"/>
      <c r="K1161" s="69"/>
      <c r="L1161" s="69"/>
      <c r="M1161" s="69"/>
      <c r="N1161" s="69"/>
      <c r="O1161" s="146"/>
      <c r="P1161" s="69"/>
      <c r="Q1161" s="69"/>
      <c r="R1161" s="45"/>
    </row>
    <row r="1162" spans="1:18" x14ac:dyDescent="0.2">
      <c r="A1162" s="45"/>
      <c r="B1162" s="45"/>
      <c r="C1162" s="74"/>
      <c r="D1162" s="75"/>
      <c r="E1162" s="75"/>
      <c r="F1162" s="69"/>
      <c r="G1162" s="69"/>
      <c r="H1162" s="69"/>
      <c r="I1162" s="69"/>
      <c r="J1162" s="69"/>
      <c r="K1162" s="69"/>
      <c r="L1162" s="69"/>
      <c r="M1162" s="69"/>
      <c r="N1162" s="69"/>
      <c r="O1162" s="146"/>
      <c r="P1162" s="69"/>
      <c r="Q1162" s="69"/>
      <c r="R1162" s="45"/>
    </row>
    <row r="1163" spans="1:18" x14ac:dyDescent="0.2">
      <c r="A1163" s="45"/>
      <c r="B1163" s="45"/>
      <c r="C1163" s="74"/>
      <c r="D1163" s="75"/>
      <c r="E1163" s="75"/>
      <c r="F1163" s="69"/>
      <c r="G1163" s="69"/>
      <c r="H1163" s="69"/>
      <c r="I1163" s="69"/>
      <c r="J1163" s="69"/>
      <c r="K1163" s="69"/>
      <c r="L1163" s="69"/>
      <c r="M1163" s="69"/>
      <c r="N1163" s="69"/>
      <c r="O1163" s="146"/>
      <c r="P1163" s="69"/>
      <c r="Q1163" s="69"/>
      <c r="R1163" s="45"/>
    </row>
    <row r="1164" spans="1:18" x14ac:dyDescent="0.2">
      <c r="A1164" s="45"/>
      <c r="B1164" s="45"/>
      <c r="C1164" s="74"/>
      <c r="D1164" s="75"/>
      <c r="E1164" s="75"/>
      <c r="F1164" s="69"/>
      <c r="G1164" s="69"/>
      <c r="H1164" s="69"/>
      <c r="I1164" s="69"/>
      <c r="J1164" s="69"/>
      <c r="K1164" s="69"/>
      <c r="L1164" s="69"/>
      <c r="M1164" s="69"/>
      <c r="N1164" s="69"/>
      <c r="O1164" s="146"/>
      <c r="P1164" s="69"/>
      <c r="Q1164" s="69"/>
      <c r="R1164" s="45"/>
    </row>
    <row r="1165" spans="1:18" x14ac:dyDescent="0.2">
      <c r="A1165" s="45"/>
      <c r="B1165" s="45"/>
      <c r="C1165" s="74"/>
      <c r="D1165" s="75"/>
      <c r="E1165" s="75"/>
      <c r="F1165" s="69"/>
      <c r="G1165" s="69"/>
      <c r="H1165" s="69"/>
      <c r="I1165" s="69"/>
      <c r="J1165" s="69"/>
      <c r="K1165" s="69"/>
      <c r="L1165" s="69"/>
      <c r="M1165" s="69"/>
      <c r="N1165" s="69"/>
      <c r="O1165" s="146"/>
      <c r="P1165" s="69"/>
      <c r="Q1165" s="69"/>
      <c r="R1165" s="45"/>
    </row>
    <row r="1166" spans="1:18" x14ac:dyDescent="0.2">
      <c r="A1166" s="45"/>
      <c r="B1166" s="45"/>
      <c r="C1166" s="74"/>
      <c r="D1166" s="75"/>
      <c r="E1166" s="75"/>
      <c r="F1166" s="69"/>
      <c r="G1166" s="69"/>
      <c r="H1166" s="69"/>
      <c r="I1166" s="69"/>
      <c r="J1166" s="69"/>
      <c r="K1166" s="69"/>
      <c r="L1166" s="69"/>
      <c r="M1166" s="69"/>
      <c r="N1166" s="69"/>
      <c r="O1166" s="146"/>
      <c r="P1166" s="69"/>
      <c r="Q1166" s="69"/>
      <c r="R1166" s="45"/>
    </row>
    <row r="1167" spans="1:18" x14ac:dyDescent="0.2">
      <c r="A1167" s="45"/>
      <c r="B1167" s="45"/>
      <c r="C1167" s="74"/>
      <c r="D1167" s="75"/>
      <c r="E1167" s="75"/>
      <c r="F1167" s="69"/>
      <c r="G1167" s="69"/>
      <c r="H1167" s="69"/>
      <c r="I1167" s="69"/>
      <c r="J1167" s="69"/>
      <c r="K1167" s="69"/>
      <c r="L1167" s="69"/>
      <c r="M1167" s="69"/>
      <c r="N1167" s="69"/>
      <c r="O1167" s="146"/>
      <c r="P1167" s="69"/>
      <c r="Q1167" s="69"/>
      <c r="R1167" s="45"/>
    </row>
    <row r="1168" spans="1:18" x14ac:dyDescent="0.2">
      <c r="A1168" s="45"/>
      <c r="B1168" s="45"/>
      <c r="C1168" s="74"/>
      <c r="D1168" s="75"/>
      <c r="E1168" s="75"/>
      <c r="F1168" s="69"/>
      <c r="G1168" s="69"/>
      <c r="H1168" s="69"/>
      <c r="I1168" s="69"/>
      <c r="J1168" s="69"/>
      <c r="K1168" s="69"/>
      <c r="L1168" s="69"/>
      <c r="M1168" s="69"/>
      <c r="N1168" s="69"/>
      <c r="O1168" s="146"/>
      <c r="P1168" s="69"/>
      <c r="Q1168" s="69"/>
      <c r="R1168" s="45"/>
    </row>
    <row r="1169" spans="1:18" x14ac:dyDescent="0.2">
      <c r="A1169" s="45"/>
      <c r="B1169" s="45"/>
      <c r="C1169" s="74"/>
      <c r="D1169" s="75"/>
      <c r="E1169" s="75"/>
      <c r="F1169" s="69"/>
      <c r="G1169" s="69"/>
      <c r="H1169" s="69"/>
      <c r="I1169" s="69"/>
      <c r="J1169" s="69"/>
      <c r="K1169" s="69"/>
      <c r="L1169" s="69"/>
      <c r="M1169" s="69"/>
      <c r="N1169" s="69"/>
      <c r="O1169" s="146"/>
      <c r="P1169" s="69"/>
      <c r="Q1169" s="69"/>
      <c r="R1169" s="45"/>
    </row>
    <row r="1170" spans="1:18" x14ac:dyDescent="0.2">
      <c r="A1170" s="45"/>
      <c r="B1170" s="45"/>
      <c r="C1170" s="74"/>
      <c r="D1170" s="75"/>
      <c r="E1170" s="75"/>
      <c r="F1170" s="69"/>
      <c r="G1170" s="69"/>
      <c r="H1170" s="69"/>
      <c r="I1170" s="69"/>
      <c r="J1170" s="69"/>
      <c r="K1170" s="69"/>
      <c r="L1170" s="69"/>
      <c r="M1170" s="69"/>
      <c r="N1170" s="69"/>
      <c r="O1170" s="146"/>
      <c r="P1170" s="69"/>
      <c r="Q1170" s="69"/>
      <c r="R1170" s="45"/>
    </row>
    <row r="1171" spans="1:18" x14ac:dyDescent="0.2">
      <c r="A1171" s="45"/>
      <c r="B1171" s="45"/>
      <c r="C1171" s="74"/>
      <c r="D1171" s="75"/>
      <c r="E1171" s="75"/>
      <c r="F1171" s="69"/>
      <c r="G1171" s="69"/>
      <c r="H1171" s="69"/>
      <c r="I1171" s="69"/>
      <c r="J1171" s="69"/>
      <c r="K1171" s="69"/>
      <c r="L1171" s="69"/>
      <c r="M1171" s="69"/>
      <c r="N1171" s="69"/>
      <c r="O1171" s="146"/>
      <c r="P1171" s="69"/>
      <c r="Q1171" s="69"/>
      <c r="R1171" s="45"/>
    </row>
    <row r="1172" spans="1:18" x14ac:dyDescent="0.2">
      <c r="A1172" s="45"/>
      <c r="B1172" s="45"/>
      <c r="C1172" s="74"/>
      <c r="D1172" s="75"/>
      <c r="E1172" s="75"/>
      <c r="F1172" s="69"/>
      <c r="G1172" s="69"/>
      <c r="H1172" s="69"/>
      <c r="I1172" s="69"/>
      <c r="J1172" s="69"/>
      <c r="K1172" s="69"/>
      <c r="L1172" s="69"/>
      <c r="M1172" s="69"/>
      <c r="N1172" s="69"/>
      <c r="O1172" s="146"/>
      <c r="P1172" s="69"/>
      <c r="Q1172" s="69"/>
      <c r="R1172" s="45"/>
    </row>
    <row r="1173" spans="1:18" x14ac:dyDescent="0.2">
      <c r="A1173" s="45"/>
      <c r="B1173" s="45"/>
      <c r="C1173" s="74"/>
      <c r="D1173" s="75"/>
      <c r="E1173" s="75"/>
      <c r="F1173" s="69"/>
      <c r="G1173" s="69"/>
      <c r="H1173" s="69"/>
      <c r="I1173" s="69"/>
      <c r="J1173" s="69"/>
      <c r="K1173" s="69"/>
      <c r="L1173" s="69"/>
      <c r="M1173" s="69"/>
      <c r="N1173" s="69"/>
      <c r="O1173" s="146"/>
      <c r="P1173" s="69"/>
      <c r="Q1173" s="69"/>
      <c r="R1173" s="45"/>
    </row>
    <row r="1174" spans="1:18" x14ac:dyDescent="0.2">
      <c r="A1174" s="45"/>
      <c r="B1174" s="45"/>
      <c r="C1174" s="74"/>
      <c r="D1174" s="75"/>
      <c r="E1174" s="75"/>
      <c r="F1174" s="69"/>
      <c r="G1174" s="69"/>
      <c r="H1174" s="69"/>
      <c r="I1174" s="69"/>
      <c r="J1174" s="69"/>
      <c r="K1174" s="69"/>
      <c r="L1174" s="69"/>
      <c r="M1174" s="69"/>
      <c r="N1174" s="69"/>
      <c r="O1174" s="146"/>
      <c r="P1174" s="69"/>
      <c r="Q1174" s="69"/>
      <c r="R1174" s="45"/>
    </row>
    <row r="1175" spans="1:18" x14ac:dyDescent="0.2">
      <c r="A1175" s="45"/>
      <c r="B1175" s="45"/>
      <c r="C1175" s="74"/>
      <c r="D1175" s="75"/>
      <c r="E1175" s="75"/>
      <c r="F1175" s="69"/>
      <c r="G1175" s="69"/>
      <c r="H1175" s="69"/>
      <c r="I1175" s="69"/>
      <c r="J1175" s="69"/>
      <c r="K1175" s="69"/>
      <c r="L1175" s="69"/>
      <c r="M1175" s="69"/>
      <c r="N1175" s="69"/>
      <c r="O1175" s="146"/>
      <c r="P1175" s="69"/>
      <c r="Q1175" s="69"/>
      <c r="R1175" s="45"/>
    </row>
    <row r="1176" spans="1:18" x14ac:dyDescent="0.2">
      <c r="A1176" s="45"/>
      <c r="B1176" s="45"/>
      <c r="C1176" s="74"/>
      <c r="D1176" s="75"/>
      <c r="E1176" s="75"/>
      <c r="F1176" s="69"/>
      <c r="G1176" s="69"/>
      <c r="H1176" s="69"/>
      <c r="I1176" s="69"/>
      <c r="J1176" s="69"/>
      <c r="K1176" s="69"/>
      <c r="L1176" s="69"/>
      <c r="M1176" s="69"/>
      <c r="N1176" s="69"/>
      <c r="O1176" s="146"/>
      <c r="P1176" s="69"/>
      <c r="Q1176" s="69"/>
      <c r="R1176" s="45"/>
    </row>
    <row r="1177" spans="1:18" x14ac:dyDescent="0.2">
      <c r="A1177" s="45"/>
      <c r="B1177" s="45"/>
      <c r="C1177" s="74"/>
      <c r="D1177" s="75"/>
      <c r="E1177" s="75"/>
      <c r="F1177" s="69"/>
      <c r="G1177" s="69"/>
      <c r="H1177" s="69"/>
      <c r="I1177" s="69"/>
      <c r="J1177" s="69"/>
      <c r="K1177" s="69"/>
      <c r="L1177" s="69"/>
      <c r="M1177" s="69"/>
      <c r="N1177" s="69"/>
      <c r="O1177" s="146"/>
      <c r="P1177" s="69"/>
      <c r="Q1177" s="69"/>
      <c r="R1177" s="45"/>
    </row>
    <row r="1178" spans="1:18" x14ac:dyDescent="0.2">
      <c r="A1178" s="45"/>
      <c r="B1178" s="45"/>
      <c r="C1178" s="74"/>
      <c r="D1178" s="75"/>
      <c r="E1178" s="75"/>
      <c r="F1178" s="69"/>
      <c r="G1178" s="69"/>
      <c r="H1178" s="69"/>
      <c r="I1178" s="69"/>
      <c r="J1178" s="69"/>
      <c r="K1178" s="69"/>
      <c r="L1178" s="69"/>
      <c r="M1178" s="69"/>
      <c r="N1178" s="69"/>
      <c r="O1178" s="146"/>
      <c r="P1178" s="69"/>
      <c r="Q1178" s="69"/>
      <c r="R1178" s="45"/>
    </row>
    <row r="1179" spans="1:18" x14ac:dyDescent="0.2">
      <c r="A1179" s="45"/>
      <c r="B1179" s="45"/>
      <c r="C1179" s="74"/>
      <c r="D1179" s="75"/>
      <c r="E1179" s="75"/>
      <c r="F1179" s="69"/>
      <c r="G1179" s="69"/>
      <c r="H1179" s="69"/>
      <c r="I1179" s="69"/>
      <c r="J1179" s="69"/>
      <c r="K1179" s="69"/>
      <c r="L1179" s="69"/>
      <c r="M1179" s="69"/>
      <c r="N1179" s="69"/>
      <c r="O1179" s="146"/>
      <c r="P1179" s="69"/>
      <c r="Q1179" s="69"/>
      <c r="R1179" s="45"/>
    </row>
    <row r="1180" spans="1:18" x14ac:dyDescent="0.2">
      <c r="A1180" s="45"/>
      <c r="B1180" s="45"/>
      <c r="C1180" s="74"/>
      <c r="D1180" s="75"/>
      <c r="E1180" s="75"/>
      <c r="F1180" s="69"/>
      <c r="G1180" s="69"/>
      <c r="H1180" s="69"/>
      <c r="I1180" s="69"/>
      <c r="J1180" s="69"/>
      <c r="K1180" s="69"/>
      <c r="L1180" s="69"/>
      <c r="M1180" s="69"/>
      <c r="N1180" s="69"/>
      <c r="O1180" s="146"/>
      <c r="P1180" s="69"/>
      <c r="Q1180" s="69"/>
      <c r="R1180" s="45"/>
    </row>
    <row r="1181" spans="1:18" x14ac:dyDescent="0.2">
      <c r="A1181" s="45"/>
      <c r="B1181" s="45"/>
      <c r="C1181" s="74"/>
      <c r="D1181" s="75"/>
      <c r="E1181" s="75"/>
      <c r="F1181" s="69"/>
      <c r="G1181" s="69"/>
      <c r="H1181" s="69"/>
      <c r="I1181" s="69"/>
      <c r="J1181" s="69"/>
      <c r="K1181" s="69"/>
      <c r="L1181" s="69"/>
      <c r="M1181" s="69"/>
      <c r="N1181" s="69"/>
      <c r="O1181" s="146"/>
      <c r="P1181" s="69"/>
      <c r="Q1181" s="69"/>
      <c r="R1181" s="45"/>
    </row>
    <row r="1182" spans="1:18" x14ac:dyDescent="0.2">
      <c r="A1182" s="45"/>
      <c r="B1182" s="45"/>
      <c r="C1182" s="74"/>
      <c r="D1182" s="75"/>
      <c r="E1182" s="75"/>
      <c r="F1182" s="69"/>
      <c r="G1182" s="69"/>
      <c r="H1182" s="69"/>
      <c r="I1182" s="69"/>
      <c r="J1182" s="69"/>
      <c r="K1182" s="69"/>
      <c r="L1182" s="69"/>
      <c r="M1182" s="69"/>
      <c r="N1182" s="69"/>
      <c r="O1182" s="146"/>
      <c r="P1182" s="69"/>
      <c r="Q1182" s="69"/>
      <c r="R1182" s="45"/>
    </row>
    <row r="1183" spans="1:18" x14ac:dyDescent="0.2">
      <c r="A1183" s="45"/>
      <c r="B1183" s="45"/>
      <c r="C1183" s="74"/>
      <c r="D1183" s="75"/>
      <c r="E1183" s="75"/>
      <c r="F1183" s="69"/>
      <c r="G1183" s="69"/>
      <c r="H1183" s="69"/>
      <c r="I1183" s="69"/>
      <c r="J1183" s="69"/>
      <c r="K1183" s="69"/>
      <c r="L1183" s="69"/>
      <c r="M1183" s="69"/>
      <c r="N1183" s="69"/>
      <c r="O1183" s="146"/>
      <c r="P1183" s="69"/>
      <c r="Q1183" s="69"/>
      <c r="R1183" s="45"/>
    </row>
    <row r="1184" spans="1:18" x14ac:dyDescent="0.2">
      <c r="A1184" s="45"/>
      <c r="B1184" s="45"/>
      <c r="C1184" s="74"/>
      <c r="D1184" s="75"/>
      <c r="E1184" s="75"/>
      <c r="F1184" s="69"/>
      <c r="G1184" s="69"/>
      <c r="H1184" s="69"/>
      <c r="I1184" s="69"/>
      <c r="J1184" s="69"/>
      <c r="K1184" s="69"/>
      <c r="L1184" s="69"/>
      <c r="M1184" s="69"/>
      <c r="N1184" s="69"/>
      <c r="O1184" s="146"/>
      <c r="P1184" s="69"/>
      <c r="Q1184" s="69"/>
      <c r="R1184" s="45"/>
    </row>
    <row r="1185" spans="1:18" x14ac:dyDescent="0.2">
      <c r="A1185" s="45"/>
      <c r="B1185" s="45"/>
      <c r="C1185" s="74"/>
      <c r="D1185" s="75"/>
      <c r="E1185" s="75"/>
      <c r="F1185" s="69"/>
      <c r="G1185" s="69"/>
      <c r="H1185" s="69"/>
      <c r="I1185" s="69"/>
      <c r="J1185" s="69"/>
      <c r="K1185" s="69"/>
      <c r="L1185" s="69"/>
      <c r="M1185" s="69"/>
      <c r="N1185" s="69"/>
      <c r="O1185" s="146"/>
      <c r="P1185" s="69"/>
      <c r="Q1185" s="69"/>
      <c r="R1185" s="45"/>
    </row>
    <row r="1186" spans="1:18" x14ac:dyDescent="0.2">
      <c r="A1186" s="45"/>
      <c r="B1186" s="45"/>
      <c r="C1186" s="74"/>
      <c r="D1186" s="75"/>
      <c r="E1186" s="75"/>
      <c r="F1186" s="69"/>
      <c r="G1186" s="69"/>
      <c r="H1186" s="69"/>
      <c r="I1186" s="69"/>
      <c r="J1186" s="69"/>
      <c r="K1186" s="69"/>
      <c r="L1186" s="69"/>
      <c r="M1186" s="69"/>
      <c r="N1186" s="69"/>
      <c r="O1186" s="146"/>
      <c r="P1186" s="69"/>
      <c r="Q1186" s="69"/>
      <c r="R1186" s="45"/>
    </row>
    <row r="1187" spans="1:18" x14ac:dyDescent="0.2">
      <c r="A1187" s="45"/>
      <c r="B1187" s="45"/>
      <c r="C1187" s="74"/>
      <c r="D1187" s="75"/>
      <c r="E1187" s="75"/>
      <c r="F1187" s="69"/>
      <c r="G1187" s="69"/>
      <c r="H1187" s="69"/>
      <c r="I1187" s="69"/>
      <c r="J1187" s="69"/>
      <c r="K1187" s="69"/>
      <c r="L1187" s="69"/>
      <c r="M1187" s="69"/>
      <c r="N1187" s="69"/>
      <c r="O1187" s="146"/>
      <c r="P1187" s="69"/>
      <c r="Q1187" s="69"/>
      <c r="R1187" s="45"/>
    </row>
    <row r="1188" spans="1:18" x14ac:dyDescent="0.2">
      <c r="A1188" s="45"/>
      <c r="B1188" s="45"/>
      <c r="C1188" s="74"/>
      <c r="D1188" s="75"/>
      <c r="E1188" s="75"/>
      <c r="F1188" s="69"/>
      <c r="G1188" s="69"/>
      <c r="H1188" s="69"/>
      <c r="I1188" s="69"/>
      <c r="J1188" s="69"/>
      <c r="K1188" s="69"/>
      <c r="L1188" s="69"/>
      <c r="M1188" s="69"/>
      <c r="N1188" s="69"/>
      <c r="O1188" s="146"/>
      <c r="P1188" s="69"/>
      <c r="Q1188" s="69"/>
      <c r="R1188" s="45"/>
    </row>
    <row r="1189" spans="1:18" x14ac:dyDescent="0.2">
      <c r="A1189" s="45"/>
      <c r="B1189" s="45"/>
      <c r="C1189" s="74"/>
      <c r="D1189" s="75"/>
      <c r="E1189" s="75"/>
      <c r="F1189" s="69"/>
      <c r="G1189" s="69"/>
      <c r="H1189" s="69"/>
      <c r="I1189" s="69"/>
      <c r="J1189" s="69"/>
      <c r="K1189" s="69"/>
      <c r="L1189" s="69"/>
      <c r="M1189" s="69"/>
      <c r="N1189" s="69"/>
      <c r="O1189" s="146"/>
      <c r="P1189" s="69"/>
      <c r="Q1189" s="69"/>
      <c r="R1189" s="45"/>
    </row>
    <row r="1190" spans="1:18" x14ac:dyDescent="0.2">
      <c r="A1190" s="45"/>
      <c r="B1190" s="45"/>
      <c r="C1190" s="74"/>
      <c r="D1190" s="75"/>
      <c r="E1190" s="75"/>
      <c r="F1190" s="69"/>
      <c r="G1190" s="69"/>
      <c r="H1190" s="69"/>
      <c r="I1190" s="69"/>
      <c r="J1190" s="69"/>
      <c r="K1190" s="69"/>
      <c r="L1190" s="69"/>
      <c r="M1190" s="69"/>
      <c r="N1190" s="69"/>
      <c r="O1190" s="146"/>
      <c r="P1190" s="69"/>
      <c r="Q1190" s="69"/>
      <c r="R1190" s="45"/>
    </row>
    <row r="1191" spans="1:18" x14ac:dyDescent="0.2">
      <c r="A1191" s="45"/>
      <c r="B1191" s="45"/>
      <c r="C1191" s="74"/>
      <c r="D1191" s="75"/>
      <c r="E1191" s="75"/>
      <c r="F1191" s="69"/>
      <c r="G1191" s="69"/>
      <c r="H1191" s="69"/>
      <c r="I1191" s="69"/>
      <c r="J1191" s="69"/>
      <c r="K1191" s="69"/>
      <c r="L1191" s="69"/>
      <c r="M1191" s="69"/>
      <c r="N1191" s="69"/>
      <c r="O1191" s="146"/>
      <c r="P1191" s="69"/>
      <c r="Q1191" s="69"/>
      <c r="R1191" s="45"/>
    </row>
    <row r="1192" spans="1:18" x14ac:dyDescent="0.2">
      <c r="A1192" s="45"/>
      <c r="B1192" s="45"/>
      <c r="C1192" s="74"/>
      <c r="D1192" s="75"/>
      <c r="E1192" s="75"/>
      <c r="F1192" s="69"/>
      <c r="G1192" s="69"/>
      <c r="H1192" s="69"/>
      <c r="I1192" s="69"/>
      <c r="J1192" s="69"/>
      <c r="K1192" s="69"/>
      <c r="L1192" s="69"/>
      <c r="M1192" s="69"/>
      <c r="N1192" s="69"/>
      <c r="O1192" s="146"/>
      <c r="P1192" s="69"/>
      <c r="Q1192" s="69"/>
      <c r="R1192" s="45"/>
    </row>
    <row r="1193" spans="1:18" x14ac:dyDescent="0.2">
      <c r="A1193" s="45"/>
      <c r="B1193" s="45"/>
      <c r="C1193" s="74"/>
      <c r="D1193" s="75"/>
      <c r="E1193" s="75"/>
      <c r="F1193" s="69"/>
      <c r="G1193" s="69"/>
      <c r="H1193" s="69"/>
      <c r="I1193" s="69"/>
      <c r="J1193" s="69"/>
      <c r="K1193" s="69"/>
      <c r="L1193" s="69"/>
      <c r="M1193" s="69"/>
      <c r="N1193" s="69"/>
      <c r="O1193" s="146"/>
      <c r="P1193" s="69"/>
      <c r="Q1193" s="69"/>
      <c r="R1193" s="45"/>
    </row>
    <row r="1194" spans="1:18" x14ac:dyDescent="0.2">
      <c r="A1194" s="45"/>
      <c r="B1194" s="45"/>
      <c r="C1194" s="74"/>
      <c r="D1194" s="75"/>
      <c r="E1194" s="75"/>
      <c r="F1194" s="69"/>
      <c r="G1194" s="69"/>
      <c r="H1194" s="69"/>
      <c r="I1194" s="69"/>
      <c r="J1194" s="69"/>
      <c r="K1194" s="69"/>
      <c r="L1194" s="69"/>
      <c r="M1194" s="69"/>
      <c r="N1194" s="69"/>
      <c r="O1194" s="146"/>
      <c r="P1194" s="69"/>
      <c r="Q1194" s="69"/>
      <c r="R1194" s="45"/>
    </row>
    <row r="1195" spans="1:18" x14ac:dyDescent="0.2">
      <c r="A1195" s="45"/>
      <c r="B1195" s="45"/>
      <c r="C1195" s="74"/>
      <c r="D1195" s="75"/>
      <c r="E1195" s="75"/>
      <c r="F1195" s="69"/>
      <c r="G1195" s="69"/>
      <c r="H1195" s="69"/>
      <c r="I1195" s="69"/>
      <c r="J1195" s="69"/>
      <c r="K1195" s="69"/>
      <c r="L1195" s="69"/>
      <c r="M1195" s="69"/>
      <c r="N1195" s="69"/>
      <c r="O1195" s="146"/>
      <c r="P1195" s="69"/>
      <c r="Q1195" s="69"/>
      <c r="R1195" s="45"/>
    </row>
    <row r="1196" spans="1:18" x14ac:dyDescent="0.2">
      <c r="A1196" s="45"/>
      <c r="B1196" s="45"/>
      <c r="C1196" s="74"/>
      <c r="D1196" s="75"/>
      <c r="E1196" s="75"/>
      <c r="F1196" s="69"/>
      <c r="G1196" s="69"/>
      <c r="H1196" s="69"/>
      <c r="I1196" s="69"/>
      <c r="J1196" s="69"/>
      <c r="K1196" s="69"/>
      <c r="L1196" s="69"/>
      <c r="M1196" s="69"/>
      <c r="N1196" s="69"/>
      <c r="O1196" s="146"/>
      <c r="P1196" s="69"/>
      <c r="Q1196" s="69"/>
      <c r="R1196" s="45"/>
    </row>
    <row r="1197" spans="1:18" x14ac:dyDescent="0.2">
      <c r="A1197" s="45"/>
      <c r="B1197" s="45"/>
      <c r="C1197" s="74"/>
      <c r="D1197" s="75"/>
      <c r="E1197" s="75"/>
      <c r="F1197" s="69"/>
      <c r="G1197" s="69"/>
      <c r="H1197" s="69"/>
      <c r="I1197" s="69"/>
      <c r="J1197" s="69"/>
      <c r="K1197" s="69"/>
      <c r="L1197" s="69"/>
      <c r="M1197" s="69"/>
      <c r="N1197" s="69"/>
      <c r="O1197" s="146"/>
      <c r="P1197" s="69"/>
      <c r="Q1197" s="69"/>
      <c r="R1197" s="45"/>
    </row>
    <row r="1198" spans="1:18" x14ac:dyDescent="0.2">
      <c r="A1198" s="45"/>
      <c r="B1198" s="45"/>
      <c r="C1198" s="74"/>
      <c r="D1198" s="75"/>
      <c r="E1198" s="75"/>
      <c r="F1198" s="69"/>
      <c r="G1198" s="69"/>
      <c r="H1198" s="69"/>
      <c r="I1198" s="69"/>
      <c r="J1198" s="69"/>
      <c r="K1198" s="69"/>
      <c r="L1198" s="69"/>
      <c r="M1198" s="69"/>
      <c r="N1198" s="69"/>
      <c r="O1198" s="146"/>
      <c r="P1198" s="69"/>
      <c r="Q1198" s="69"/>
      <c r="R1198" s="45"/>
    </row>
    <row r="1199" spans="1:18" x14ac:dyDescent="0.2">
      <c r="A1199" s="45"/>
      <c r="B1199" s="45"/>
      <c r="C1199" s="74"/>
      <c r="D1199" s="75"/>
      <c r="E1199" s="75"/>
      <c r="F1199" s="69"/>
      <c r="G1199" s="69"/>
      <c r="H1199" s="69"/>
      <c r="I1199" s="69"/>
      <c r="J1199" s="69"/>
      <c r="K1199" s="69"/>
      <c r="L1199" s="69"/>
      <c r="M1199" s="69"/>
      <c r="N1199" s="69"/>
      <c r="O1199" s="146"/>
      <c r="P1199" s="69"/>
      <c r="Q1199" s="69"/>
      <c r="R1199" s="45"/>
    </row>
    <row r="1200" spans="1:18" x14ac:dyDescent="0.2">
      <c r="A1200" s="45"/>
      <c r="B1200" s="45"/>
      <c r="C1200" s="74"/>
      <c r="D1200" s="75"/>
      <c r="E1200" s="75"/>
      <c r="F1200" s="69"/>
      <c r="G1200" s="69"/>
      <c r="H1200" s="69"/>
      <c r="I1200" s="69"/>
      <c r="J1200" s="69"/>
      <c r="K1200" s="69"/>
      <c r="L1200" s="69"/>
      <c r="M1200" s="69"/>
      <c r="N1200" s="69"/>
      <c r="O1200" s="146"/>
      <c r="P1200" s="69"/>
      <c r="Q1200" s="69"/>
      <c r="R1200" s="45"/>
    </row>
    <row r="1201" spans="1:18" x14ac:dyDescent="0.2">
      <c r="A1201" s="45"/>
      <c r="B1201" s="45"/>
      <c r="C1201" s="74"/>
      <c r="D1201" s="75"/>
      <c r="E1201" s="75"/>
      <c r="F1201" s="69"/>
      <c r="G1201" s="69"/>
      <c r="H1201" s="69"/>
      <c r="I1201" s="69"/>
      <c r="J1201" s="69"/>
      <c r="K1201" s="69"/>
      <c r="L1201" s="69"/>
      <c r="M1201" s="69"/>
      <c r="N1201" s="69"/>
      <c r="O1201" s="146"/>
      <c r="P1201" s="69"/>
      <c r="Q1201" s="69"/>
      <c r="R1201" s="45"/>
    </row>
    <row r="1202" spans="1:18" x14ac:dyDescent="0.2">
      <c r="A1202" s="45"/>
      <c r="B1202" s="45"/>
      <c r="C1202" s="74"/>
      <c r="D1202" s="75"/>
      <c r="E1202" s="75"/>
      <c r="F1202" s="69"/>
      <c r="G1202" s="69"/>
      <c r="H1202" s="69"/>
      <c r="I1202" s="69"/>
      <c r="J1202" s="69"/>
      <c r="K1202" s="69"/>
      <c r="L1202" s="69"/>
      <c r="M1202" s="69"/>
      <c r="N1202" s="69"/>
      <c r="O1202" s="146"/>
      <c r="P1202" s="69"/>
      <c r="Q1202" s="69"/>
      <c r="R1202" s="45"/>
    </row>
    <row r="1203" spans="1:18" x14ac:dyDescent="0.2">
      <c r="A1203" s="45"/>
      <c r="B1203" s="45"/>
      <c r="C1203" s="74"/>
      <c r="D1203" s="75"/>
      <c r="E1203" s="75"/>
      <c r="F1203" s="69"/>
      <c r="G1203" s="69"/>
      <c r="H1203" s="69"/>
      <c r="I1203" s="69"/>
      <c r="J1203" s="69"/>
      <c r="K1203" s="69"/>
      <c r="L1203" s="69"/>
      <c r="M1203" s="69"/>
      <c r="N1203" s="69"/>
      <c r="O1203" s="146"/>
      <c r="P1203" s="69"/>
      <c r="Q1203" s="69"/>
      <c r="R1203" s="45"/>
    </row>
    <row r="1204" spans="1:18" x14ac:dyDescent="0.2">
      <c r="A1204" s="45"/>
      <c r="B1204" s="45"/>
      <c r="C1204" s="74"/>
      <c r="D1204" s="75"/>
      <c r="E1204" s="75"/>
      <c r="F1204" s="69"/>
      <c r="G1204" s="69"/>
      <c r="H1204" s="69"/>
      <c r="I1204" s="69"/>
      <c r="J1204" s="69"/>
      <c r="K1204" s="69"/>
      <c r="L1204" s="69"/>
      <c r="M1204" s="69"/>
      <c r="N1204" s="69"/>
      <c r="O1204" s="146"/>
      <c r="P1204" s="69"/>
      <c r="Q1204" s="69"/>
      <c r="R1204" s="45"/>
    </row>
    <row r="1205" spans="1:18" x14ac:dyDescent="0.2">
      <c r="A1205" s="45"/>
      <c r="B1205" s="45"/>
      <c r="C1205" s="74"/>
      <c r="D1205" s="75"/>
      <c r="E1205" s="75"/>
      <c r="F1205" s="69"/>
      <c r="G1205" s="69"/>
      <c r="H1205" s="69"/>
      <c r="I1205" s="69"/>
      <c r="J1205" s="69"/>
      <c r="K1205" s="69"/>
      <c r="L1205" s="69"/>
      <c r="M1205" s="69"/>
      <c r="N1205" s="69"/>
      <c r="O1205" s="146"/>
      <c r="P1205" s="69"/>
      <c r="Q1205" s="69"/>
      <c r="R1205" s="45"/>
    </row>
    <row r="1206" spans="1:18" x14ac:dyDescent="0.2">
      <c r="C1206" s="158"/>
    </row>
    <row r="1207" spans="1:18" x14ac:dyDescent="0.2">
      <c r="C1207" s="158"/>
    </row>
    <row r="1208" spans="1:18" x14ac:dyDescent="0.2">
      <c r="C1208" s="158"/>
    </row>
    <row r="1209" spans="1:18" x14ac:dyDescent="0.2">
      <c r="C1209" s="158"/>
    </row>
    <row r="1210" spans="1:18" x14ac:dyDescent="0.2">
      <c r="C1210" s="158"/>
    </row>
    <row r="1211" spans="1:18" x14ac:dyDescent="0.2">
      <c r="C1211" s="158"/>
    </row>
    <row r="1212" spans="1:18" x14ac:dyDescent="0.2">
      <c r="C1212" s="158"/>
    </row>
    <row r="1213" spans="1:18" x14ac:dyDescent="0.2">
      <c r="C1213" s="158"/>
    </row>
    <row r="1214" spans="1:18" x14ac:dyDescent="0.2">
      <c r="C1214" s="158"/>
    </row>
    <row r="1215" spans="1:18" x14ac:dyDescent="0.2">
      <c r="C1215" s="158"/>
    </row>
    <row r="1216" spans="1:18" x14ac:dyDescent="0.2">
      <c r="C1216" s="158"/>
    </row>
    <row r="1217" spans="3:3" x14ac:dyDescent="0.2">
      <c r="C1217" s="158"/>
    </row>
    <row r="1218" spans="3:3" x14ac:dyDescent="0.2">
      <c r="C1218" s="158"/>
    </row>
    <row r="1219" spans="3:3" x14ac:dyDescent="0.2">
      <c r="C1219" s="158"/>
    </row>
    <row r="1220" spans="3:3" x14ac:dyDescent="0.2">
      <c r="C1220" s="158"/>
    </row>
    <row r="1221" spans="3:3" x14ac:dyDescent="0.2">
      <c r="C1221" s="158"/>
    </row>
    <row r="1222" spans="3:3" x14ac:dyDescent="0.2">
      <c r="C1222" s="158"/>
    </row>
    <row r="1223" spans="3:3" x14ac:dyDescent="0.2">
      <c r="C1223" s="158"/>
    </row>
    <row r="1224" spans="3:3" x14ac:dyDescent="0.2">
      <c r="C1224" s="158"/>
    </row>
    <row r="1225" spans="3:3" x14ac:dyDescent="0.2">
      <c r="C1225" s="158"/>
    </row>
    <row r="1226" spans="3:3" x14ac:dyDescent="0.2">
      <c r="C1226" s="158"/>
    </row>
    <row r="1227" spans="3:3" x14ac:dyDescent="0.2">
      <c r="C1227" s="158"/>
    </row>
    <row r="1228" spans="3:3" x14ac:dyDescent="0.2">
      <c r="C1228" s="158"/>
    </row>
    <row r="1229" spans="3:3" x14ac:dyDescent="0.2">
      <c r="C1229" s="158"/>
    </row>
    <row r="1230" spans="3:3" x14ac:dyDescent="0.2">
      <c r="C1230" s="158"/>
    </row>
    <row r="1231" spans="3:3" x14ac:dyDescent="0.2">
      <c r="C1231" s="158"/>
    </row>
    <row r="1232" spans="3:3" x14ac:dyDescent="0.2">
      <c r="C1232" s="158"/>
    </row>
    <row r="1233" spans="3:3" x14ac:dyDescent="0.2">
      <c r="C1233" s="158"/>
    </row>
    <row r="1234" spans="3:3" x14ac:dyDescent="0.2">
      <c r="C1234" s="158"/>
    </row>
    <row r="1235" spans="3:3" x14ac:dyDescent="0.2">
      <c r="C1235" s="158"/>
    </row>
    <row r="1236" spans="3:3" x14ac:dyDescent="0.2">
      <c r="C1236" s="158"/>
    </row>
    <row r="1237" spans="3:3" x14ac:dyDescent="0.2">
      <c r="C1237" s="158"/>
    </row>
    <row r="1238" spans="3:3" x14ac:dyDescent="0.2">
      <c r="C1238" s="158"/>
    </row>
    <row r="1239" spans="3:3" x14ac:dyDescent="0.2">
      <c r="C1239" s="158"/>
    </row>
    <row r="1240" spans="3:3" x14ac:dyDescent="0.2">
      <c r="C1240" s="158"/>
    </row>
    <row r="1241" spans="3:3" x14ac:dyDescent="0.2">
      <c r="C1241" s="158"/>
    </row>
    <row r="1242" spans="3:3" x14ac:dyDescent="0.2">
      <c r="C1242" s="158"/>
    </row>
    <row r="1243" spans="3:3" x14ac:dyDescent="0.2">
      <c r="C1243" s="158"/>
    </row>
    <row r="1244" spans="3:3" x14ac:dyDescent="0.2">
      <c r="C1244" s="158"/>
    </row>
    <row r="1245" spans="3:3" x14ac:dyDescent="0.2">
      <c r="C1245" s="158"/>
    </row>
    <row r="1246" spans="3:3" x14ac:dyDescent="0.2">
      <c r="C1246" s="158"/>
    </row>
    <row r="1247" spans="3:3" x14ac:dyDescent="0.2">
      <c r="C1247" s="158"/>
    </row>
    <row r="1248" spans="3:3" x14ac:dyDescent="0.2">
      <c r="C1248" s="158"/>
    </row>
    <row r="1249" spans="3:3" x14ac:dyDescent="0.2">
      <c r="C1249" s="158"/>
    </row>
    <row r="1250" spans="3:3" x14ac:dyDescent="0.2">
      <c r="C1250" s="158"/>
    </row>
    <row r="1251" spans="3:3" x14ac:dyDescent="0.2">
      <c r="C1251" s="158"/>
    </row>
    <row r="1252" spans="3:3" x14ac:dyDescent="0.2">
      <c r="C1252" s="158"/>
    </row>
    <row r="1253" spans="3:3" x14ac:dyDescent="0.2">
      <c r="C1253" s="158"/>
    </row>
    <row r="1254" spans="3:3" x14ac:dyDescent="0.2">
      <c r="C1254" s="158"/>
    </row>
    <row r="1255" spans="3:3" x14ac:dyDescent="0.2">
      <c r="C1255" s="158"/>
    </row>
    <row r="1256" spans="3:3" x14ac:dyDescent="0.2">
      <c r="C1256" s="158"/>
    </row>
    <row r="1257" spans="3:3" x14ac:dyDescent="0.2">
      <c r="C1257" s="158"/>
    </row>
    <row r="1258" spans="3:3" x14ac:dyDescent="0.2">
      <c r="C1258" s="158"/>
    </row>
    <row r="1259" spans="3:3" x14ac:dyDescent="0.2">
      <c r="C1259" s="158"/>
    </row>
    <row r="1260" spans="3:3" x14ac:dyDescent="0.2">
      <c r="C1260" s="158"/>
    </row>
    <row r="1261" spans="3:3" x14ac:dyDescent="0.2">
      <c r="C1261" s="158"/>
    </row>
    <row r="1262" spans="3:3" x14ac:dyDescent="0.2">
      <c r="C1262" s="158"/>
    </row>
    <row r="1263" spans="3:3" x14ac:dyDescent="0.2">
      <c r="C1263" s="158"/>
    </row>
    <row r="1264" spans="3:3" x14ac:dyDescent="0.2">
      <c r="C1264" s="158"/>
    </row>
    <row r="1265" spans="3:3" x14ac:dyDescent="0.2">
      <c r="C1265" s="158"/>
    </row>
    <row r="1266" spans="3:3" x14ac:dyDescent="0.2">
      <c r="C1266" s="158"/>
    </row>
    <row r="1267" spans="3:3" x14ac:dyDescent="0.2">
      <c r="C1267" s="158"/>
    </row>
    <row r="1268" spans="3:3" x14ac:dyDescent="0.2">
      <c r="C1268" s="158"/>
    </row>
    <row r="1269" spans="3:3" x14ac:dyDescent="0.2">
      <c r="C1269" s="158"/>
    </row>
    <row r="1270" spans="3:3" x14ac:dyDescent="0.2">
      <c r="C1270" s="158"/>
    </row>
    <row r="1271" spans="3:3" x14ac:dyDescent="0.2">
      <c r="C1271" s="158"/>
    </row>
    <row r="1272" spans="3:3" x14ac:dyDescent="0.2">
      <c r="C1272" s="158"/>
    </row>
    <row r="1273" spans="3:3" x14ac:dyDescent="0.2">
      <c r="C1273" s="158"/>
    </row>
    <row r="1274" spans="3:3" x14ac:dyDescent="0.2">
      <c r="C1274" s="158"/>
    </row>
    <row r="1275" spans="3:3" x14ac:dyDescent="0.2">
      <c r="C1275" s="158"/>
    </row>
    <row r="1276" spans="3:3" x14ac:dyDescent="0.2">
      <c r="C1276" s="158"/>
    </row>
    <row r="1277" spans="3:3" x14ac:dyDescent="0.2">
      <c r="C1277" s="158"/>
    </row>
    <row r="1278" spans="3:3" x14ac:dyDescent="0.2">
      <c r="C1278" s="158"/>
    </row>
    <row r="1279" spans="3:3" x14ac:dyDescent="0.2">
      <c r="C1279" s="158"/>
    </row>
    <row r="1280" spans="3:3" x14ac:dyDescent="0.2">
      <c r="C1280" s="158"/>
    </row>
    <row r="1281" spans="3:3" x14ac:dyDescent="0.2">
      <c r="C1281" s="158"/>
    </row>
    <row r="1282" spans="3:3" x14ac:dyDescent="0.2">
      <c r="C1282" s="158"/>
    </row>
    <row r="1283" spans="3:3" x14ac:dyDescent="0.2">
      <c r="C1283" s="158"/>
    </row>
    <row r="1284" spans="3:3" x14ac:dyDescent="0.2">
      <c r="C1284" s="158"/>
    </row>
    <row r="1285" spans="3:3" x14ac:dyDescent="0.2">
      <c r="C1285" s="158"/>
    </row>
    <row r="1286" spans="3:3" x14ac:dyDescent="0.2">
      <c r="C1286" s="158"/>
    </row>
    <row r="1287" spans="3:3" x14ac:dyDescent="0.2">
      <c r="C1287" s="158"/>
    </row>
    <row r="1288" spans="3:3" x14ac:dyDescent="0.2">
      <c r="C1288" s="158"/>
    </row>
    <row r="1289" spans="3:3" x14ac:dyDescent="0.2">
      <c r="C1289" s="158"/>
    </row>
    <row r="1290" spans="3:3" x14ac:dyDescent="0.2">
      <c r="C1290" s="158"/>
    </row>
    <row r="1291" spans="3:3" x14ac:dyDescent="0.2">
      <c r="C1291" s="158"/>
    </row>
    <row r="1292" spans="3:3" x14ac:dyDescent="0.2">
      <c r="C1292" s="158"/>
    </row>
    <row r="1293" spans="3:3" x14ac:dyDescent="0.2">
      <c r="C1293" s="158"/>
    </row>
    <row r="1294" spans="3:3" x14ac:dyDescent="0.2">
      <c r="C1294" s="158"/>
    </row>
    <row r="1295" spans="3:3" x14ac:dyDescent="0.2">
      <c r="C1295" s="158"/>
    </row>
    <row r="1296" spans="3:3" x14ac:dyDescent="0.2">
      <c r="C1296" s="158"/>
    </row>
    <row r="1297" spans="3:3" x14ac:dyDescent="0.2">
      <c r="C1297" s="158"/>
    </row>
    <row r="1298" spans="3:3" x14ac:dyDescent="0.2">
      <c r="C1298" s="158"/>
    </row>
    <row r="1299" spans="3:3" x14ac:dyDescent="0.2">
      <c r="C1299" s="158"/>
    </row>
    <row r="1300" spans="3:3" x14ac:dyDescent="0.2">
      <c r="C1300" s="158"/>
    </row>
    <row r="1301" spans="3:3" x14ac:dyDescent="0.2">
      <c r="C1301" s="158"/>
    </row>
    <row r="1302" spans="3:3" x14ac:dyDescent="0.2">
      <c r="C1302" s="158"/>
    </row>
    <row r="1303" spans="3:3" x14ac:dyDescent="0.2">
      <c r="C1303" s="158"/>
    </row>
    <row r="1304" spans="3:3" x14ac:dyDescent="0.2">
      <c r="C1304" s="158"/>
    </row>
    <row r="1305" spans="3:3" x14ac:dyDescent="0.2">
      <c r="C1305" s="158"/>
    </row>
    <row r="1306" spans="3:3" x14ac:dyDescent="0.2">
      <c r="C1306" s="158"/>
    </row>
    <row r="1307" spans="3:3" x14ac:dyDescent="0.2">
      <c r="C1307" s="158"/>
    </row>
    <row r="1308" spans="3:3" x14ac:dyDescent="0.2">
      <c r="C1308" s="158"/>
    </row>
    <row r="1309" spans="3:3" x14ac:dyDescent="0.2">
      <c r="C1309" s="158"/>
    </row>
    <row r="1310" spans="3:3" x14ac:dyDescent="0.2">
      <c r="C1310" s="158"/>
    </row>
    <row r="1311" spans="3:3" x14ac:dyDescent="0.2">
      <c r="C1311" s="158"/>
    </row>
    <row r="1312" spans="3:3" x14ac:dyDescent="0.2">
      <c r="C1312" s="158"/>
    </row>
    <row r="1313" spans="3:3" x14ac:dyDescent="0.2">
      <c r="C1313" s="158"/>
    </row>
    <row r="1314" spans="3:3" x14ac:dyDescent="0.2">
      <c r="C1314" s="158"/>
    </row>
    <row r="1315" spans="3:3" x14ac:dyDescent="0.2">
      <c r="C1315" s="158"/>
    </row>
    <row r="1316" spans="3:3" x14ac:dyDescent="0.2">
      <c r="C1316" s="158"/>
    </row>
    <row r="1317" spans="3:3" x14ac:dyDescent="0.2">
      <c r="C1317" s="158"/>
    </row>
    <row r="1318" spans="3:3" x14ac:dyDescent="0.2">
      <c r="C1318" s="158"/>
    </row>
    <row r="1319" spans="3:3" x14ac:dyDescent="0.2">
      <c r="C1319" s="158"/>
    </row>
    <row r="1320" spans="3:3" x14ac:dyDescent="0.2">
      <c r="C1320" s="158"/>
    </row>
    <row r="1321" spans="3:3" x14ac:dyDescent="0.2">
      <c r="C1321" s="158"/>
    </row>
    <row r="1322" spans="3:3" x14ac:dyDescent="0.2">
      <c r="C1322" s="158"/>
    </row>
    <row r="1323" spans="3:3" x14ac:dyDescent="0.2">
      <c r="C1323" s="158"/>
    </row>
    <row r="1324" spans="3:3" x14ac:dyDescent="0.2">
      <c r="C1324" s="158"/>
    </row>
    <row r="1325" spans="3:3" x14ac:dyDescent="0.2">
      <c r="C1325" s="158"/>
    </row>
    <row r="1326" spans="3:3" x14ac:dyDescent="0.2">
      <c r="C1326" s="158"/>
    </row>
    <row r="1327" spans="3:3" x14ac:dyDescent="0.2">
      <c r="C1327" s="158"/>
    </row>
    <row r="1328" spans="3:3" x14ac:dyDescent="0.2">
      <c r="C1328" s="158"/>
    </row>
    <row r="1329" spans="3:3" x14ac:dyDescent="0.2">
      <c r="C1329" s="158"/>
    </row>
    <row r="1330" spans="3:3" x14ac:dyDescent="0.2">
      <c r="C1330" s="158"/>
    </row>
    <row r="1331" spans="3:3" x14ac:dyDescent="0.2">
      <c r="C1331" s="158"/>
    </row>
    <row r="1332" spans="3:3" x14ac:dyDescent="0.2">
      <c r="C1332" s="158"/>
    </row>
    <row r="1333" spans="3:3" x14ac:dyDescent="0.2">
      <c r="C1333" s="158"/>
    </row>
    <row r="1334" spans="3:3" x14ac:dyDescent="0.2">
      <c r="C1334" s="158"/>
    </row>
    <row r="1335" spans="3:3" x14ac:dyDescent="0.2">
      <c r="C1335" s="158"/>
    </row>
    <row r="1336" spans="3:3" x14ac:dyDescent="0.2">
      <c r="C1336" s="158"/>
    </row>
    <row r="1337" spans="3:3" x14ac:dyDescent="0.2">
      <c r="C1337" s="158"/>
    </row>
    <row r="1338" spans="3:3" x14ac:dyDescent="0.2">
      <c r="C1338" s="158"/>
    </row>
    <row r="1339" spans="3:3" x14ac:dyDescent="0.2">
      <c r="C1339" s="158"/>
    </row>
    <row r="1340" spans="3:3" x14ac:dyDescent="0.2">
      <c r="C1340" s="158"/>
    </row>
    <row r="1341" spans="3:3" x14ac:dyDescent="0.2">
      <c r="C1341" s="158"/>
    </row>
    <row r="1342" spans="3:3" x14ac:dyDescent="0.2">
      <c r="C1342" s="158"/>
    </row>
    <row r="1343" spans="3:3" x14ac:dyDescent="0.2">
      <c r="C1343" s="158"/>
    </row>
    <row r="1344" spans="3:3" x14ac:dyDescent="0.2">
      <c r="C1344" s="158"/>
    </row>
    <row r="1345" spans="3:3" x14ac:dyDescent="0.2">
      <c r="C1345" s="158"/>
    </row>
    <row r="1346" spans="3:3" x14ac:dyDescent="0.2">
      <c r="C1346" s="158"/>
    </row>
    <row r="1347" spans="3:3" x14ac:dyDescent="0.2">
      <c r="C1347" s="158"/>
    </row>
    <row r="1348" spans="3:3" x14ac:dyDescent="0.2">
      <c r="C1348" s="158"/>
    </row>
    <row r="1349" spans="3:3" x14ac:dyDescent="0.2">
      <c r="C1349" s="158"/>
    </row>
    <row r="1350" spans="3:3" x14ac:dyDescent="0.2">
      <c r="C1350" s="158"/>
    </row>
    <row r="1351" spans="3:3" x14ac:dyDescent="0.2">
      <c r="C1351" s="158"/>
    </row>
    <row r="1352" spans="3:3" x14ac:dyDescent="0.2">
      <c r="C1352" s="158"/>
    </row>
    <row r="1353" spans="3:3" x14ac:dyDescent="0.2">
      <c r="C1353" s="158"/>
    </row>
    <row r="1354" spans="3:3" x14ac:dyDescent="0.2">
      <c r="C1354" s="158"/>
    </row>
    <row r="1355" spans="3:3" x14ac:dyDescent="0.2">
      <c r="C1355" s="158"/>
    </row>
    <row r="1356" spans="3:3" x14ac:dyDescent="0.2">
      <c r="C1356" s="158"/>
    </row>
    <row r="1357" spans="3:3" x14ac:dyDescent="0.2">
      <c r="C1357" s="158"/>
    </row>
    <row r="1358" spans="3:3" x14ac:dyDescent="0.2">
      <c r="C1358" s="158"/>
    </row>
    <row r="1359" spans="3:3" x14ac:dyDescent="0.2">
      <c r="C1359" s="158"/>
    </row>
    <row r="1360" spans="3:3" x14ac:dyDescent="0.2">
      <c r="C1360" s="158"/>
    </row>
    <row r="1361" spans="3:3" x14ac:dyDescent="0.2">
      <c r="C1361" s="158"/>
    </row>
    <row r="1362" spans="3:3" x14ac:dyDescent="0.2">
      <c r="C1362" s="158"/>
    </row>
    <row r="1363" spans="3:3" x14ac:dyDescent="0.2">
      <c r="C1363" s="158"/>
    </row>
    <row r="1364" spans="3:3" x14ac:dyDescent="0.2">
      <c r="C1364" s="158"/>
    </row>
    <row r="1365" spans="3:3" x14ac:dyDescent="0.2">
      <c r="C1365" s="158"/>
    </row>
    <row r="1366" spans="3:3" x14ac:dyDescent="0.2">
      <c r="C1366" s="158"/>
    </row>
    <row r="1367" spans="3:3" x14ac:dyDescent="0.2">
      <c r="C1367" s="158"/>
    </row>
    <row r="1368" spans="3:3" x14ac:dyDescent="0.2">
      <c r="C1368" s="158"/>
    </row>
    <row r="1369" spans="3:3" x14ac:dyDescent="0.2">
      <c r="C1369" s="158"/>
    </row>
    <row r="1370" spans="3:3" x14ac:dyDescent="0.2">
      <c r="C1370" s="158"/>
    </row>
    <row r="1371" spans="3:3" x14ac:dyDescent="0.2">
      <c r="C1371" s="158"/>
    </row>
    <row r="1372" spans="3:3" x14ac:dyDescent="0.2">
      <c r="C1372" s="158"/>
    </row>
    <row r="1373" spans="3:3" x14ac:dyDescent="0.2">
      <c r="C1373" s="158"/>
    </row>
    <row r="1374" spans="3:3" x14ac:dyDescent="0.2">
      <c r="C1374" s="158"/>
    </row>
    <row r="1375" spans="3:3" x14ac:dyDescent="0.2">
      <c r="C1375" s="158"/>
    </row>
    <row r="1376" spans="3:3" x14ac:dyDescent="0.2">
      <c r="C1376" s="158"/>
    </row>
    <row r="1377" spans="3:3" x14ac:dyDescent="0.2">
      <c r="C1377" s="158"/>
    </row>
    <row r="1378" spans="3:3" x14ac:dyDescent="0.2">
      <c r="C1378" s="158"/>
    </row>
    <row r="1379" spans="3:3" x14ac:dyDescent="0.2">
      <c r="C1379" s="158"/>
    </row>
    <row r="1380" spans="3:3" x14ac:dyDescent="0.2">
      <c r="C1380" s="158"/>
    </row>
    <row r="1381" spans="3:3" x14ac:dyDescent="0.2">
      <c r="C1381" s="158"/>
    </row>
    <row r="1382" spans="3:3" x14ac:dyDescent="0.2">
      <c r="C1382" s="158"/>
    </row>
    <row r="1383" spans="3:3" x14ac:dyDescent="0.2">
      <c r="C1383" s="158"/>
    </row>
    <row r="1384" spans="3:3" x14ac:dyDescent="0.2">
      <c r="C1384" s="158"/>
    </row>
    <row r="1385" spans="3:3" x14ac:dyDescent="0.2">
      <c r="C1385" s="158"/>
    </row>
    <row r="1386" spans="3:3" x14ac:dyDescent="0.2">
      <c r="C1386" s="158"/>
    </row>
    <row r="1387" spans="3:3" x14ac:dyDescent="0.2">
      <c r="C1387" s="158"/>
    </row>
    <row r="1388" spans="3:3" x14ac:dyDescent="0.2">
      <c r="C1388" s="158"/>
    </row>
    <row r="1389" spans="3:3" x14ac:dyDescent="0.2">
      <c r="C1389" s="158"/>
    </row>
    <row r="1390" spans="3:3" x14ac:dyDescent="0.2">
      <c r="C1390" s="158"/>
    </row>
    <row r="1391" spans="3:3" x14ac:dyDescent="0.2">
      <c r="C1391" s="158"/>
    </row>
    <row r="1392" spans="3:3" x14ac:dyDescent="0.2">
      <c r="C1392" s="158"/>
    </row>
    <row r="1393" spans="3:3" x14ac:dyDescent="0.2">
      <c r="C1393" s="158"/>
    </row>
    <row r="1394" spans="3:3" x14ac:dyDescent="0.2">
      <c r="C1394" s="158"/>
    </row>
    <row r="1395" spans="3:3" x14ac:dyDescent="0.2">
      <c r="C1395" s="158"/>
    </row>
    <row r="1396" spans="3:3" x14ac:dyDescent="0.2">
      <c r="C1396" s="158"/>
    </row>
    <row r="1397" spans="3:3" x14ac:dyDescent="0.2">
      <c r="C1397" s="158"/>
    </row>
    <row r="1398" spans="3:3" x14ac:dyDescent="0.2">
      <c r="C1398" s="158"/>
    </row>
    <row r="1399" spans="3:3" x14ac:dyDescent="0.2">
      <c r="C1399" s="158"/>
    </row>
    <row r="1400" spans="3:3" x14ac:dyDescent="0.2">
      <c r="C1400" s="158"/>
    </row>
    <row r="1401" spans="3:3" x14ac:dyDescent="0.2">
      <c r="C1401" s="158"/>
    </row>
    <row r="1402" spans="3:3" x14ac:dyDescent="0.2">
      <c r="C1402" s="158"/>
    </row>
    <row r="1403" spans="3:3" x14ac:dyDescent="0.2">
      <c r="C1403" s="158"/>
    </row>
    <row r="1404" spans="3:3" x14ac:dyDescent="0.2">
      <c r="C1404" s="158"/>
    </row>
    <row r="1405" spans="3:3" x14ac:dyDescent="0.2">
      <c r="C1405" s="158"/>
    </row>
    <row r="1406" spans="3:3" x14ac:dyDescent="0.2">
      <c r="C1406" s="158"/>
    </row>
    <row r="1407" spans="3:3" x14ac:dyDescent="0.2">
      <c r="C1407" s="158"/>
    </row>
    <row r="1408" spans="3:3" x14ac:dyDescent="0.2">
      <c r="C1408" s="158"/>
    </row>
    <row r="1409" spans="3:3" x14ac:dyDescent="0.2">
      <c r="C1409" s="158"/>
    </row>
    <row r="1410" spans="3:3" x14ac:dyDescent="0.2">
      <c r="C1410" s="158"/>
    </row>
    <row r="1411" spans="3:3" x14ac:dyDescent="0.2">
      <c r="C1411" s="158"/>
    </row>
    <row r="1412" spans="3:3" x14ac:dyDescent="0.2">
      <c r="C1412" s="158"/>
    </row>
    <row r="1413" spans="3:3" x14ac:dyDescent="0.2">
      <c r="C1413" s="158"/>
    </row>
    <row r="1414" spans="3:3" x14ac:dyDescent="0.2">
      <c r="C1414" s="158"/>
    </row>
    <row r="1415" spans="3:3" x14ac:dyDescent="0.2">
      <c r="C1415" s="158"/>
    </row>
    <row r="1416" spans="3:3" x14ac:dyDescent="0.2">
      <c r="C1416" s="158"/>
    </row>
    <row r="1417" spans="3:3" x14ac:dyDescent="0.2">
      <c r="C1417" s="158"/>
    </row>
    <row r="1418" spans="3:3" x14ac:dyDescent="0.2">
      <c r="C1418" s="158"/>
    </row>
    <row r="1419" spans="3:3" x14ac:dyDescent="0.2">
      <c r="C1419" s="158"/>
    </row>
    <row r="1420" spans="3:3" x14ac:dyDescent="0.2">
      <c r="C1420" s="158"/>
    </row>
    <row r="1421" spans="3:3" x14ac:dyDescent="0.2">
      <c r="C1421" s="158"/>
    </row>
    <row r="1422" spans="3:3" x14ac:dyDescent="0.2">
      <c r="C1422" s="158"/>
    </row>
    <row r="1423" spans="3:3" x14ac:dyDescent="0.2">
      <c r="C1423" s="158"/>
    </row>
    <row r="1424" spans="3:3" x14ac:dyDescent="0.2">
      <c r="C1424" s="158"/>
    </row>
    <row r="1425" spans="3:3" x14ac:dyDescent="0.2">
      <c r="C1425" s="158"/>
    </row>
    <row r="1426" spans="3:3" x14ac:dyDescent="0.2">
      <c r="C1426" s="158"/>
    </row>
    <row r="1427" spans="3:3" x14ac:dyDescent="0.2">
      <c r="C1427" s="158"/>
    </row>
    <row r="1428" spans="3:3" x14ac:dyDescent="0.2">
      <c r="C1428" s="158"/>
    </row>
    <row r="1429" spans="3:3" x14ac:dyDescent="0.2">
      <c r="C1429" s="158"/>
    </row>
    <row r="1430" spans="3:3" x14ac:dyDescent="0.2">
      <c r="C1430" s="158"/>
    </row>
    <row r="1431" spans="3:3" x14ac:dyDescent="0.2">
      <c r="C1431" s="158"/>
    </row>
    <row r="1432" spans="3:3" x14ac:dyDescent="0.2">
      <c r="C1432" s="158"/>
    </row>
    <row r="1433" spans="3:3" x14ac:dyDescent="0.2">
      <c r="C1433" s="158"/>
    </row>
    <row r="1434" spans="3:3" x14ac:dyDescent="0.2">
      <c r="C1434" s="158"/>
    </row>
    <row r="1435" spans="3:3" x14ac:dyDescent="0.2">
      <c r="C1435" s="158"/>
    </row>
    <row r="1436" spans="3:3" x14ac:dyDescent="0.2">
      <c r="C1436" s="158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43"/>
  <sheetViews>
    <sheetView workbookViewId="0"/>
  </sheetViews>
  <sheetFormatPr defaultColWidth="10.28515625" defaultRowHeight="12.75" x14ac:dyDescent="0.2"/>
  <cols>
    <col min="1" max="1" width="27.28515625" customWidth="1"/>
    <col min="2" max="2" width="4.42578125" customWidth="1"/>
    <col min="3" max="3" width="11.85546875" customWidth="1"/>
    <col min="4" max="4" width="10.7109375" customWidth="1"/>
    <col min="5" max="5" width="9.140625" style="11" customWidth="1"/>
    <col min="6" max="6" width="17.28515625" customWidth="1"/>
    <col min="7" max="7" width="8.140625" style="12" customWidth="1"/>
    <col min="8" max="11" width="8.5703125" style="12" customWidth="1"/>
    <col min="12" max="12" width="13.140625" style="12" bestFit="1" customWidth="1"/>
    <col min="13" max="15" width="8.5703125" style="12" customWidth="1"/>
    <col min="16" max="16" width="8" style="12" customWidth="1"/>
    <col min="17" max="17" width="10.5703125" style="12" customWidth="1"/>
    <col min="18" max="18" width="10.140625" style="10" bestFit="1" customWidth="1"/>
  </cols>
  <sheetData>
    <row r="1" spans="1:18" ht="20.25" x14ac:dyDescent="0.3">
      <c r="A1" s="1" t="s">
        <v>189</v>
      </c>
      <c r="E1"/>
      <c r="G1"/>
      <c r="H1"/>
      <c r="I1"/>
      <c r="J1"/>
      <c r="K1"/>
      <c r="L1"/>
      <c r="M1"/>
      <c r="N1"/>
      <c r="O1"/>
      <c r="P1"/>
      <c r="Q1"/>
      <c r="R1"/>
    </row>
    <row r="2" spans="1:18" x14ac:dyDescent="0.2">
      <c r="A2" t="s">
        <v>42</v>
      </c>
      <c r="B2" t="s">
        <v>57</v>
      </c>
      <c r="E2"/>
      <c r="G2"/>
      <c r="H2"/>
      <c r="I2"/>
      <c r="J2"/>
      <c r="K2"/>
      <c r="L2"/>
      <c r="M2"/>
      <c r="N2"/>
      <c r="O2"/>
      <c r="P2"/>
      <c r="Q2"/>
      <c r="R2"/>
    </row>
    <row r="3" spans="1:18" ht="13.5" thickBot="1" x14ac:dyDescent="0.25">
      <c r="A3" s="13" t="s">
        <v>56</v>
      </c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Top="1" thickBot="1" x14ac:dyDescent="0.25">
      <c r="A4" s="7" t="s">
        <v>18</v>
      </c>
      <c r="C4" s="2">
        <v>44474.326999999997</v>
      </c>
      <c r="D4" s="3">
        <v>0.35006710000000002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1:18" ht="13.5" thickTop="1" x14ac:dyDescent="0.2">
      <c r="A5" s="81" t="s">
        <v>176</v>
      </c>
      <c r="B5" s="45"/>
      <c r="C5" s="82">
        <v>8</v>
      </c>
      <c r="D5" s="45" t="s">
        <v>177</v>
      </c>
      <c r="E5"/>
      <c r="G5"/>
      <c r="H5"/>
      <c r="I5"/>
      <c r="J5"/>
      <c r="K5"/>
      <c r="L5"/>
      <c r="M5"/>
      <c r="N5"/>
      <c r="O5"/>
      <c r="P5"/>
      <c r="Q5"/>
      <c r="R5"/>
    </row>
    <row r="6" spans="1:18" x14ac:dyDescent="0.2">
      <c r="A6" s="7" t="s">
        <v>19</v>
      </c>
      <c r="E6"/>
      <c r="G6"/>
      <c r="H6"/>
      <c r="I6"/>
      <c r="J6"/>
      <c r="K6"/>
      <c r="L6"/>
      <c r="M6"/>
      <c r="N6"/>
      <c r="O6"/>
      <c r="P6"/>
      <c r="Q6"/>
      <c r="R6"/>
    </row>
    <row r="7" spans="1:18" x14ac:dyDescent="0.2">
      <c r="A7" t="s">
        <v>20</v>
      </c>
      <c r="C7">
        <v>53099.275699999998</v>
      </c>
      <c r="E7"/>
      <c r="G7"/>
      <c r="H7"/>
      <c r="I7"/>
      <c r="J7"/>
      <c r="K7"/>
      <c r="L7"/>
      <c r="M7"/>
      <c r="N7"/>
      <c r="O7"/>
      <c r="P7"/>
      <c r="Q7"/>
      <c r="R7"/>
    </row>
    <row r="8" spans="1:18" x14ac:dyDescent="0.2">
      <c r="A8" t="s">
        <v>21</v>
      </c>
      <c r="C8">
        <v>0.350067933</v>
      </c>
      <c r="E8"/>
      <c r="G8"/>
      <c r="H8"/>
      <c r="I8"/>
      <c r="J8"/>
      <c r="K8"/>
      <c r="L8"/>
      <c r="M8"/>
      <c r="N8"/>
      <c r="O8"/>
      <c r="P8"/>
      <c r="Q8"/>
      <c r="R8"/>
    </row>
    <row r="9" spans="1:18" x14ac:dyDescent="0.2">
      <c r="A9" s="22" t="s">
        <v>93</v>
      </c>
      <c r="B9" s="22"/>
      <c r="C9" s="22">
        <v>120</v>
      </c>
      <c r="D9" s="22" t="str">
        <f>"F"&amp;C9</f>
        <v>F120</v>
      </c>
      <c r="E9" s="22" t="str">
        <f>"G"&amp;C9</f>
        <v>G120</v>
      </c>
      <c r="G9"/>
      <c r="H9"/>
      <c r="I9"/>
      <c r="J9"/>
      <c r="K9"/>
      <c r="L9"/>
      <c r="M9"/>
      <c r="N9"/>
      <c r="O9"/>
      <c r="P9"/>
      <c r="Q9"/>
      <c r="R9"/>
    </row>
    <row r="10" spans="1:18" ht="13.5" thickBot="1" x14ac:dyDescent="0.25">
      <c r="C10" s="6" t="s">
        <v>37</v>
      </c>
      <c r="D10" s="6" t="s">
        <v>38</v>
      </c>
      <c r="E10"/>
      <c r="G10"/>
      <c r="H10"/>
      <c r="I10"/>
      <c r="J10"/>
      <c r="K10"/>
      <c r="L10"/>
      <c r="M10"/>
      <c r="N10"/>
      <c r="O10"/>
      <c r="P10"/>
      <c r="Q10"/>
      <c r="R10"/>
    </row>
    <row r="11" spans="1:18" x14ac:dyDescent="0.2">
      <c r="A11" t="s">
        <v>33</v>
      </c>
      <c r="C11" s="23">
        <f ca="1">INTERCEPT(INDIRECT(E9):G990,INDIRECT(D9):$F990)</f>
        <v>3.6771532270700696E-3</v>
      </c>
      <c r="D11" s="5">
        <f>+E11*F11</f>
        <v>9.997597002733667E-8</v>
      </c>
      <c r="E11" s="14">
        <v>0.9997597002733668</v>
      </c>
      <c r="F11">
        <v>9.9999999999999995E-8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x14ac:dyDescent="0.2">
      <c r="A12" t="s">
        <v>34</v>
      </c>
      <c r="C12" s="23">
        <f ca="1">SLOPE(INDIRECT(E9):G990,INDIRECT(D9):$F990)</f>
        <v>-1.2586700850310223E-6</v>
      </c>
      <c r="D12" s="5">
        <f>+E12*F12</f>
        <v>4.0944341870991875E-8</v>
      </c>
      <c r="E12" s="15">
        <v>0.40944341870991879</v>
      </c>
      <c r="F12">
        <v>9.9999999999999995E-8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ht="13.5" thickBot="1" x14ac:dyDescent="0.25">
      <c r="A13" t="s">
        <v>36</v>
      </c>
      <c r="C13" s="5" t="s">
        <v>31</v>
      </c>
      <c r="D13" s="5">
        <f>+E13*F13</f>
        <v>3.5403485773747741E-11</v>
      </c>
      <c r="E13" s="16">
        <v>0.35403485773747739</v>
      </c>
      <c r="F13">
        <v>1E-10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x14ac:dyDescent="0.2">
      <c r="A14" t="s">
        <v>41</v>
      </c>
      <c r="E14">
        <f>SUM(S21:S894)</f>
        <v>7.3426650460429845E-3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x14ac:dyDescent="0.2">
      <c r="A15" s="4" t="s">
        <v>35</v>
      </c>
      <c r="C15" s="17">
        <f ca="1">(C7+C11)+(C8+C12)*INT(MAX(F21:F3517))</f>
        <v>55664.217899968513</v>
      </c>
      <c r="D15" s="19">
        <f>+C7+INT(MAX(F21:F1572))*C8+D11+D12*INT(MAX(F21:F4007))+D13*INT(MAX(F21:F4034)^2)</f>
        <v>55664.225646083192</v>
      </c>
      <c r="E15" s="83" t="s">
        <v>178</v>
      </c>
      <c r="F15" s="82">
        <v>1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A16" s="7" t="s">
        <v>22</v>
      </c>
      <c r="C16" s="18">
        <f ca="1">+C8+C12</f>
        <v>0.35006667432991495</v>
      </c>
      <c r="D16" s="19">
        <f>+C8+D12+2*D13*F90</f>
        <v>0.35006694826995549</v>
      </c>
      <c r="E16" s="83" t="s">
        <v>179</v>
      </c>
      <c r="F16" s="84">
        <f ca="1">NOW()+15018.5+$C$5/24</f>
        <v>60310.486301041667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31" ht="13.5" thickBot="1" x14ac:dyDescent="0.25">
      <c r="A17" s="23" t="s">
        <v>88</v>
      </c>
      <c r="C17">
        <f>COUNT(C21:C2175)</f>
        <v>123</v>
      </c>
      <c r="E17" s="83" t="s">
        <v>180</v>
      </c>
      <c r="F17" s="84">
        <f ca="1">ROUND(2*(F16-$C$7)/$C$8,0)/2+F15</f>
        <v>20600.5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31" ht="14.25" thickTop="1" thickBot="1" x14ac:dyDescent="0.25">
      <c r="A18" s="7" t="s">
        <v>183</v>
      </c>
      <c r="C18" s="40">
        <f ca="1">+C15</f>
        <v>55664.217899968513</v>
      </c>
      <c r="D18" s="41">
        <f ca="1">C16</f>
        <v>0.35006667432991495</v>
      </c>
      <c r="E18" s="83" t="s">
        <v>181</v>
      </c>
      <c r="F18" s="19">
        <f ca="1">ROUND(2*(F16-$C$15)/$C$16,0)/2+F15</f>
        <v>13273.5</v>
      </c>
      <c r="G18"/>
      <c r="H18"/>
      <c r="I18"/>
      <c r="J18"/>
      <c r="K18"/>
      <c r="L18"/>
      <c r="M18"/>
      <c r="N18"/>
      <c r="O18"/>
      <c r="P18"/>
      <c r="Q18"/>
      <c r="R18"/>
    </row>
    <row r="19" spans="1:31" ht="13.5" thickBot="1" x14ac:dyDescent="0.25">
      <c r="A19" s="7" t="s">
        <v>184</v>
      </c>
      <c r="B19">
        <f>COUNT(C21:C4723)</f>
        <v>123</v>
      </c>
      <c r="C19" s="20">
        <f>+D15</f>
        <v>55664.225646083192</v>
      </c>
      <c r="D19" s="21">
        <f>+D16</f>
        <v>0.35006694826995549</v>
      </c>
      <c r="E19" s="83" t="s">
        <v>182</v>
      </c>
      <c r="F19" s="85">
        <f ca="1">+$C$15+$C$16*F18-15018.5-$C$5/24</f>
        <v>45291.994568353301</v>
      </c>
      <c r="G19"/>
      <c r="H19"/>
      <c r="I19"/>
      <c r="J19"/>
      <c r="K19"/>
      <c r="L19"/>
      <c r="M19"/>
      <c r="N19"/>
      <c r="O19"/>
      <c r="P19"/>
      <c r="Q19"/>
      <c r="R19"/>
    </row>
    <row r="20" spans="1:31" ht="13.5" thickBot="1" x14ac:dyDescent="0.25">
      <c r="A20" s="6" t="s">
        <v>23</v>
      </c>
      <c r="B20" s="6" t="s">
        <v>24</v>
      </c>
      <c r="C20" s="6" t="s">
        <v>25</v>
      </c>
      <c r="D20" s="6" t="s">
        <v>30</v>
      </c>
      <c r="E20" s="6" t="s">
        <v>26</v>
      </c>
      <c r="F20" s="6" t="s">
        <v>27</v>
      </c>
      <c r="G20" s="6" t="s">
        <v>28</v>
      </c>
      <c r="H20" s="9" t="s">
        <v>29</v>
      </c>
      <c r="I20" s="9" t="s">
        <v>49</v>
      </c>
      <c r="J20" s="9" t="s">
        <v>51</v>
      </c>
      <c r="K20" s="9" t="s">
        <v>84</v>
      </c>
      <c r="L20" s="9" t="s">
        <v>60</v>
      </c>
      <c r="M20" s="9" t="s">
        <v>59</v>
      </c>
      <c r="N20" s="9" t="s">
        <v>90</v>
      </c>
      <c r="O20" s="9" t="s">
        <v>43</v>
      </c>
      <c r="P20" s="9" t="s">
        <v>40</v>
      </c>
      <c r="Q20" s="8" t="s">
        <v>39</v>
      </c>
      <c r="R20" s="6" t="s">
        <v>32</v>
      </c>
      <c r="T20" s="43" t="s">
        <v>102</v>
      </c>
    </row>
    <row r="21" spans="1:31" s="24" customFormat="1" x14ac:dyDescent="0.2">
      <c r="A21" s="24" t="s">
        <v>61</v>
      </c>
      <c r="C21" s="25">
        <v>40362.788500000002</v>
      </c>
      <c r="D21" s="25"/>
      <c r="E21" s="26">
        <f t="shared" ref="E21:E52" si="0">+(C21-C$7)/C$8</f>
        <v>-36382.90171525078</v>
      </c>
      <c r="F21" s="24">
        <f t="shared" ref="F21:F52" si="1">ROUND(2*E21,0)/2</f>
        <v>-36383</v>
      </c>
      <c r="G21" s="27">
        <f t="shared" ref="G21:G47" si="2">+C21-(C$7+F21*C$8)</f>
        <v>3.4406339000270236E-2</v>
      </c>
      <c r="H21" s="27"/>
      <c r="I21" s="27"/>
      <c r="J21" s="27"/>
      <c r="K21" s="27"/>
      <c r="L21" s="27"/>
      <c r="M21" s="27"/>
      <c r="N21" s="27"/>
      <c r="O21" s="27">
        <f t="shared" ref="O21:O45" si="3">G21</f>
        <v>3.4406339000270236E-2</v>
      </c>
      <c r="P21" s="27"/>
      <c r="Q21" s="27">
        <f t="shared" ref="Q21:Q52" si="4">+D$11+D$12*F21+D$13*F21^2</f>
        <v>4.5374819374076336E-2</v>
      </c>
      <c r="R21" s="28">
        <f t="shared" ref="R21:R52" si="5">+C21-15018.5</f>
        <v>25344.288500000002</v>
      </c>
      <c r="S21" s="24">
        <f t="shared" ref="S21:S52" si="6">+(Q21-G21)^2</f>
        <v>1.203075617105696E-4</v>
      </c>
    </row>
    <row r="22" spans="1:31" s="24" customFormat="1" x14ac:dyDescent="0.2">
      <c r="A22" s="24" t="s">
        <v>62</v>
      </c>
      <c r="B22" s="29"/>
      <c r="C22" s="25">
        <v>42470.893100000001</v>
      </c>
      <c r="D22" s="25"/>
      <c r="E22" s="26">
        <f t="shared" si="0"/>
        <v>-30360.914548548488</v>
      </c>
      <c r="F22" s="24">
        <f t="shared" si="1"/>
        <v>-30361</v>
      </c>
      <c r="G22" s="27">
        <f t="shared" si="2"/>
        <v>2.9913813006714918E-2</v>
      </c>
      <c r="H22" s="27"/>
      <c r="I22" s="27"/>
      <c r="J22" s="27"/>
      <c r="K22" s="27"/>
      <c r="L22" s="27"/>
      <c r="M22" s="27"/>
      <c r="N22" s="27"/>
      <c r="O22" s="27">
        <f t="shared" si="3"/>
        <v>2.9913813006714918E-2</v>
      </c>
      <c r="P22" s="27"/>
      <c r="Q22" s="27">
        <f t="shared" si="4"/>
        <v>3.1391579328326702E-2</v>
      </c>
      <c r="R22" s="28">
        <f t="shared" si="5"/>
        <v>27452.393100000001</v>
      </c>
      <c r="S22" s="24">
        <f t="shared" si="6"/>
        <v>2.1837933012900231E-6</v>
      </c>
    </row>
    <row r="23" spans="1:31" s="24" customFormat="1" x14ac:dyDescent="0.2">
      <c r="A23" s="24" t="s">
        <v>62</v>
      </c>
      <c r="B23" s="29"/>
      <c r="C23" s="25">
        <v>42471.943200000002</v>
      </c>
      <c r="D23" s="25"/>
      <c r="E23" s="26">
        <f t="shared" si="0"/>
        <v>-30357.914845059506</v>
      </c>
      <c r="F23" s="24">
        <f t="shared" si="1"/>
        <v>-30358</v>
      </c>
      <c r="G23" s="27">
        <f t="shared" si="2"/>
        <v>2.9810013998940121E-2</v>
      </c>
      <c r="H23" s="27"/>
      <c r="I23" s="27"/>
      <c r="J23" s="27"/>
      <c r="K23" s="27"/>
      <c r="L23" s="27"/>
      <c r="M23" s="27"/>
      <c r="N23" s="27"/>
      <c r="O23" s="27">
        <f t="shared" si="3"/>
        <v>2.9810013998940121E-2</v>
      </c>
      <c r="P23" s="27"/>
      <c r="Q23" s="27">
        <f t="shared" si="4"/>
        <v>3.1385253168594231E-2</v>
      </c>
      <c r="R23" s="28">
        <f t="shared" si="5"/>
        <v>27453.443200000002</v>
      </c>
      <c r="S23" s="24">
        <f t="shared" si="6"/>
        <v>2.481378441612568E-6</v>
      </c>
    </row>
    <row r="24" spans="1:31" s="24" customFormat="1" x14ac:dyDescent="0.2">
      <c r="A24" s="24" t="s">
        <v>62</v>
      </c>
      <c r="B24" s="29"/>
      <c r="C24" s="25">
        <v>42472.992299999998</v>
      </c>
      <c r="D24" s="25"/>
      <c r="E24" s="26">
        <f t="shared" si="0"/>
        <v>-30354.917998158948</v>
      </c>
      <c r="F24" s="24">
        <f t="shared" si="1"/>
        <v>-30355</v>
      </c>
      <c r="G24" s="27">
        <f t="shared" si="2"/>
        <v>2.8706215001875535E-2</v>
      </c>
      <c r="H24" s="27"/>
      <c r="I24" s="27"/>
      <c r="J24" s="27"/>
      <c r="K24" s="27"/>
      <c r="L24" s="27"/>
      <c r="M24" s="27"/>
      <c r="N24" s="27"/>
      <c r="O24" s="27">
        <f t="shared" si="3"/>
        <v>2.8706215001875535E-2</v>
      </c>
      <c r="P24" s="27"/>
      <c r="Q24" s="27">
        <f t="shared" si="4"/>
        <v>3.1378927646124502E-2</v>
      </c>
      <c r="R24" s="28">
        <f t="shared" si="5"/>
        <v>27454.492299999998</v>
      </c>
      <c r="S24" s="24">
        <f t="shared" si="6"/>
        <v>7.1433928787283076E-6</v>
      </c>
    </row>
    <row r="25" spans="1:31" s="24" customFormat="1" x14ac:dyDescent="0.2">
      <c r="A25" s="24" t="s">
        <v>63</v>
      </c>
      <c r="B25" s="29"/>
      <c r="C25" s="25">
        <v>42858.243699999999</v>
      </c>
      <c r="D25" s="25"/>
      <c r="E25" s="26">
        <f t="shared" si="0"/>
        <v>-29254.413314115234</v>
      </c>
      <c r="F25" s="24">
        <f t="shared" si="1"/>
        <v>-29254.5</v>
      </c>
      <c r="G25" s="27">
        <f t="shared" si="2"/>
        <v>3.0345948500325903E-2</v>
      </c>
      <c r="H25" s="27"/>
      <c r="I25" s="27"/>
      <c r="J25" s="27"/>
      <c r="K25" s="27"/>
      <c r="L25" s="27"/>
      <c r="M25" s="27"/>
      <c r="N25" s="27"/>
      <c r="O25" s="27">
        <f t="shared" si="3"/>
        <v>3.0345948500325903E-2</v>
      </c>
      <c r="P25" s="27"/>
      <c r="Q25" s="27">
        <f t="shared" si="4"/>
        <v>2.9101509208557672E-2</v>
      </c>
      <c r="R25" s="28">
        <f t="shared" si="5"/>
        <v>27839.743699999999</v>
      </c>
      <c r="S25" s="24">
        <f t="shared" si="6"/>
        <v>1.5486291508966165E-6</v>
      </c>
    </row>
    <row r="26" spans="1:31" s="24" customFormat="1" x14ac:dyDescent="0.2">
      <c r="A26" s="24" t="s">
        <v>64</v>
      </c>
      <c r="B26" s="29"/>
      <c r="C26" s="25">
        <v>42878.372000000003</v>
      </c>
      <c r="D26" s="25"/>
      <c r="E26" s="26">
        <f t="shared" si="0"/>
        <v>-29196.915045629146</v>
      </c>
      <c r="F26" s="24">
        <f t="shared" si="1"/>
        <v>-29197</v>
      </c>
      <c r="G26" s="27">
        <f t="shared" si="2"/>
        <v>2.9739801000687294E-2</v>
      </c>
      <c r="H26" s="27"/>
      <c r="I26" s="27"/>
      <c r="J26" s="27"/>
      <c r="K26" s="27"/>
      <c r="L26" s="27"/>
      <c r="M26" s="27"/>
      <c r="N26" s="27"/>
      <c r="O26" s="27">
        <f t="shared" si="3"/>
        <v>2.9739801000687294E-2</v>
      </c>
      <c r="P26" s="27"/>
      <c r="Q26" s="27">
        <f t="shared" si="4"/>
        <v>2.8984873764414765E-2</v>
      </c>
      <c r="R26" s="28">
        <f t="shared" si="5"/>
        <v>27859.872000000003</v>
      </c>
      <c r="S26" s="24">
        <f t="shared" si="6"/>
        <v>5.6991513206607776E-7</v>
      </c>
    </row>
    <row r="27" spans="1:31" s="24" customFormat="1" x14ac:dyDescent="0.2">
      <c r="A27" s="24" t="s">
        <v>64</v>
      </c>
      <c r="B27" s="29"/>
      <c r="C27" s="25">
        <v>42878.546999999999</v>
      </c>
      <c r="D27" s="25"/>
      <c r="E27" s="26">
        <f t="shared" si="0"/>
        <v>-29196.415142657468</v>
      </c>
      <c r="F27" s="24">
        <f t="shared" si="1"/>
        <v>-29196.5</v>
      </c>
      <c r="G27" s="27">
        <f t="shared" si="2"/>
        <v>2.9705834502237849E-2</v>
      </c>
      <c r="H27" s="27"/>
      <c r="I27" s="27"/>
      <c r="J27" s="27"/>
      <c r="K27" s="27"/>
      <c r="L27" s="27"/>
      <c r="M27" s="27"/>
      <c r="N27" s="27"/>
      <c r="O27" s="27">
        <f t="shared" si="3"/>
        <v>2.9705834502237849E-2</v>
      </c>
      <c r="P27" s="27"/>
      <c r="Q27" s="27">
        <f t="shared" si="4"/>
        <v>2.8983860569862435E-2</v>
      </c>
      <c r="R27" s="28">
        <f t="shared" si="5"/>
        <v>27860.046999999999</v>
      </c>
      <c r="S27" s="24">
        <f t="shared" si="6"/>
        <v>5.2124635902961853E-7</v>
      </c>
    </row>
    <row r="28" spans="1:31" s="24" customFormat="1" x14ac:dyDescent="0.2">
      <c r="A28" s="24" t="s">
        <v>65</v>
      </c>
      <c r="B28" s="29"/>
      <c r="C28" s="25">
        <v>42912.510999999999</v>
      </c>
      <c r="D28" s="25"/>
      <c r="E28" s="26">
        <f t="shared" si="0"/>
        <v>-29099.393973911916</v>
      </c>
      <c r="F28" s="24">
        <f t="shared" si="1"/>
        <v>-29099.5</v>
      </c>
      <c r="G28" s="27">
        <f t="shared" si="2"/>
        <v>3.7116333500307519E-2</v>
      </c>
      <c r="H28" s="27"/>
      <c r="I28" s="27"/>
      <c r="J28" s="27"/>
      <c r="K28" s="27"/>
      <c r="L28" s="27"/>
      <c r="M28" s="27"/>
      <c r="N28" s="27"/>
      <c r="O28" s="27">
        <f t="shared" si="3"/>
        <v>3.7116333500307519E-2</v>
      </c>
      <c r="P28" s="27"/>
      <c r="Q28" s="27">
        <f t="shared" si="4"/>
        <v>2.8787635655177279E-2</v>
      </c>
      <c r="R28" s="28">
        <f t="shared" si="5"/>
        <v>27894.010999999999</v>
      </c>
      <c r="S28" s="24">
        <f t="shared" si="6"/>
        <v>6.9367207795477102E-5</v>
      </c>
    </row>
    <row r="29" spans="1:31" s="24" customFormat="1" x14ac:dyDescent="0.2">
      <c r="A29" s="24" t="s">
        <v>65</v>
      </c>
      <c r="B29" s="29"/>
      <c r="C29" s="25">
        <v>42921.417999999998</v>
      </c>
      <c r="D29" s="25"/>
      <c r="E29" s="26">
        <f t="shared" si="0"/>
        <v>-29073.950340947111</v>
      </c>
      <c r="F29" s="24">
        <f t="shared" si="1"/>
        <v>-29074</v>
      </c>
      <c r="G29" s="27">
        <f t="shared" si="2"/>
        <v>1.7384041995683219E-2</v>
      </c>
      <c r="H29" s="27"/>
      <c r="I29" s="27"/>
      <c r="J29" s="27"/>
      <c r="K29" s="27"/>
      <c r="L29" s="27"/>
      <c r="M29" s="27"/>
      <c r="N29" s="27"/>
      <c r="O29" s="27">
        <f t="shared" si="3"/>
        <v>1.7384041995683219E-2</v>
      </c>
      <c r="P29" s="27"/>
      <c r="Q29" s="27">
        <f t="shared" si="4"/>
        <v>2.873616134656368E-2</v>
      </c>
      <c r="R29" s="28">
        <f t="shared" si="5"/>
        <v>27902.917999999998</v>
      </c>
      <c r="S29" s="24">
        <f t="shared" si="6"/>
        <v>1.288706137566346E-4</v>
      </c>
    </row>
    <row r="30" spans="1:31" s="24" customFormat="1" x14ac:dyDescent="0.2">
      <c r="A30" s="24" t="s">
        <v>66</v>
      </c>
      <c r="B30" s="29"/>
      <c r="C30" s="25">
        <v>43014.36</v>
      </c>
      <c r="D30" s="25"/>
      <c r="E30" s="26">
        <f t="shared" si="0"/>
        <v>-28808.453300976864</v>
      </c>
      <c r="F30" s="24">
        <f t="shared" si="1"/>
        <v>-28808.5</v>
      </c>
      <c r="G30" s="27">
        <f t="shared" si="2"/>
        <v>1.634783050394617E-2</v>
      </c>
      <c r="H30" s="27"/>
      <c r="I30" s="27"/>
      <c r="J30" s="27"/>
      <c r="K30" s="27"/>
      <c r="L30" s="27"/>
      <c r="M30" s="27"/>
      <c r="N30" s="27"/>
      <c r="O30" s="27">
        <f t="shared" si="3"/>
        <v>1.634783050394617E-2</v>
      </c>
      <c r="P30" s="27"/>
      <c r="Q30" s="27">
        <f t="shared" si="4"/>
        <v>2.820295824789356E-2</v>
      </c>
      <c r="R30" s="28">
        <f t="shared" si="5"/>
        <v>27995.86</v>
      </c>
      <c r="S30" s="24">
        <f t="shared" si="6"/>
        <v>1.4054405382531114E-4</v>
      </c>
    </row>
    <row r="31" spans="1:31" s="24" customFormat="1" x14ac:dyDescent="0.2">
      <c r="A31" s="24" t="s">
        <v>63</v>
      </c>
      <c r="B31" s="29"/>
      <c r="C31" s="25">
        <v>43215.310400000002</v>
      </c>
      <c r="D31" s="25"/>
      <c r="E31" s="26">
        <f t="shared" si="0"/>
        <v>-28234.420717421141</v>
      </c>
      <c r="F31" s="24">
        <f t="shared" si="1"/>
        <v>-28234.5</v>
      </c>
      <c r="G31" s="27">
        <f t="shared" si="2"/>
        <v>2.7754288501455449E-2</v>
      </c>
      <c r="H31" s="27"/>
      <c r="I31" s="27"/>
      <c r="J31" s="27"/>
      <c r="K31" s="27"/>
      <c r="L31" s="27"/>
      <c r="M31" s="27"/>
      <c r="N31" s="27"/>
      <c r="O31" s="27">
        <f t="shared" si="3"/>
        <v>2.7754288501455449E-2</v>
      </c>
      <c r="P31" s="27"/>
      <c r="Q31" s="27">
        <f t="shared" si="4"/>
        <v>2.7067255223746159E-2</v>
      </c>
      <c r="R31" s="28">
        <f t="shared" si="5"/>
        <v>28196.810400000002</v>
      </c>
      <c r="S31" s="24">
        <f t="shared" si="6"/>
        <v>4.7201472467996998E-7</v>
      </c>
    </row>
    <row r="32" spans="1:31" s="24" customFormat="1" x14ac:dyDescent="0.2">
      <c r="A32" s="24" t="s">
        <v>63</v>
      </c>
      <c r="B32" s="29"/>
      <c r="C32" s="25">
        <v>43244.190399999999</v>
      </c>
      <c r="D32" s="25"/>
      <c r="E32" s="26">
        <f t="shared" si="0"/>
        <v>-28151.922444150288</v>
      </c>
      <c r="F32" s="24">
        <f t="shared" si="1"/>
        <v>-28152</v>
      </c>
      <c r="G32" s="27">
        <f t="shared" si="2"/>
        <v>2.71498160000192E-2</v>
      </c>
      <c r="H32" s="27"/>
      <c r="I32" s="27"/>
      <c r="J32" s="27"/>
      <c r="K32" s="27"/>
      <c r="L32" s="27"/>
      <c r="M32" s="27"/>
      <c r="N32" s="27"/>
      <c r="O32" s="27">
        <f t="shared" si="3"/>
        <v>2.71498160000192E-2</v>
      </c>
      <c r="P32" s="27"/>
      <c r="Q32" s="27">
        <f t="shared" si="4"/>
        <v>2.6905940143277549E-2</v>
      </c>
      <c r="R32" s="28">
        <f t="shared" si="5"/>
        <v>28225.690399999999</v>
      </c>
      <c r="S32" s="24">
        <f t="shared" si="6"/>
        <v>5.9475433501474227E-8</v>
      </c>
      <c r="AA32" s="24">
        <v>11</v>
      </c>
      <c r="AC32" s="24" t="s">
        <v>44</v>
      </c>
      <c r="AE32" s="24" t="s">
        <v>46</v>
      </c>
    </row>
    <row r="33" spans="1:31" s="24" customFormat="1" x14ac:dyDescent="0.2">
      <c r="A33" s="24" t="s">
        <v>67</v>
      </c>
      <c r="B33" s="29"/>
      <c r="C33" s="25">
        <v>43248.389000000003</v>
      </c>
      <c r="D33" s="25"/>
      <c r="E33" s="26">
        <f t="shared" si="0"/>
        <v>-28139.928772053496</v>
      </c>
      <c r="F33" s="24">
        <f t="shared" si="1"/>
        <v>-28140</v>
      </c>
      <c r="G33" s="27">
        <f t="shared" si="2"/>
        <v>2.4934620007115882E-2</v>
      </c>
      <c r="H33" s="27"/>
      <c r="I33" s="27"/>
      <c r="J33" s="27"/>
      <c r="K33" s="27"/>
      <c r="L33" s="27"/>
      <c r="M33" s="27"/>
      <c r="N33" s="27"/>
      <c r="O33" s="27">
        <f t="shared" si="3"/>
        <v>2.4934620007115882E-2</v>
      </c>
      <c r="P33" s="27"/>
      <c r="Q33" s="27">
        <f t="shared" si="4"/>
        <v>2.6882516279125891E-2</v>
      </c>
      <c r="R33" s="28">
        <f t="shared" si="5"/>
        <v>28229.889000000003</v>
      </c>
      <c r="S33" s="24">
        <f t="shared" si="6"/>
        <v>3.794299886510492E-6</v>
      </c>
      <c r="AA33" s="24">
        <v>10</v>
      </c>
      <c r="AC33" s="24" t="s">
        <v>44</v>
      </c>
      <c r="AE33" s="24" t="s">
        <v>46</v>
      </c>
    </row>
    <row r="34" spans="1:31" s="24" customFormat="1" x14ac:dyDescent="0.2">
      <c r="A34" s="24" t="s">
        <v>67</v>
      </c>
      <c r="B34" s="29"/>
      <c r="C34" s="25">
        <v>43258.368000000002</v>
      </c>
      <c r="D34" s="25"/>
      <c r="E34" s="26">
        <f t="shared" si="0"/>
        <v>-28111.422876313543</v>
      </c>
      <c r="F34" s="24">
        <f t="shared" si="1"/>
        <v>-28111.5</v>
      </c>
      <c r="G34" s="27">
        <f t="shared" si="2"/>
        <v>2.6998529501724988E-2</v>
      </c>
      <c r="H34" s="27"/>
      <c r="I34" s="27"/>
      <c r="J34" s="27"/>
      <c r="K34" s="27"/>
      <c r="L34" s="27"/>
      <c r="M34" s="27"/>
      <c r="N34" s="27"/>
      <c r="O34" s="27">
        <f t="shared" si="3"/>
        <v>2.6998529501724988E-2</v>
      </c>
      <c r="P34" s="27"/>
      <c r="Q34" s="27">
        <f t="shared" si="4"/>
        <v>2.682692546623916E-2</v>
      </c>
      <c r="R34" s="28">
        <f t="shared" si="5"/>
        <v>28239.868000000002</v>
      </c>
      <c r="S34" s="24">
        <f t="shared" si="6"/>
        <v>2.944794499502144E-8</v>
      </c>
    </row>
    <row r="35" spans="1:31" s="24" customFormat="1" x14ac:dyDescent="0.2">
      <c r="A35" s="24" t="s">
        <v>63</v>
      </c>
      <c r="B35" s="29"/>
      <c r="C35" s="25">
        <v>43277.097199999997</v>
      </c>
      <c r="D35" s="25"/>
      <c r="E35" s="26">
        <f t="shared" si="0"/>
        <v>-28057.921260671432</v>
      </c>
      <c r="F35" s="24">
        <f t="shared" si="1"/>
        <v>-28058</v>
      </c>
      <c r="G35" s="27">
        <f t="shared" si="2"/>
        <v>2.7564113996049855E-2</v>
      </c>
      <c r="H35" s="27"/>
      <c r="I35" s="27"/>
      <c r="J35" s="27"/>
      <c r="K35" s="27"/>
      <c r="L35" s="27"/>
      <c r="M35" s="27"/>
      <c r="N35" s="27"/>
      <c r="O35" s="27">
        <f t="shared" si="3"/>
        <v>2.7564113996049855E-2</v>
      </c>
      <c r="P35" s="27"/>
      <c r="Q35" s="27">
        <f t="shared" si="4"/>
        <v>2.672272609749124E-2</v>
      </c>
      <c r="R35" s="28">
        <f t="shared" si="5"/>
        <v>28258.597199999997</v>
      </c>
      <c r="S35" s="24">
        <f t="shared" si="6"/>
        <v>7.0793359584088288E-7</v>
      </c>
    </row>
    <row r="36" spans="1:31" s="24" customFormat="1" x14ac:dyDescent="0.2">
      <c r="A36" s="24" t="s">
        <v>63</v>
      </c>
      <c r="B36" s="29"/>
      <c r="C36" s="25">
        <v>43280.074200000003</v>
      </c>
      <c r="D36" s="25"/>
      <c r="E36" s="26">
        <f t="shared" si="0"/>
        <v>-28049.417196975868</v>
      </c>
      <c r="F36" s="24">
        <f t="shared" si="1"/>
        <v>-28049.5</v>
      </c>
      <c r="G36" s="27">
        <f t="shared" si="2"/>
        <v>2.8986683508264832E-2</v>
      </c>
      <c r="H36" s="27"/>
      <c r="I36" s="27"/>
      <c r="J36" s="27"/>
      <c r="K36" s="27"/>
      <c r="L36" s="27"/>
      <c r="M36" s="27"/>
      <c r="N36" s="27"/>
      <c r="O36" s="27">
        <f t="shared" si="3"/>
        <v>2.8986683508264832E-2</v>
      </c>
      <c r="P36" s="27"/>
      <c r="Q36" s="27">
        <f t="shared" si="4"/>
        <v>2.6706189715233714E-2</v>
      </c>
      <c r="R36" s="28">
        <f t="shared" si="5"/>
        <v>28261.574200000003</v>
      </c>
      <c r="S36" s="24">
        <f t="shared" si="6"/>
        <v>5.2006519400534552E-6</v>
      </c>
    </row>
    <row r="37" spans="1:31" s="24" customFormat="1" x14ac:dyDescent="0.2">
      <c r="A37" s="24" t="s">
        <v>67</v>
      </c>
      <c r="B37" s="29"/>
      <c r="C37" s="25">
        <v>43292.508999999998</v>
      </c>
      <c r="D37" s="25"/>
      <c r="E37" s="26">
        <f t="shared" si="0"/>
        <v>-28013.89609141949</v>
      </c>
      <c r="F37" s="24">
        <f t="shared" si="1"/>
        <v>-28014</v>
      </c>
      <c r="G37" s="27">
        <f t="shared" si="2"/>
        <v>3.6375062001752667E-2</v>
      </c>
      <c r="H37" s="27"/>
      <c r="I37" s="27"/>
      <c r="J37" s="27"/>
      <c r="K37" s="27"/>
      <c r="L37" s="27"/>
      <c r="M37" s="27"/>
      <c r="N37" s="27"/>
      <c r="O37" s="27">
        <f t="shared" si="3"/>
        <v>3.6375062001752667E-2</v>
      </c>
      <c r="P37" s="27"/>
      <c r="Q37" s="27">
        <f t="shared" si="4"/>
        <v>2.6637181301344119E-2</v>
      </c>
      <c r="R37" s="28">
        <f t="shared" si="5"/>
        <v>28274.008999999998</v>
      </c>
      <c r="S37" s="24">
        <f t="shared" si="6"/>
        <v>9.4826320535389277E-5</v>
      </c>
    </row>
    <row r="38" spans="1:31" s="24" customFormat="1" x14ac:dyDescent="0.2">
      <c r="A38" s="24" t="s">
        <v>67</v>
      </c>
      <c r="B38" s="29"/>
      <c r="C38" s="25">
        <v>43294.438999999998</v>
      </c>
      <c r="D38" s="25"/>
      <c r="E38" s="26">
        <f t="shared" si="0"/>
        <v>-28008.382875788855</v>
      </c>
      <c r="F38" s="24">
        <f t="shared" si="1"/>
        <v>-28008.5</v>
      </c>
      <c r="G38" s="27">
        <f t="shared" si="2"/>
        <v>4.1001430501637515E-2</v>
      </c>
      <c r="H38" s="27"/>
      <c r="I38" s="27"/>
      <c r="J38" s="27"/>
      <c r="K38" s="27"/>
      <c r="L38" s="27"/>
      <c r="M38" s="27"/>
      <c r="N38" s="27"/>
      <c r="O38" s="27">
        <f t="shared" si="3"/>
        <v>4.1001430501637515E-2</v>
      </c>
      <c r="P38" s="27"/>
      <c r="Q38" s="27">
        <f t="shared" si="4"/>
        <v>2.6626497840424732E-2</v>
      </c>
      <c r="R38" s="28">
        <f t="shared" si="5"/>
        <v>28275.938999999998</v>
      </c>
      <c r="S38" s="24">
        <f t="shared" si="6"/>
        <v>2.0663868901440202E-4</v>
      </c>
    </row>
    <row r="39" spans="1:31" s="24" customFormat="1" x14ac:dyDescent="0.2">
      <c r="A39" s="24" t="s">
        <v>67</v>
      </c>
      <c r="B39" s="29"/>
      <c r="C39" s="25">
        <v>43296.540999999997</v>
      </c>
      <c r="D39" s="25"/>
      <c r="E39" s="26">
        <f t="shared" si="0"/>
        <v>-28002.378326951759</v>
      </c>
      <c r="F39" s="24">
        <f t="shared" si="1"/>
        <v>-28002.5</v>
      </c>
      <c r="G39" s="27">
        <f t="shared" si="2"/>
        <v>4.2593832498823758E-2</v>
      </c>
      <c r="H39" s="27"/>
      <c r="I39" s="27"/>
      <c r="J39" s="27"/>
      <c r="K39" s="27"/>
      <c r="L39" s="27"/>
      <c r="M39" s="27"/>
      <c r="N39" s="27"/>
      <c r="O39" s="27">
        <f t="shared" si="3"/>
        <v>4.2593832498823758E-2</v>
      </c>
      <c r="P39" s="27"/>
      <c r="Q39" s="27">
        <f t="shared" si="4"/>
        <v>2.6614845598625918E-2</v>
      </c>
      <c r="R39" s="28">
        <f t="shared" si="5"/>
        <v>28278.040999999997</v>
      </c>
      <c r="S39" s="24">
        <f t="shared" si="6"/>
        <v>2.5532802235669417E-4</v>
      </c>
    </row>
    <row r="40" spans="1:31" s="24" customFormat="1" x14ac:dyDescent="0.2">
      <c r="A40" s="24" t="s">
        <v>68</v>
      </c>
      <c r="B40" s="29"/>
      <c r="C40" s="25">
        <v>43657.444000000003</v>
      </c>
      <c r="D40" s="25"/>
      <c r="E40" s="26">
        <f t="shared" si="0"/>
        <v>-26971.427000141699</v>
      </c>
      <c r="F40" s="24">
        <f t="shared" si="1"/>
        <v>-26971.5</v>
      </c>
      <c r="G40" s="27">
        <f t="shared" si="2"/>
        <v>2.5554909501806833E-2</v>
      </c>
      <c r="H40" s="27"/>
      <c r="I40" s="27"/>
      <c r="J40" s="27"/>
      <c r="K40" s="27"/>
      <c r="L40" s="27"/>
      <c r="M40" s="27"/>
      <c r="N40" s="27"/>
      <c r="O40" s="27">
        <f t="shared" si="3"/>
        <v>2.5554909501806833E-2</v>
      </c>
      <c r="P40" s="27"/>
      <c r="Q40" s="27">
        <f t="shared" si="4"/>
        <v>2.4650453580134193E-2</v>
      </c>
      <c r="R40" s="28">
        <f t="shared" si="5"/>
        <v>28638.944000000003</v>
      </c>
      <c r="S40" s="24">
        <f t="shared" si="6"/>
        <v>8.1804051424870364E-7</v>
      </c>
    </row>
    <row r="41" spans="1:31" s="24" customFormat="1" x14ac:dyDescent="0.2">
      <c r="A41" s="24" t="s">
        <v>64</v>
      </c>
      <c r="B41" s="29"/>
      <c r="C41" s="25">
        <v>44053.543899999997</v>
      </c>
      <c r="D41" s="25"/>
      <c r="E41" s="26">
        <f t="shared" si="0"/>
        <v>-25839.932616735852</v>
      </c>
      <c r="F41" s="24">
        <f t="shared" si="1"/>
        <v>-25840</v>
      </c>
      <c r="G41" s="27">
        <f t="shared" si="2"/>
        <v>2.3588719996041618E-2</v>
      </c>
      <c r="H41" s="27"/>
      <c r="I41" s="27"/>
      <c r="J41" s="27"/>
      <c r="K41" s="27"/>
      <c r="L41" s="27"/>
      <c r="M41" s="27"/>
      <c r="N41" s="27"/>
      <c r="O41" s="27">
        <f t="shared" si="3"/>
        <v>2.3588719996041618E-2</v>
      </c>
      <c r="P41" s="27"/>
      <c r="Q41" s="27">
        <f t="shared" si="4"/>
        <v>2.2581203892675299E-2</v>
      </c>
      <c r="R41" s="28">
        <f t="shared" si="5"/>
        <v>29035.043899999997</v>
      </c>
      <c r="S41" s="24">
        <f t="shared" si="6"/>
        <v>1.015088698542451E-6</v>
      </c>
    </row>
    <row r="42" spans="1:31" s="24" customFormat="1" x14ac:dyDescent="0.2">
      <c r="A42" s="24" t="s">
        <v>64</v>
      </c>
      <c r="B42" s="29"/>
      <c r="C42" s="25">
        <v>44129.335299999999</v>
      </c>
      <c r="D42" s="25"/>
      <c r="E42" s="26">
        <f t="shared" si="0"/>
        <v>-25623.427781944254</v>
      </c>
      <c r="F42" s="24">
        <f t="shared" si="1"/>
        <v>-25623.5</v>
      </c>
      <c r="G42" s="27">
        <f t="shared" si="2"/>
        <v>2.5281225498474669E-2</v>
      </c>
      <c r="H42" s="27"/>
      <c r="I42" s="27"/>
      <c r="J42" s="27"/>
      <c r="K42" s="27"/>
      <c r="L42" s="27"/>
      <c r="M42" s="27"/>
      <c r="N42" s="27"/>
      <c r="O42" s="27">
        <f t="shared" si="3"/>
        <v>2.5281225498474669E-2</v>
      </c>
      <c r="P42" s="27"/>
      <c r="Q42" s="27">
        <f t="shared" si="4"/>
        <v>2.2195608094379978E-2</v>
      </c>
      <c r="R42" s="28">
        <f t="shared" si="5"/>
        <v>29110.835299999999</v>
      </c>
      <c r="S42" s="24">
        <f t="shared" si="6"/>
        <v>9.5210347644520567E-6</v>
      </c>
    </row>
    <row r="43" spans="1:31" s="24" customFormat="1" x14ac:dyDescent="0.2">
      <c r="A43" s="24" t="s">
        <v>64</v>
      </c>
      <c r="B43" s="29"/>
      <c r="C43" s="25">
        <v>44140.361100000002</v>
      </c>
      <c r="D43" s="25"/>
      <c r="E43" s="26">
        <f t="shared" si="0"/>
        <v>-25591.93160945706</v>
      </c>
      <c r="F43" s="24">
        <f t="shared" si="1"/>
        <v>-25592</v>
      </c>
      <c r="G43" s="27">
        <f t="shared" si="2"/>
        <v>2.3941336003190372E-2</v>
      </c>
      <c r="H43" s="27"/>
      <c r="I43" s="27"/>
      <c r="J43" s="27"/>
      <c r="K43" s="27"/>
      <c r="L43" s="27"/>
      <c r="M43" s="27"/>
      <c r="N43" s="27"/>
      <c r="O43" s="27">
        <f t="shared" si="3"/>
        <v>2.3941336003190372E-2</v>
      </c>
      <c r="P43" s="27"/>
      <c r="Q43" s="27">
        <f t="shared" si="4"/>
        <v>2.2139781813541082E-2</v>
      </c>
      <c r="R43" s="28">
        <f t="shared" si="5"/>
        <v>29121.861100000002</v>
      </c>
      <c r="S43" s="24">
        <f t="shared" si="6"/>
        <v>3.2455974982429086E-6</v>
      </c>
    </row>
    <row r="44" spans="1:31" s="24" customFormat="1" x14ac:dyDescent="0.2">
      <c r="A44" s="24" t="s">
        <v>64</v>
      </c>
      <c r="B44" s="29"/>
      <c r="C44" s="25">
        <v>44344.448700000001</v>
      </c>
      <c r="D44" s="25"/>
      <c r="E44" s="26">
        <f t="shared" si="0"/>
        <v>-25008.937336742572</v>
      </c>
      <c r="F44" s="24">
        <f t="shared" si="1"/>
        <v>-25009</v>
      </c>
      <c r="G44" s="27">
        <f t="shared" si="2"/>
        <v>2.1936397002718877E-2</v>
      </c>
      <c r="H44" s="27"/>
      <c r="I44" s="27"/>
      <c r="J44" s="27"/>
      <c r="K44" s="27"/>
      <c r="L44" s="27"/>
      <c r="M44" s="27"/>
      <c r="N44" s="27"/>
      <c r="O44" s="27">
        <f t="shared" si="3"/>
        <v>2.1936397002718877E-2</v>
      </c>
      <c r="P44" s="27"/>
      <c r="Q44" s="27">
        <f t="shared" si="4"/>
        <v>2.1119235974991265E-2</v>
      </c>
      <c r="R44" s="28">
        <f t="shared" si="5"/>
        <v>29325.948700000001</v>
      </c>
      <c r="S44" s="24">
        <f t="shared" si="6"/>
        <v>6.6775214523684728E-7</v>
      </c>
    </row>
    <row r="45" spans="1:31" s="24" customFormat="1" x14ac:dyDescent="0.2">
      <c r="A45" s="24" t="s">
        <v>64</v>
      </c>
      <c r="B45" s="29"/>
      <c r="C45" s="25">
        <v>44345.500599999999</v>
      </c>
      <c r="D45" s="25"/>
      <c r="E45" s="26">
        <f t="shared" si="0"/>
        <v>-25005.932491394462</v>
      </c>
      <c r="F45" s="24">
        <f t="shared" si="1"/>
        <v>-25006</v>
      </c>
      <c r="G45" s="27">
        <f t="shared" si="2"/>
        <v>2.3632598000403959E-2</v>
      </c>
      <c r="H45" s="27"/>
      <c r="I45" s="27"/>
      <c r="J45" s="27"/>
      <c r="K45" s="27"/>
      <c r="L45" s="27"/>
      <c r="M45" s="27"/>
      <c r="N45" s="27"/>
      <c r="O45" s="27">
        <f t="shared" si="3"/>
        <v>2.3632598000403959E-2</v>
      </c>
      <c r="P45" s="27"/>
      <c r="Q45" s="27">
        <f t="shared" si="4"/>
        <v>2.1114046691993956E-2</v>
      </c>
      <c r="R45" s="28">
        <f t="shared" si="5"/>
        <v>29327.000599999999</v>
      </c>
      <c r="S45" s="24">
        <f t="shared" si="6"/>
        <v>6.3431006930937388E-6</v>
      </c>
    </row>
    <row r="46" spans="1:31" s="24" customFormat="1" x14ac:dyDescent="0.2">
      <c r="A46" s="24" t="s">
        <v>69</v>
      </c>
      <c r="B46" s="29"/>
      <c r="C46" s="25">
        <v>44473.451200000003</v>
      </c>
      <c r="D46" s="25"/>
      <c r="E46" s="26">
        <f t="shared" si="0"/>
        <v>-24640.430290425931</v>
      </c>
      <c r="F46" s="24">
        <f t="shared" si="1"/>
        <v>-24640.5</v>
      </c>
      <c r="G46" s="27">
        <f t="shared" si="2"/>
        <v>2.4403086506936233E-2</v>
      </c>
      <c r="H46" s="27"/>
      <c r="I46" s="27"/>
      <c r="J46" s="27">
        <f>G46</f>
        <v>2.4403086506936233E-2</v>
      </c>
      <c r="K46" s="27"/>
      <c r="L46" s="27"/>
      <c r="M46" s="27"/>
      <c r="N46" s="27"/>
      <c r="O46" s="27"/>
      <c r="P46" s="27"/>
      <c r="Q46" s="27">
        <f t="shared" si="4"/>
        <v>2.0486587427259347E-2</v>
      </c>
      <c r="R46" s="28">
        <f t="shared" si="5"/>
        <v>29454.951200000003</v>
      </c>
      <c r="S46" s="24">
        <f t="shared" si="6"/>
        <v>1.5338965041109901E-5</v>
      </c>
    </row>
    <row r="47" spans="1:31" s="24" customFormat="1" x14ac:dyDescent="0.2">
      <c r="A47" s="24" t="s">
        <v>69</v>
      </c>
      <c r="B47" s="29"/>
      <c r="C47" s="25">
        <v>44474.326699999998</v>
      </c>
      <c r="D47" s="25"/>
      <c r="E47" s="26">
        <f t="shared" si="0"/>
        <v>-24637.929347273293</v>
      </c>
      <c r="F47" s="24">
        <f t="shared" si="1"/>
        <v>-24638</v>
      </c>
      <c r="G47" s="27">
        <f t="shared" si="2"/>
        <v>2.4733254002057947E-2</v>
      </c>
      <c r="H47" s="27"/>
      <c r="I47" s="27"/>
      <c r="J47" s="27">
        <f>G47</f>
        <v>2.4733254002057947E-2</v>
      </c>
      <c r="K47" s="27"/>
      <c r="L47" s="27"/>
      <c r="M47" s="27"/>
      <c r="N47" s="27"/>
      <c r="O47" s="27"/>
      <c r="P47" s="27"/>
      <c r="Q47" s="27">
        <f t="shared" si="4"/>
        <v>2.0482328211429771E-2</v>
      </c>
      <c r="R47" s="28">
        <f t="shared" si="5"/>
        <v>29455.826699999998</v>
      </c>
      <c r="S47" s="24">
        <f t="shared" si="6"/>
        <v>1.807037007742779E-5</v>
      </c>
    </row>
    <row r="48" spans="1:31" s="24" customFormat="1" x14ac:dyDescent="0.2">
      <c r="A48" s="24" t="s">
        <v>29</v>
      </c>
      <c r="B48" s="29"/>
      <c r="C48" s="25">
        <v>44474.326999999997</v>
      </c>
      <c r="D48" s="25" t="s">
        <v>31</v>
      </c>
      <c r="E48" s="26">
        <f t="shared" si="0"/>
        <v>-24637.92849029677</v>
      </c>
      <c r="F48" s="24">
        <f t="shared" si="1"/>
        <v>-24638</v>
      </c>
      <c r="G48" s="27"/>
      <c r="H48" s="27">
        <f>+C48-(C$7+F48*C$8)</f>
        <v>2.5033254001755267E-2</v>
      </c>
      <c r="I48" s="27"/>
      <c r="J48" s="27"/>
      <c r="K48" s="27"/>
      <c r="L48" s="27"/>
      <c r="M48" s="27"/>
      <c r="N48" s="27"/>
      <c r="O48" s="27"/>
      <c r="P48" s="27"/>
      <c r="Q48" s="27">
        <f t="shared" si="4"/>
        <v>2.0482328211429771E-2</v>
      </c>
      <c r="R48" s="28">
        <f t="shared" si="5"/>
        <v>29455.826999999997</v>
      </c>
      <c r="S48" s="24">
        <f t="shared" si="6"/>
        <v>4.1952576896073186E-4</v>
      </c>
    </row>
    <row r="49" spans="1:19" s="24" customFormat="1" x14ac:dyDescent="0.2">
      <c r="A49" s="24" t="s">
        <v>69</v>
      </c>
      <c r="B49" s="29"/>
      <c r="C49" s="25">
        <v>44475.378100000002</v>
      </c>
      <c r="D49" s="25"/>
      <c r="E49" s="26">
        <f t="shared" si="0"/>
        <v>-24634.925930219368</v>
      </c>
      <c r="F49" s="24">
        <f t="shared" si="1"/>
        <v>-24635</v>
      </c>
      <c r="G49" s="27">
        <f t="shared" ref="G49:G80" si="7">+C49-(C$7+F49*C$8)</f>
        <v>2.5929455005098134E-2</v>
      </c>
      <c r="H49" s="27"/>
      <c r="I49" s="27"/>
      <c r="J49" s="27">
        <f t="shared" ref="J49:J55" si="8">G49</f>
        <v>2.5929455005098134E-2</v>
      </c>
      <c r="K49" s="27"/>
      <c r="L49" s="27"/>
      <c r="M49" s="27"/>
      <c r="N49" s="27"/>
      <c r="O49" s="27"/>
      <c r="P49" s="27"/>
      <c r="Q49" s="27">
        <f t="shared" si="4"/>
        <v>2.0477217736591793E-2</v>
      </c>
      <c r="R49" s="28">
        <f t="shared" si="5"/>
        <v>29456.878100000002</v>
      </c>
      <c r="S49" s="24">
        <f t="shared" si="6"/>
        <v>2.9726891232089484E-5</v>
      </c>
    </row>
    <row r="50" spans="1:19" s="24" customFormat="1" x14ac:dyDescent="0.2">
      <c r="A50" s="24" t="s">
        <v>69</v>
      </c>
      <c r="B50" s="29"/>
      <c r="C50" s="25">
        <v>44476.4283</v>
      </c>
      <c r="D50" s="25"/>
      <c r="E50" s="26">
        <f t="shared" si="0"/>
        <v>-24631.925941071553</v>
      </c>
      <c r="F50" s="24">
        <f t="shared" si="1"/>
        <v>-24632</v>
      </c>
      <c r="G50" s="27">
        <f t="shared" si="7"/>
        <v>2.5925656002073083E-2</v>
      </c>
      <c r="H50" s="27"/>
      <c r="I50" s="27"/>
      <c r="J50" s="27">
        <f t="shared" si="8"/>
        <v>2.5925656002073083E-2</v>
      </c>
      <c r="K50" s="27"/>
      <c r="L50" s="27"/>
      <c r="M50" s="27"/>
      <c r="N50" s="27"/>
      <c r="O50" s="27"/>
      <c r="P50" s="27"/>
      <c r="Q50" s="27">
        <f t="shared" si="4"/>
        <v>2.0472107899016559E-2</v>
      </c>
      <c r="R50" s="28">
        <f t="shared" si="5"/>
        <v>29457.9283</v>
      </c>
      <c r="S50" s="24">
        <f t="shared" si="6"/>
        <v>2.9741186912351413E-5</v>
      </c>
    </row>
    <row r="51" spans="1:19" s="24" customFormat="1" x14ac:dyDescent="0.2">
      <c r="A51" s="24" t="s">
        <v>69</v>
      </c>
      <c r="B51" s="29"/>
      <c r="C51" s="25">
        <v>44478.352899999998</v>
      </c>
      <c r="D51" s="25"/>
      <c r="E51" s="26">
        <f t="shared" si="0"/>
        <v>-24626.428151018335</v>
      </c>
      <c r="F51" s="24">
        <f t="shared" si="1"/>
        <v>-24626.5</v>
      </c>
      <c r="G51" s="27">
        <f t="shared" si="7"/>
        <v>2.515202450013021E-2</v>
      </c>
      <c r="H51" s="27"/>
      <c r="I51" s="27"/>
      <c r="J51" s="27">
        <f t="shared" si="8"/>
        <v>2.515202450013021E-2</v>
      </c>
      <c r="K51" s="27"/>
      <c r="L51" s="27"/>
      <c r="M51" s="27"/>
      <c r="N51" s="27"/>
      <c r="O51" s="27"/>
      <c r="P51" s="27"/>
      <c r="Q51" s="27">
        <f t="shared" si="4"/>
        <v>2.0462741518574926E-2</v>
      </c>
      <c r="R51" s="28">
        <f t="shared" si="5"/>
        <v>29459.852899999998</v>
      </c>
      <c r="S51" s="24">
        <f t="shared" si="6"/>
        <v>2.198937488110402E-5</v>
      </c>
    </row>
    <row r="52" spans="1:19" s="24" customFormat="1" x14ac:dyDescent="0.2">
      <c r="A52" s="24" t="s">
        <v>69</v>
      </c>
      <c r="B52" s="29"/>
      <c r="C52" s="25">
        <v>44480.277199999997</v>
      </c>
      <c r="D52" s="25"/>
      <c r="E52" s="26">
        <f t="shared" si="0"/>
        <v>-24620.931217941637</v>
      </c>
      <c r="F52" s="24">
        <f t="shared" si="1"/>
        <v>-24621</v>
      </c>
      <c r="G52" s="27">
        <f t="shared" si="7"/>
        <v>2.4078392998490017E-2</v>
      </c>
      <c r="H52" s="27"/>
      <c r="I52" s="27"/>
      <c r="J52" s="27">
        <f t="shared" si="8"/>
        <v>2.4078392998490017E-2</v>
      </c>
      <c r="K52" s="27"/>
      <c r="L52" s="27"/>
      <c r="M52" s="27"/>
      <c r="N52" s="27"/>
      <c r="O52" s="27"/>
      <c r="P52" s="27"/>
      <c r="Q52" s="27">
        <f t="shared" si="4"/>
        <v>2.0453377280044184E-2</v>
      </c>
      <c r="R52" s="28">
        <f t="shared" si="5"/>
        <v>29461.777199999997</v>
      </c>
      <c r="S52" s="24">
        <f t="shared" si="6"/>
        <v>1.3140738958979358E-5</v>
      </c>
    </row>
    <row r="53" spans="1:19" s="24" customFormat="1" x14ac:dyDescent="0.2">
      <c r="A53" s="24" t="s">
        <v>69</v>
      </c>
      <c r="B53" s="29"/>
      <c r="C53" s="25">
        <v>44480.453099999999</v>
      </c>
      <c r="D53" s="25"/>
      <c r="E53" s="26">
        <f t="shared" ref="E53:E84" si="9">+(C53-C$7)/C$8</f>
        <v>-24620.428744040375</v>
      </c>
      <c r="F53" s="24">
        <f t="shared" ref="F53:F84" si="10">ROUND(2*E53,0)/2</f>
        <v>-24620.5</v>
      </c>
      <c r="G53" s="27">
        <f t="shared" si="7"/>
        <v>2.4944426499132533E-2</v>
      </c>
      <c r="H53" s="27"/>
      <c r="I53" s="27"/>
      <c r="J53" s="27">
        <f t="shared" si="8"/>
        <v>2.4944426499132533E-2</v>
      </c>
      <c r="K53" s="27"/>
      <c r="L53" s="27"/>
      <c r="M53" s="27"/>
      <c r="N53" s="27"/>
      <c r="O53" s="27"/>
      <c r="P53" s="27"/>
      <c r="Q53" s="27">
        <f t="shared" ref="Q53:Q84" si="11">+D$11+D$12*F53+D$13*F53^2</f>
        <v>2.0452526091842754E-2</v>
      </c>
      <c r="R53" s="28">
        <f t="shared" ref="R53:R84" si="12">+C53-15018.5</f>
        <v>29461.953099999999</v>
      </c>
      <c r="S53" s="24">
        <f t="shared" ref="S53:S84" si="13">+(Q53-G53)^2</f>
        <v>2.0177169269010077E-5</v>
      </c>
    </row>
    <row r="54" spans="1:19" s="24" customFormat="1" x14ac:dyDescent="0.2">
      <c r="A54" s="24" t="s">
        <v>69</v>
      </c>
      <c r="B54" s="29"/>
      <c r="C54" s="25">
        <v>44500.405100000004</v>
      </c>
      <c r="D54" s="25"/>
      <c r="E54" s="26">
        <f t="shared" si="9"/>
        <v>-24563.434092090905</v>
      </c>
      <c r="F54" s="24">
        <f t="shared" si="10"/>
        <v>-24563.5</v>
      </c>
      <c r="G54" s="27">
        <f t="shared" si="7"/>
        <v>2.30722455016803E-2</v>
      </c>
      <c r="H54" s="27"/>
      <c r="I54" s="27"/>
      <c r="J54" s="27">
        <f t="shared" si="8"/>
        <v>2.30722455016803E-2</v>
      </c>
      <c r="K54" s="27"/>
      <c r="L54" s="27"/>
      <c r="M54" s="27"/>
      <c r="N54" s="27"/>
      <c r="O54" s="27"/>
      <c r="P54" s="27"/>
      <c r="Q54" s="27">
        <f t="shared" si="11"/>
        <v>2.0355606671804527E-2</v>
      </c>
      <c r="R54" s="28">
        <f t="shared" si="12"/>
        <v>29481.905100000004</v>
      </c>
      <c r="S54" s="24">
        <f t="shared" si="13"/>
        <v>7.3801265319888073E-6</v>
      </c>
    </row>
    <row r="55" spans="1:19" s="24" customFormat="1" x14ac:dyDescent="0.2">
      <c r="A55" s="24" t="s">
        <v>69</v>
      </c>
      <c r="B55" s="29"/>
      <c r="C55" s="25">
        <v>44506.357799999998</v>
      </c>
      <c r="D55" s="25"/>
      <c r="E55" s="26">
        <f t="shared" si="9"/>
        <v>-24546.429678264762</v>
      </c>
      <c r="F55" s="24">
        <f t="shared" si="10"/>
        <v>-24546.5</v>
      </c>
      <c r="G55" s="27">
        <f t="shared" si="7"/>
        <v>2.4617384500743356E-2</v>
      </c>
      <c r="H55" s="27"/>
      <c r="I55" s="27"/>
      <c r="J55" s="27">
        <f t="shared" si="8"/>
        <v>2.4617384500743356E-2</v>
      </c>
      <c r="K55" s="27"/>
      <c r="L55" s="27"/>
      <c r="M55" s="27"/>
      <c r="N55" s="27"/>
      <c r="O55" s="27"/>
      <c r="P55" s="27"/>
      <c r="Q55" s="27">
        <f t="shared" si="11"/>
        <v>2.0326745417448406E-2</v>
      </c>
      <c r="R55" s="28">
        <f t="shared" si="12"/>
        <v>29487.857799999998</v>
      </c>
      <c r="S55" s="24">
        <f t="shared" si="13"/>
        <v>1.8409583743098126E-5</v>
      </c>
    </row>
    <row r="56" spans="1:19" s="24" customFormat="1" x14ac:dyDescent="0.2">
      <c r="A56" s="24" t="s">
        <v>70</v>
      </c>
      <c r="B56" s="29"/>
      <c r="C56" s="25">
        <v>44707.453000000001</v>
      </c>
      <c r="D56" s="25"/>
      <c r="E56" s="26">
        <f t="shared" si="9"/>
        <v>-23971.983460707317</v>
      </c>
      <c r="F56" s="24">
        <f t="shared" si="10"/>
        <v>-23972</v>
      </c>
      <c r="G56" s="27">
        <f t="shared" si="7"/>
        <v>5.7898760060197674E-3</v>
      </c>
      <c r="H56" s="27"/>
      <c r="I56" s="27"/>
      <c r="J56" s="27"/>
      <c r="K56" s="27">
        <f>G56</f>
        <v>5.7898760060197674E-3</v>
      </c>
      <c r="L56" s="27"/>
      <c r="M56" s="27"/>
      <c r="N56" s="27"/>
      <c r="O56" s="27"/>
      <c r="P56" s="27"/>
      <c r="Q56" s="27">
        <f t="shared" si="11"/>
        <v>1.936343548977024E-2</v>
      </c>
      <c r="R56" s="28">
        <f t="shared" si="12"/>
        <v>29688.953000000001</v>
      </c>
      <c r="S56" s="24">
        <f t="shared" si="13"/>
        <v>1.842415170589124E-4</v>
      </c>
    </row>
    <row r="57" spans="1:19" s="24" customFormat="1" x14ac:dyDescent="0.2">
      <c r="A57" s="24" t="s">
        <v>69</v>
      </c>
      <c r="B57" s="29"/>
      <c r="C57" s="25">
        <v>44752.457900000001</v>
      </c>
      <c r="D57" s="25"/>
      <c r="E57" s="26">
        <f t="shared" si="9"/>
        <v>-23843.422984989593</v>
      </c>
      <c r="F57" s="24">
        <f t="shared" si="10"/>
        <v>-23843.5</v>
      </c>
      <c r="G57" s="27">
        <f t="shared" si="7"/>
        <v>2.6960485505696852E-2</v>
      </c>
      <c r="H57" s="27"/>
      <c r="I57" s="27"/>
      <c r="J57" s="27">
        <f t="shared" ref="J57:J70" si="14">G57</f>
        <v>2.6960485505696852E-2</v>
      </c>
      <c r="K57" s="27"/>
      <c r="L57" s="27"/>
      <c r="M57" s="27"/>
      <c r="N57" s="27"/>
      <c r="O57" s="27"/>
      <c r="P57" s="27"/>
      <c r="Q57" s="27">
        <f t="shared" si="11"/>
        <v>1.9151167492139781E-2</v>
      </c>
      <c r="R57" s="28">
        <f t="shared" si="12"/>
        <v>29733.957900000001</v>
      </c>
      <c r="S57" s="24">
        <f t="shared" si="13"/>
        <v>6.0985447836866962E-5</v>
      </c>
    </row>
    <row r="58" spans="1:19" s="24" customFormat="1" x14ac:dyDescent="0.2">
      <c r="A58" s="24" t="s">
        <v>71</v>
      </c>
      <c r="B58" s="29"/>
      <c r="C58" s="25">
        <v>45739.289700000001</v>
      </c>
      <c r="D58" s="25"/>
      <c r="E58" s="26">
        <f t="shared" si="9"/>
        <v>-21024.450702829719</v>
      </c>
      <c r="F58" s="24">
        <f t="shared" si="10"/>
        <v>-21024.5</v>
      </c>
      <c r="G58" s="27">
        <f t="shared" si="7"/>
        <v>1.7257358500501141E-2</v>
      </c>
      <c r="H58" s="27"/>
      <c r="I58" s="27"/>
      <c r="J58" s="27">
        <f t="shared" si="14"/>
        <v>1.7257358500501141E-2</v>
      </c>
      <c r="K58" s="27"/>
      <c r="L58" s="27"/>
      <c r="M58" s="27"/>
      <c r="N58" s="27"/>
      <c r="O58" s="27"/>
      <c r="P58" s="27"/>
      <c r="Q58" s="27">
        <f t="shared" si="11"/>
        <v>1.4788654324329634E-2</v>
      </c>
      <c r="R58" s="28">
        <f t="shared" si="12"/>
        <v>30720.789700000001</v>
      </c>
      <c r="S58" s="24">
        <f t="shared" si="13"/>
        <v>6.0945003094466371E-6</v>
      </c>
    </row>
    <row r="59" spans="1:19" s="24" customFormat="1" x14ac:dyDescent="0.2">
      <c r="A59" s="24" t="s">
        <v>71</v>
      </c>
      <c r="B59" s="29"/>
      <c r="C59" s="25">
        <v>45740.339399999997</v>
      </c>
      <c r="D59" s="25"/>
      <c r="E59" s="26">
        <f t="shared" si="9"/>
        <v>-21021.452141976115</v>
      </c>
      <c r="F59" s="24">
        <f t="shared" si="10"/>
        <v>-21021.5</v>
      </c>
      <c r="G59" s="27">
        <f t="shared" si="7"/>
        <v>1.6753559495555237E-2</v>
      </c>
      <c r="H59" s="27"/>
      <c r="I59" s="27"/>
      <c r="J59" s="27">
        <f t="shared" si="14"/>
        <v>1.6753559495555237E-2</v>
      </c>
      <c r="K59" s="27"/>
      <c r="L59" s="27"/>
      <c r="M59" s="27"/>
      <c r="N59" s="27"/>
      <c r="O59" s="27"/>
      <c r="P59" s="27"/>
      <c r="Q59" s="27">
        <f t="shared" si="11"/>
        <v>1.4784311432466717E-2</v>
      </c>
      <c r="R59" s="28">
        <f t="shared" si="12"/>
        <v>30721.839399999997</v>
      </c>
      <c r="S59" s="24">
        <f t="shared" si="13"/>
        <v>3.8779379339778894E-6</v>
      </c>
    </row>
    <row r="60" spans="1:19" s="24" customFormat="1" x14ac:dyDescent="0.2">
      <c r="A60" s="24" t="s">
        <v>71</v>
      </c>
      <c r="B60" s="29"/>
      <c r="C60" s="25">
        <v>45740.513099999996</v>
      </c>
      <c r="D60" s="25"/>
      <c r="E60" s="26">
        <f t="shared" si="9"/>
        <v>-21020.955952569358</v>
      </c>
      <c r="F60" s="24">
        <f t="shared" si="10"/>
        <v>-21021</v>
      </c>
      <c r="G60" s="27">
        <f t="shared" si="7"/>
        <v>1.5419593000842724E-2</v>
      </c>
      <c r="H60" s="27"/>
      <c r="I60" s="27"/>
      <c r="J60" s="27">
        <f t="shared" si="14"/>
        <v>1.5419593000842724E-2</v>
      </c>
      <c r="K60" s="27"/>
      <c r="L60" s="27"/>
      <c r="M60" s="27"/>
      <c r="N60" s="27"/>
      <c r="O60" s="27"/>
      <c r="P60" s="27"/>
      <c r="Q60" s="27">
        <f t="shared" si="11"/>
        <v>1.4783587679112331E-2</v>
      </c>
      <c r="R60" s="28">
        <f t="shared" si="12"/>
        <v>30722.013099999996</v>
      </c>
      <c r="S60" s="24">
        <f t="shared" si="13"/>
        <v>4.0450276926938018E-7</v>
      </c>
    </row>
    <row r="61" spans="1:19" s="24" customFormat="1" x14ac:dyDescent="0.2">
      <c r="A61" s="24" t="s">
        <v>71</v>
      </c>
      <c r="B61" s="29"/>
      <c r="C61" s="25">
        <v>45753.292000000001</v>
      </c>
      <c r="D61" s="25"/>
      <c r="E61" s="26">
        <f t="shared" si="9"/>
        <v>-20984.451894941194</v>
      </c>
      <c r="F61" s="24">
        <f t="shared" si="10"/>
        <v>-20984.5</v>
      </c>
      <c r="G61" s="27">
        <f t="shared" si="7"/>
        <v>1.6840038500959054E-2</v>
      </c>
      <c r="H61" s="27"/>
      <c r="I61" s="27"/>
      <c r="J61" s="27">
        <f t="shared" si="14"/>
        <v>1.6840038500959054E-2</v>
      </c>
      <c r="K61" s="27"/>
      <c r="L61" s="27"/>
      <c r="M61" s="27"/>
      <c r="N61" s="27"/>
      <c r="O61" s="27"/>
      <c r="P61" s="27"/>
      <c r="Q61" s="27">
        <f t="shared" si="11"/>
        <v>1.4730801496649699E-2</v>
      </c>
      <c r="R61" s="28">
        <f t="shared" si="12"/>
        <v>30734.792000000001</v>
      </c>
      <c r="S61" s="24">
        <f t="shared" si="13"/>
        <v>4.4488807403479017E-6</v>
      </c>
    </row>
    <row r="62" spans="1:19" s="24" customFormat="1" x14ac:dyDescent="0.2">
      <c r="A62" s="24" t="s">
        <v>71</v>
      </c>
      <c r="B62" s="29"/>
      <c r="C62" s="25">
        <v>45761.519099999998</v>
      </c>
      <c r="D62" s="25"/>
      <c r="E62" s="26">
        <f t="shared" si="9"/>
        <v>-20960.950456436123</v>
      </c>
      <c r="F62" s="24">
        <f t="shared" si="10"/>
        <v>-20961</v>
      </c>
      <c r="G62" s="27">
        <f t="shared" si="7"/>
        <v>1.7343612998956814E-2</v>
      </c>
      <c r="H62" s="27"/>
      <c r="I62" s="27"/>
      <c r="J62" s="27">
        <f t="shared" si="14"/>
        <v>1.7343612998956814E-2</v>
      </c>
      <c r="K62" s="27"/>
      <c r="L62" s="27"/>
      <c r="M62" s="27"/>
      <c r="N62" s="27"/>
      <c r="O62" s="27"/>
      <c r="P62" s="27"/>
      <c r="Q62" s="27">
        <f t="shared" si="11"/>
        <v>1.4696865791239383E-2</v>
      </c>
      <c r="R62" s="28">
        <f t="shared" si="12"/>
        <v>30743.019099999998</v>
      </c>
      <c r="S62" s="24">
        <f t="shared" si="13"/>
        <v>7.0052707815600204E-6</v>
      </c>
    </row>
    <row r="63" spans="1:19" s="24" customFormat="1" x14ac:dyDescent="0.2">
      <c r="A63" s="24" t="s">
        <v>71</v>
      </c>
      <c r="B63" s="29"/>
      <c r="C63" s="25">
        <v>45762.2192</v>
      </c>
      <c r="D63" s="25"/>
      <c r="E63" s="26">
        <f t="shared" si="9"/>
        <v>-20958.950558890519</v>
      </c>
      <c r="F63" s="24">
        <f t="shared" si="10"/>
        <v>-20959</v>
      </c>
      <c r="G63" s="27">
        <f t="shared" si="7"/>
        <v>1.7307747002632823E-2</v>
      </c>
      <c r="H63" s="27"/>
      <c r="I63" s="27"/>
      <c r="J63" s="27">
        <f t="shared" si="14"/>
        <v>1.7307747002632823E-2</v>
      </c>
      <c r="K63" s="27"/>
      <c r="L63" s="27"/>
      <c r="M63" s="27"/>
      <c r="N63" s="27"/>
      <c r="O63" s="27"/>
      <c r="P63" s="27"/>
      <c r="Q63" s="27">
        <f t="shared" si="11"/>
        <v>1.4693979451675854E-2</v>
      </c>
      <c r="R63" s="28">
        <f t="shared" si="12"/>
        <v>30743.7192</v>
      </c>
      <c r="S63" s="24">
        <f t="shared" si="13"/>
        <v>6.8317808104355901E-6</v>
      </c>
    </row>
    <row r="64" spans="1:19" s="24" customFormat="1" x14ac:dyDescent="0.2">
      <c r="A64" s="24" t="s">
        <v>71</v>
      </c>
      <c r="B64" s="29"/>
      <c r="C64" s="25">
        <v>45762.393700000001</v>
      </c>
      <c r="D64" s="25"/>
      <c r="E64" s="26">
        <f t="shared" si="9"/>
        <v>-20958.45208421303</v>
      </c>
      <c r="F64" s="24">
        <f t="shared" si="10"/>
        <v>-20958.5</v>
      </c>
      <c r="G64" s="27">
        <f t="shared" si="7"/>
        <v>1.6773780502262525E-2</v>
      </c>
      <c r="H64" s="27"/>
      <c r="I64" s="27"/>
      <c r="J64" s="27">
        <f t="shared" si="14"/>
        <v>1.6773780502262525E-2</v>
      </c>
      <c r="K64" s="27"/>
      <c r="L64" s="27"/>
      <c r="M64" s="27"/>
      <c r="N64" s="27"/>
      <c r="O64" s="27"/>
      <c r="P64" s="27"/>
      <c r="Q64" s="27">
        <f t="shared" si="11"/>
        <v>1.4693257911039329E-2</v>
      </c>
      <c r="R64" s="28">
        <f t="shared" si="12"/>
        <v>30743.893700000001</v>
      </c>
      <c r="S64" s="24">
        <f t="shared" si="13"/>
        <v>4.3285742525900852E-6</v>
      </c>
    </row>
    <row r="65" spans="1:19" s="24" customFormat="1" x14ac:dyDescent="0.2">
      <c r="A65" s="24" t="s">
        <v>71</v>
      </c>
      <c r="B65" s="29"/>
      <c r="C65" s="25">
        <v>45763.273099999999</v>
      </c>
      <c r="D65" s="25"/>
      <c r="E65" s="26">
        <f t="shared" si="9"/>
        <v>-20955.940000365586</v>
      </c>
      <c r="F65" s="24">
        <f t="shared" si="10"/>
        <v>-20956</v>
      </c>
      <c r="G65" s="27">
        <f t="shared" si="7"/>
        <v>2.1003948000725359E-2</v>
      </c>
      <c r="H65" s="27"/>
      <c r="I65" s="27"/>
      <c r="J65" s="27">
        <f t="shared" si="14"/>
        <v>2.1003948000725359E-2</v>
      </c>
      <c r="K65" s="27"/>
      <c r="L65" s="27"/>
      <c r="M65" s="27"/>
      <c r="N65" s="27"/>
      <c r="O65" s="27"/>
      <c r="P65" s="27"/>
      <c r="Q65" s="27">
        <f t="shared" si="11"/>
        <v>1.4689650473382847E-2</v>
      </c>
      <c r="R65" s="28">
        <f t="shared" si="12"/>
        <v>30744.773099999999</v>
      </c>
      <c r="S65" s="24">
        <f t="shared" si="13"/>
        <v>3.9870353263803758E-5</v>
      </c>
    </row>
    <row r="66" spans="1:19" s="24" customFormat="1" x14ac:dyDescent="0.2">
      <c r="A66" s="24" t="s">
        <v>71</v>
      </c>
      <c r="B66" s="29"/>
      <c r="C66" s="25">
        <v>45802.302600000003</v>
      </c>
      <c r="D66" s="25"/>
      <c r="E66" s="26">
        <f t="shared" si="9"/>
        <v>-20844.448783030908</v>
      </c>
      <c r="F66" s="24">
        <f t="shared" si="10"/>
        <v>-20844.5</v>
      </c>
      <c r="G66" s="27">
        <f t="shared" si="7"/>
        <v>1.7929418507264927E-2</v>
      </c>
      <c r="H66" s="27"/>
      <c r="I66" s="27"/>
      <c r="J66" s="27">
        <f t="shared" si="14"/>
        <v>1.7929418507264927E-2</v>
      </c>
      <c r="K66" s="27"/>
      <c r="L66" s="27"/>
      <c r="M66" s="27"/>
      <c r="N66" s="27"/>
      <c r="O66" s="27"/>
      <c r="P66" s="27"/>
      <c r="Q66" s="27">
        <f t="shared" si="11"/>
        <v>1.4529208767611424E-2</v>
      </c>
      <c r="R66" s="28">
        <f t="shared" si="12"/>
        <v>30783.802600000003</v>
      </c>
      <c r="S66" s="24">
        <f t="shared" si="13"/>
        <v>1.1561426273634543E-5</v>
      </c>
    </row>
    <row r="67" spans="1:19" s="24" customFormat="1" x14ac:dyDescent="0.2">
      <c r="A67" s="24" t="s">
        <v>71</v>
      </c>
      <c r="B67" s="29"/>
      <c r="C67" s="25">
        <v>45813.329100000003</v>
      </c>
      <c r="D67" s="25"/>
      <c r="E67" s="26">
        <f t="shared" si="9"/>
        <v>-20812.950610931839</v>
      </c>
      <c r="F67" s="24">
        <f t="shared" si="10"/>
        <v>-20813</v>
      </c>
      <c r="G67" s="27">
        <f t="shared" si="7"/>
        <v>1.7289529001573101E-2</v>
      </c>
      <c r="H67" s="27"/>
      <c r="I67" s="27"/>
      <c r="J67" s="27">
        <f t="shared" si="14"/>
        <v>1.7289529001573101E-2</v>
      </c>
      <c r="K67" s="27"/>
      <c r="L67" s="27"/>
      <c r="M67" s="27"/>
      <c r="N67" s="27"/>
      <c r="O67" s="27"/>
      <c r="P67" s="27"/>
      <c r="Q67" s="27">
        <f t="shared" si="11"/>
        <v>1.4484041662058834E-2</v>
      </c>
      <c r="R67" s="28">
        <f t="shared" si="12"/>
        <v>30794.829100000003</v>
      </c>
      <c r="S67" s="24">
        <f t="shared" si="13"/>
        <v>7.8707592121748352E-6</v>
      </c>
    </row>
    <row r="68" spans="1:19" s="24" customFormat="1" x14ac:dyDescent="0.2">
      <c r="A68" s="24" t="s">
        <v>71</v>
      </c>
      <c r="B68" s="29"/>
      <c r="C68" s="25">
        <v>45814.379200000003</v>
      </c>
      <c r="D68" s="25"/>
      <c r="E68" s="26">
        <f t="shared" si="9"/>
        <v>-20809.950907442857</v>
      </c>
      <c r="F68" s="24">
        <f t="shared" si="10"/>
        <v>-20810</v>
      </c>
      <c r="G68" s="27">
        <f t="shared" si="7"/>
        <v>1.718573000835022E-2</v>
      </c>
      <c r="H68" s="27"/>
      <c r="I68" s="27"/>
      <c r="J68" s="27">
        <f t="shared" si="14"/>
        <v>1.718573000835022E-2</v>
      </c>
      <c r="K68" s="27"/>
      <c r="L68" s="27"/>
      <c r="M68" s="27"/>
      <c r="N68" s="27"/>
      <c r="O68" s="27"/>
      <c r="P68" s="27"/>
      <c r="Q68" s="27">
        <f t="shared" si="11"/>
        <v>1.4479743697219365E-2</v>
      </c>
      <c r="R68" s="28">
        <f t="shared" si="12"/>
        <v>30795.879200000003</v>
      </c>
      <c r="S68" s="24">
        <f t="shared" si="13"/>
        <v>7.3223619160275683E-6</v>
      </c>
    </row>
    <row r="69" spans="1:19" s="24" customFormat="1" x14ac:dyDescent="0.2">
      <c r="A69" s="24" t="s">
        <v>72</v>
      </c>
      <c r="B69" s="29"/>
      <c r="C69" s="25">
        <v>45857.262199999997</v>
      </c>
      <c r="D69" s="25"/>
      <c r="E69" s="26">
        <f t="shared" si="9"/>
        <v>-20687.4518266716</v>
      </c>
      <c r="F69" s="24">
        <f t="shared" si="10"/>
        <v>-20687.5</v>
      </c>
      <c r="G69" s="27">
        <f t="shared" si="7"/>
        <v>1.6863937496964354E-2</v>
      </c>
      <c r="H69" s="27"/>
      <c r="I69" s="27"/>
      <c r="J69" s="27">
        <f t="shared" si="14"/>
        <v>1.6863937496964354E-2</v>
      </c>
      <c r="K69" s="27"/>
      <c r="L69" s="27"/>
      <c r="M69" s="27"/>
      <c r="N69" s="27"/>
      <c r="O69" s="27"/>
      <c r="P69" s="27"/>
      <c r="Q69" s="27">
        <f t="shared" si="11"/>
        <v>1.4304787750613789E-2</v>
      </c>
      <c r="R69" s="28">
        <f t="shared" si="12"/>
        <v>30838.762199999997</v>
      </c>
      <c r="S69" s="24">
        <f t="shared" si="13"/>
        <v>6.5492474242461605E-6</v>
      </c>
    </row>
    <row r="70" spans="1:19" s="24" customFormat="1" x14ac:dyDescent="0.2">
      <c r="A70" s="24" t="s">
        <v>72</v>
      </c>
      <c r="B70" s="29"/>
      <c r="C70" s="25">
        <v>45860.239200000004</v>
      </c>
      <c r="D70" s="25"/>
      <c r="E70" s="26">
        <f t="shared" si="9"/>
        <v>-20678.947762976037</v>
      </c>
      <c r="F70" s="24">
        <f t="shared" si="10"/>
        <v>-20679</v>
      </c>
      <c r="G70" s="27">
        <f t="shared" si="7"/>
        <v>1.8286507001903374E-2</v>
      </c>
      <c r="H70" s="27"/>
      <c r="I70" s="27"/>
      <c r="J70" s="27">
        <f t="shared" si="14"/>
        <v>1.8286507001903374E-2</v>
      </c>
      <c r="K70" s="27"/>
      <c r="L70" s="27"/>
      <c r="M70" s="27"/>
      <c r="N70" s="27"/>
      <c r="O70" s="27"/>
      <c r="P70" s="27"/>
      <c r="Q70" s="27">
        <f t="shared" si="11"/>
        <v>1.4292687372018486E-2</v>
      </c>
      <c r="R70" s="28">
        <f t="shared" si="12"/>
        <v>30841.739200000004</v>
      </c>
      <c r="S70" s="24">
        <f t="shared" si="13"/>
        <v>1.5950595236053865E-5</v>
      </c>
    </row>
    <row r="71" spans="1:19" s="24" customFormat="1" x14ac:dyDescent="0.2">
      <c r="A71" s="24" t="s">
        <v>73</v>
      </c>
      <c r="B71" s="29"/>
      <c r="C71" s="25">
        <v>46649.440000000002</v>
      </c>
      <c r="D71" s="25"/>
      <c r="E71" s="26">
        <f t="shared" si="9"/>
        <v>-18424.525904804872</v>
      </c>
      <c r="F71" s="24">
        <f t="shared" si="10"/>
        <v>-18424.5</v>
      </c>
      <c r="G71" s="27">
        <f t="shared" si="7"/>
        <v>-9.0684414972201921E-3</v>
      </c>
      <c r="H71" s="27"/>
      <c r="I71" s="27"/>
      <c r="J71" s="27"/>
      <c r="K71" s="27">
        <f t="shared" ref="K71:K82" si="15">G71</f>
        <v>-9.0684414972201921E-3</v>
      </c>
      <c r="L71" s="27"/>
      <c r="M71" s="27"/>
      <c r="N71" s="27"/>
      <c r="O71" s="27"/>
      <c r="P71" s="27"/>
      <c r="Q71" s="27">
        <f t="shared" si="11"/>
        <v>1.1263866126443919E-2</v>
      </c>
      <c r="R71" s="28">
        <f t="shared" si="12"/>
        <v>31630.940000000002</v>
      </c>
      <c r="S71" s="24">
        <f t="shared" si="13"/>
        <v>4.1340273330330973E-4</v>
      </c>
    </row>
    <row r="72" spans="1:19" s="24" customFormat="1" x14ac:dyDescent="0.2">
      <c r="A72" s="24" t="s">
        <v>74</v>
      </c>
      <c r="B72" s="29"/>
      <c r="C72" s="25">
        <v>46649.445</v>
      </c>
      <c r="D72" s="25"/>
      <c r="E72" s="26">
        <f t="shared" si="9"/>
        <v>-18424.511621862832</v>
      </c>
      <c r="F72" s="24">
        <f t="shared" si="10"/>
        <v>-18424.5</v>
      </c>
      <c r="G72" s="27">
        <f t="shared" si="7"/>
        <v>-4.0684414998395368E-3</v>
      </c>
      <c r="H72" s="27"/>
      <c r="I72" s="27"/>
      <c r="J72" s="27"/>
      <c r="K72" s="27">
        <f t="shared" si="15"/>
        <v>-4.0684414998395368E-3</v>
      </c>
      <c r="L72" s="27"/>
      <c r="M72" s="27"/>
      <c r="N72" s="27"/>
      <c r="O72" s="27"/>
      <c r="P72" s="27"/>
      <c r="Q72" s="27">
        <f t="shared" si="11"/>
        <v>1.1263866126443919E-2</v>
      </c>
      <c r="R72" s="28">
        <f t="shared" si="12"/>
        <v>31630.945</v>
      </c>
      <c r="S72" s="24">
        <f t="shared" si="13"/>
        <v>2.3507965714698981E-4</v>
      </c>
    </row>
    <row r="73" spans="1:19" s="24" customFormat="1" x14ac:dyDescent="0.2">
      <c r="A73" s="24" t="s">
        <v>75</v>
      </c>
      <c r="B73" s="29"/>
      <c r="C73" s="25">
        <v>46649.449000000001</v>
      </c>
      <c r="D73" s="25"/>
      <c r="E73" s="26">
        <f t="shared" si="9"/>
        <v>-18424.50019550919</v>
      </c>
      <c r="F73" s="24">
        <f t="shared" si="10"/>
        <v>-18424.5</v>
      </c>
      <c r="G73" s="27">
        <f t="shared" si="7"/>
        <v>-6.8441499024629593E-5</v>
      </c>
      <c r="H73" s="27"/>
      <c r="I73" s="27"/>
      <c r="J73" s="27"/>
      <c r="K73" s="27">
        <f t="shared" si="15"/>
        <v>-6.8441499024629593E-5</v>
      </c>
      <c r="L73" s="27"/>
      <c r="M73" s="27"/>
      <c r="N73" s="27"/>
      <c r="O73" s="27"/>
      <c r="P73" s="27"/>
      <c r="Q73" s="27">
        <f t="shared" si="11"/>
        <v>1.1263866126443919E-2</v>
      </c>
      <c r="R73" s="28">
        <f t="shared" si="12"/>
        <v>31630.949000000001</v>
      </c>
      <c r="S73" s="24">
        <f t="shared" si="13"/>
        <v>1.2842119611825261E-4</v>
      </c>
    </row>
    <row r="74" spans="1:19" s="24" customFormat="1" x14ac:dyDescent="0.2">
      <c r="A74" s="24" t="s">
        <v>76</v>
      </c>
      <c r="B74" s="29"/>
      <c r="C74" s="25">
        <v>46649.451000000001</v>
      </c>
      <c r="D74" s="25"/>
      <c r="E74" s="26">
        <f t="shared" si="9"/>
        <v>-18424.494482332368</v>
      </c>
      <c r="F74" s="24">
        <f t="shared" si="10"/>
        <v>-18424.5</v>
      </c>
      <c r="G74" s="27">
        <f t="shared" si="7"/>
        <v>1.931558501382824E-3</v>
      </c>
      <c r="H74" s="27"/>
      <c r="I74" s="27"/>
      <c r="J74" s="27"/>
      <c r="K74" s="27">
        <f t="shared" si="15"/>
        <v>1.931558501382824E-3</v>
      </c>
      <c r="L74" s="27"/>
      <c r="M74" s="27"/>
      <c r="N74" s="27"/>
      <c r="O74" s="27"/>
      <c r="P74" s="27"/>
      <c r="Q74" s="27">
        <f t="shared" si="11"/>
        <v>1.1263866126443919E-2</v>
      </c>
      <c r="R74" s="28">
        <f t="shared" si="12"/>
        <v>31630.951000000001</v>
      </c>
      <c r="S74" s="24">
        <f t="shared" si="13"/>
        <v>8.7091965608773452E-5</v>
      </c>
    </row>
    <row r="75" spans="1:19" s="24" customFormat="1" x14ac:dyDescent="0.2">
      <c r="A75" s="24" t="s">
        <v>77</v>
      </c>
      <c r="B75" s="29"/>
      <c r="C75" s="25">
        <v>46649.453999999998</v>
      </c>
      <c r="D75" s="25"/>
      <c r="E75" s="26">
        <f t="shared" si="9"/>
        <v>-18424.48591256715</v>
      </c>
      <c r="F75" s="24">
        <f t="shared" si="10"/>
        <v>-18424.5</v>
      </c>
      <c r="G75" s="27">
        <f t="shared" si="7"/>
        <v>4.9315584983560257E-3</v>
      </c>
      <c r="H75" s="27"/>
      <c r="I75" s="27"/>
      <c r="J75" s="27"/>
      <c r="K75" s="27">
        <f t="shared" si="15"/>
        <v>4.9315584983560257E-3</v>
      </c>
      <c r="L75" s="27"/>
      <c r="M75" s="27"/>
      <c r="N75" s="27"/>
      <c r="O75" s="27"/>
      <c r="P75" s="27"/>
      <c r="Q75" s="27">
        <f t="shared" si="11"/>
        <v>1.1263866126443919E-2</v>
      </c>
      <c r="R75" s="28">
        <f t="shared" si="12"/>
        <v>31630.953999999998</v>
      </c>
      <c r="S75" s="24">
        <f t="shared" si="13"/>
        <v>4.009811989674012E-5</v>
      </c>
    </row>
    <row r="76" spans="1:19" s="24" customFormat="1" x14ac:dyDescent="0.2">
      <c r="A76" s="24" t="s">
        <v>78</v>
      </c>
      <c r="B76" s="29"/>
      <c r="C76" s="25">
        <v>46650.491999999998</v>
      </c>
      <c r="D76" s="25"/>
      <c r="E76" s="26">
        <f t="shared" si="9"/>
        <v>-18421.520773797925</v>
      </c>
      <c r="F76" s="24">
        <f t="shared" si="10"/>
        <v>-18421.5</v>
      </c>
      <c r="G76" s="27">
        <f t="shared" si="7"/>
        <v>-7.2722405020613223E-3</v>
      </c>
      <c r="H76" s="27"/>
      <c r="I76" s="27"/>
      <c r="J76" s="27"/>
      <c r="K76" s="27">
        <f t="shared" si="15"/>
        <v>-7.2722405020613223E-3</v>
      </c>
      <c r="L76" s="27"/>
      <c r="M76" s="27"/>
      <c r="N76" s="27"/>
      <c r="O76" s="27"/>
      <c r="P76" s="27"/>
      <c r="Q76" s="27">
        <f t="shared" si="11"/>
        <v>1.1260075528959074E-2</v>
      </c>
      <c r="R76" s="28">
        <f t="shared" si="12"/>
        <v>31631.991999999998</v>
      </c>
      <c r="S76" s="24">
        <f t="shared" si="13"/>
        <v>3.4344673747361551E-4</v>
      </c>
    </row>
    <row r="77" spans="1:19" s="24" customFormat="1" x14ac:dyDescent="0.2">
      <c r="A77" s="24" t="s">
        <v>77</v>
      </c>
      <c r="B77" s="29"/>
      <c r="C77" s="25">
        <v>46650.500999999997</v>
      </c>
      <c r="D77" s="25"/>
      <c r="E77" s="26">
        <f t="shared" si="9"/>
        <v>-18421.495064502244</v>
      </c>
      <c r="F77" s="24">
        <f t="shared" si="10"/>
        <v>-18421.5</v>
      </c>
      <c r="G77" s="27">
        <f t="shared" si="7"/>
        <v>1.7277594961342402E-3</v>
      </c>
      <c r="H77" s="27"/>
      <c r="I77" s="27"/>
      <c r="J77" s="27"/>
      <c r="K77" s="27">
        <f t="shared" si="15"/>
        <v>1.7277594961342402E-3</v>
      </c>
      <c r="L77" s="27"/>
      <c r="M77" s="27"/>
      <c r="N77" s="27"/>
      <c r="O77" s="27"/>
      <c r="P77" s="27"/>
      <c r="Q77" s="27">
        <f t="shared" si="11"/>
        <v>1.1260075528959074E-2</v>
      </c>
      <c r="R77" s="28">
        <f t="shared" si="12"/>
        <v>31632.000999999997</v>
      </c>
      <c r="S77" s="24">
        <f t="shared" si="13"/>
        <v>9.0865048949649379E-5</v>
      </c>
    </row>
    <row r="78" spans="1:19" s="24" customFormat="1" x14ac:dyDescent="0.2">
      <c r="A78" s="24" t="s">
        <v>76</v>
      </c>
      <c r="B78" s="29"/>
      <c r="C78" s="25">
        <v>46650.502</v>
      </c>
      <c r="D78" s="25"/>
      <c r="E78" s="26">
        <f t="shared" si="9"/>
        <v>-18421.492207913823</v>
      </c>
      <c r="F78" s="24">
        <f t="shared" si="10"/>
        <v>-18421.5</v>
      </c>
      <c r="G78" s="27">
        <f t="shared" si="7"/>
        <v>2.7277594999759458E-3</v>
      </c>
      <c r="H78" s="27"/>
      <c r="I78" s="27"/>
      <c r="J78" s="27"/>
      <c r="K78" s="27">
        <f t="shared" si="15"/>
        <v>2.7277594999759458E-3</v>
      </c>
      <c r="L78" s="27"/>
      <c r="M78" s="27"/>
      <c r="N78" s="27"/>
      <c r="O78" s="27"/>
      <c r="P78" s="27"/>
      <c r="Q78" s="27">
        <f t="shared" si="11"/>
        <v>1.1260075528959074E-2</v>
      </c>
      <c r="R78" s="28">
        <f t="shared" si="12"/>
        <v>31632.002</v>
      </c>
      <c r="S78" s="24">
        <f t="shared" si="13"/>
        <v>7.2800416818442413E-5</v>
      </c>
    </row>
    <row r="79" spans="1:19" s="24" customFormat="1" x14ac:dyDescent="0.2">
      <c r="A79" s="24" t="s">
        <v>74</v>
      </c>
      <c r="B79" s="29"/>
      <c r="C79" s="25">
        <v>46650.502999999997</v>
      </c>
      <c r="D79" s="25"/>
      <c r="E79" s="26">
        <f t="shared" si="9"/>
        <v>-18421.489351325421</v>
      </c>
      <c r="F79" s="24">
        <f t="shared" si="10"/>
        <v>-18421.5</v>
      </c>
      <c r="G79" s="27">
        <f t="shared" si="7"/>
        <v>3.7277594965416938E-3</v>
      </c>
      <c r="H79" s="27"/>
      <c r="I79" s="27"/>
      <c r="J79" s="27"/>
      <c r="K79" s="27">
        <f t="shared" si="15"/>
        <v>3.7277594965416938E-3</v>
      </c>
      <c r="L79" s="27"/>
      <c r="M79" s="27"/>
      <c r="N79" s="27"/>
      <c r="O79" s="27"/>
      <c r="P79" s="27"/>
      <c r="Q79" s="27">
        <f t="shared" si="11"/>
        <v>1.1260075528959074E-2</v>
      </c>
      <c r="R79" s="28">
        <f t="shared" si="12"/>
        <v>31632.002999999997</v>
      </c>
      <c r="S79" s="24">
        <f t="shared" si="13"/>
        <v>5.6735784812211907E-5</v>
      </c>
    </row>
    <row r="80" spans="1:19" s="24" customFormat="1" x14ac:dyDescent="0.2">
      <c r="A80" s="24" t="s">
        <v>79</v>
      </c>
      <c r="B80" s="29"/>
      <c r="C80" s="25">
        <v>47240.364999999998</v>
      </c>
      <c r="D80" s="25"/>
      <c r="E80" s="26">
        <f t="shared" si="9"/>
        <v>-16736.496398828967</v>
      </c>
      <c r="F80" s="24">
        <f t="shared" si="10"/>
        <v>-16736.5</v>
      </c>
      <c r="G80" s="27">
        <f t="shared" si="7"/>
        <v>1.2606544987647794E-3</v>
      </c>
      <c r="H80" s="27"/>
      <c r="I80" s="27"/>
      <c r="J80" s="27"/>
      <c r="K80" s="27">
        <f t="shared" si="15"/>
        <v>1.2606544987647794E-3</v>
      </c>
      <c r="L80" s="27"/>
      <c r="M80" s="27"/>
      <c r="N80" s="27"/>
      <c r="O80" s="27"/>
      <c r="P80" s="27"/>
      <c r="Q80" s="27">
        <f t="shared" si="11"/>
        <v>9.2317207014873774E-3</v>
      </c>
      <c r="R80" s="28">
        <f t="shared" si="12"/>
        <v>32221.864999999998</v>
      </c>
      <c r="S80" s="24">
        <f t="shared" si="13"/>
        <v>6.3537896408186461E-5</v>
      </c>
    </row>
    <row r="81" spans="1:19" s="24" customFormat="1" x14ac:dyDescent="0.2">
      <c r="A81" s="24" t="s">
        <v>80</v>
      </c>
      <c r="B81" s="29"/>
      <c r="C81" s="25">
        <v>47349.425000000003</v>
      </c>
      <c r="D81" s="25"/>
      <c r="E81" s="26">
        <f t="shared" si="9"/>
        <v>-16424.956866871882</v>
      </c>
      <c r="F81" s="24">
        <f t="shared" si="10"/>
        <v>-16425</v>
      </c>
      <c r="G81" s="27">
        <f t="shared" ref="G81:G101" si="16">+C81-(C$7+F81*C$8)</f>
        <v>1.5099525000550784E-2</v>
      </c>
      <c r="H81" s="27"/>
      <c r="I81" s="27"/>
      <c r="J81" s="27"/>
      <c r="K81" s="27">
        <f t="shared" si="15"/>
        <v>1.5099525000550784E-2</v>
      </c>
      <c r="L81" s="27"/>
      <c r="M81" s="27"/>
      <c r="N81" s="27"/>
      <c r="O81" s="27"/>
      <c r="P81" s="27"/>
      <c r="Q81" s="27">
        <f t="shared" si="11"/>
        <v>8.8787636799592586E-3</v>
      </c>
      <c r="R81" s="28">
        <f t="shared" si="12"/>
        <v>32330.925000000003</v>
      </c>
      <c r="S81" s="24">
        <f t="shared" si="13"/>
        <v>3.8697871407767619E-5</v>
      </c>
    </row>
    <row r="82" spans="1:19" s="24" customFormat="1" x14ac:dyDescent="0.2">
      <c r="A82" s="24" t="s">
        <v>81</v>
      </c>
      <c r="B82" s="29"/>
      <c r="C82" s="25">
        <v>47349.436000000002</v>
      </c>
      <c r="D82" s="25"/>
      <c r="E82" s="26">
        <f t="shared" si="9"/>
        <v>-16424.925444399378</v>
      </c>
      <c r="F82" s="24">
        <f t="shared" si="10"/>
        <v>-16425</v>
      </c>
      <c r="G82" s="27">
        <f t="shared" si="16"/>
        <v>2.60995249991538E-2</v>
      </c>
      <c r="H82" s="27"/>
      <c r="I82" s="27"/>
      <c r="J82" s="27"/>
      <c r="K82" s="27">
        <f t="shared" si="15"/>
        <v>2.60995249991538E-2</v>
      </c>
      <c r="L82" s="27"/>
      <c r="M82" s="27"/>
      <c r="N82" s="27"/>
      <c r="O82" s="27"/>
      <c r="P82" s="27"/>
      <c r="Q82" s="27">
        <f t="shared" si="11"/>
        <v>8.8787636799592586E-3</v>
      </c>
      <c r="R82" s="28">
        <f t="shared" si="12"/>
        <v>32330.936000000002</v>
      </c>
      <c r="S82" s="24">
        <f t="shared" si="13"/>
        <v>2.9655462041266686E-4</v>
      </c>
    </row>
    <row r="83" spans="1:19" s="24" customFormat="1" x14ac:dyDescent="0.2">
      <c r="A83" s="24" t="s">
        <v>52</v>
      </c>
      <c r="B83" s="29"/>
      <c r="C83" s="25">
        <v>47398.423999999999</v>
      </c>
      <c r="D83" s="25"/>
      <c r="E83" s="26">
        <f t="shared" si="9"/>
        <v>-16284.986891387161</v>
      </c>
      <c r="F83" s="24">
        <f t="shared" si="10"/>
        <v>-16285</v>
      </c>
      <c r="G83" s="27">
        <f t="shared" si="16"/>
        <v>4.5889050015830435E-3</v>
      </c>
      <c r="H83" s="27"/>
      <c r="I83" s="27"/>
      <c r="J83" s="27">
        <f t="shared" ref="J83:J88" si="17">+G83</f>
        <v>4.5889050015830435E-3</v>
      </c>
      <c r="K83" s="27"/>
      <c r="L83" s="27"/>
      <c r="M83" s="27"/>
      <c r="N83" s="27"/>
      <c r="O83" s="27"/>
      <c r="P83" s="27"/>
      <c r="Q83" s="27">
        <f t="shared" si="11"/>
        <v>8.7223691650688984E-3</v>
      </c>
      <c r="R83" s="28">
        <f t="shared" si="12"/>
        <v>32379.923999999999</v>
      </c>
      <c r="S83" s="24">
        <f t="shared" si="13"/>
        <v>1.7085525990821817E-5</v>
      </c>
    </row>
    <row r="84" spans="1:19" s="24" customFormat="1" x14ac:dyDescent="0.2">
      <c r="A84" s="24" t="s">
        <v>52</v>
      </c>
      <c r="B84" s="29"/>
      <c r="C84" s="25">
        <v>47398.4254</v>
      </c>
      <c r="D84" s="25"/>
      <c r="E84" s="26">
        <f t="shared" si="9"/>
        <v>-16284.982892163385</v>
      </c>
      <c r="F84" s="24">
        <f t="shared" si="10"/>
        <v>-16285</v>
      </c>
      <c r="G84" s="27">
        <f t="shared" si="16"/>
        <v>5.9889050025958568E-3</v>
      </c>
      <c r="H84" s="27"/>
      <c r="I84" s="27"/>
      <c r="J84" s="27">
        <f t="shared" si="17"/>
        <v>5.9889050025958568E-3</v>
      </c>
      <c r="K84" s="27"/>
      <c r="L84" s="27"/>
      <c r="M84" s="27"/>
      <c r="N84" s="27"/>
      <c r="O84" s="27"/>
      <c r="P84" s="27"/>
      <c r="Q84" s="27">
        <f t="shared" si="11"/>
        <v>8.7223691650688984E-3</v>
      </c>
      <c r="R84" s="28">
        <f t="shared" si="12"/>
        <v>32379.9254</v>
      </c>
      <c r="S84" s="24">
        <f t="shared" si="13"/>
        <v>7.4718263275244469E-6</v>
      </c>
    </row>
    <row r="85" spans="1:19" s="24" customFormat="1" x14ac:dyDescent="0.2">
      <c r="A85" s="24" t="s">
        <v>55</v>
      </c>
      <c r="B85" s="29" t="s">
        <v>48</v>
      </c>
      <c r="C85" s="25">
        <v>47668.506300000008</v>
      </c>
      <c r="D85" s="25"/>
      <c r="E85" s="26">
        <f t="shared" ref="E85:E116" si="18">+(C85-C$7)/C$8</f>
        <v>-15513.472923553927</v>
      </c>
      <c r="F85" s="24">
        <f t="shared" ref="F85:F116" si="19">ROUND(2*E85,0)/2</f>
        <v>-15513.5</v>
      </c>
      <c r="G85" s="27">
        <f t="shared" si="16"/>
        <v>9.4785955079714768E-3</v>
      </c>
      <c r="H85" s="27"/>
      <c r="I85" s="27"/>
      <c r="J85" s="27">
        <f t="shared" si="17"/>
        <v>9.4785955079714768E-3</v>
      </c>
      <c r="K85" s="27"/>
      <c r="L85" s="27"/>
      <c r="M85" s="27"/>
      <c r="N85" s="27"/>
      <c r="O85" s="27"/>
      <c r="P85" s="27"/>
      <c r="Q85" s="27">
        <f t="shared" ref="Q85:Q116" si="20">+D$11+D$12*F85+D$13*F85^2</f>
        <v>7.885420196578884E-3</v>
      </c>
      <c r="R85" s="28">
        <f t="shared" ref="R85:R116" si="21">+C85-15018.5</f>
        <v>32650.006300000008</v>
      </c>
      <c r="S85" s="24">
        <f t="shared" ref="S85:S101" si="22">+(Q85-G85)^2</f>
        <v>2.5382075728308847E-6</v>
      </c>
    </row>
    <row r="86" spans="1:19" s="24" customFormat="1" x14ac:dyDescent="0.2">
      <c r="A86" s="24" t="s">
        <v>55</v>
      </c>
      <c r="B86" s="29" t="s">
        <v>48</v>
      </c>
      <c r="C86" s="25">
        <v>47672.3572999998</v>
      </c>
      <c r="D86" s="25"/>
      <c r="E86" s="26">
        <f t="shared" si="18"/>
        <v>-15502.472201588938</v>
      </c>
      <c r="F86" s="24">
        <f t="shared" si="19"/>
        <v>-15502.5</v>
      </c>
      <c r="G86" s="27">
        <f t="shared" si="16"/>
        <v>9.7313322985428385E-3</v>
      </c>
      <c r="H86" s="27"/>
      <c r="I86" s="27"/>
      <c r="J86" s="27">
        <f t="shared" si="17"/>
        <v>9.7313322985428385E-3</v>
      </c>
      <c r="K86" s="27"/>
      <c r="L86" s="27"/>
      <c r="M86" s="27"/>
      <c r="N86" s="27"/>
      <c r="O86" s="27"/>
      <c r="P86" s="27"/>
      <c r="Q86" s="27">
        <f t="shared" si="20"/>
        <v>7.8737917646771217E-3</v>
      </c>
      <c r="R86" s="28">
        <f t="shared" si="21"/>
        <v>32653.8572999998</v>
      </c>
      <c r="S86" s="24">
        <f t="shared" si="22"/>
        <v>3.4504568349541324E-6</v>
      </c>
    </row>
    <row r="87" spans="1:19" s="24" customFormat="1" x14ac:dyDescent="0.2">
      <c r="A87" s="24" t="s">
        <v>55</v>
      </c>
      <c r="B87" s="29" t="s">
        <v>53</v>
      </c>
      <c r="C87" s="25">
        <v>47672.531599999871</v>
      </c>
      <c r="D87" s="25"/>
      <c r="E87" s="26">
        <f t="shared" si="18"/>
        <v>-15501.97429822893</v>
      </c>
      <c r="F87" s="24">
        <f t="shared" si="19"/>
        <v>-15502</v>
      </c>
      <c r="G87" s="27">
        <f t="shared" si="16"/>
        <v>8.9973658759845421E-3</v>
      </c>
      <c r="H87" s="27"/>
      <c r="I87" s="27"/>
      <c r="J87" s="27">
        <f t="shared" si="17"/>
        <v>8.9973658759845421E-3</v>
      </c>
      <c r="K87" s="27"/>
      <c r="L87" s="27"/>
      <c r="M87" s="27"/>
      <c r="N87" s="27"/>
      <c r="O87" s="27"/>
      <c r="P87" s="27"/>
      <c r="Q87" s="27">
        <f t="shared" si="20"/>
        <v>7.873263403160722E-3</v>
      </c>
      <c r="R87" s="28">
        <f t="shared" si="21"/>
        <v>32654.031599999871</v>
      </c>
      <c r="S87" s="24">
        <f t="shared" si="22"/>
        <v>1.2636063694086273E-6</v>
      </c>
    </row>
    <row r="88" spans="1:19" s="24" customFormat="1" x14ac:dyDescent="0.2">
      <c r="A88" s="24" t="s">
        <v>55</v>
      </c>
      <c r="B88" s="29" t="s">
        <v>53</v>
      </c>
      <c r="C88" s="25">
        <v>47676.379900000058</v>
      </c>
      <c r="D88" s="25"/>
      <c r="E88" s="26">
        <f t="shared" si="18"/>
        <v>-15490.981289051517</v>
      </c>
      <c r="F88" s="24">
        <f t="shared" si="19"/>
        <v>-15491</v>
      </c>
      <c r="G88" s="27">
        <f t="shared" si="16"/>
        <v>6.5501030621817335E-3</v>
      </c>
      <c r="H88" s="27"/>
      <c r="I88" s="27"/>
      <c r="J88" s="27">
        <f t="shared" si="17"/>
        <v>6.5501030621817335E-3</v>
      </c>
      <c r="K88" s="27"/>
      <c r="L88" s="27"/>
      <c r="M88" s="27"/>
      <c r="N88" s="27"/>
      <c r="O88" s="27"/>
      <c r="P88" s="27"/>
      <c r="Q88" s="27">
        <f t="shared" si="20"/>
        <v>7.8616439283408605E-3</v>
      </c>
      <c r="R88" s="28">
        <f t="shared" si="21"/>
        <v>32657.879900000058</v>
      </c>
      <c r="S88" s="24">
        <f t="shared" si="22"/>
        <v>1.720139443605433E-6</v>
      </c>
    </row>
    <row r="89" spans="1:19" s="24" customFormat="1" x14ac:dyDescent="0.2">
      <c r="A89" s="24" t="s">
        <v>59</v>
      </c>
      <c r="B89" s="29" t="s">
        <v>53</v>
      </c>
      <c r="C89" s="25">
        <v>47868.916799999999</v>
      </c>
      <c r="D89" s="25"/>
      <c r="E89" s="26">
        <f t="shared" si="18"/>
        <v>-14940.982612080608</v>
      </c>
      <c r="F89" s="24">
        <f t="shared" si="19"/>
        <v>-14941</v>
      </c>
      <c r="G89" s="27">
        <f t="shared" si="16"/>
        <v>6.0869529988849536E-3</v>
      </c>
      <c r="H89" s="27"/>
      <c r="I89" s="27"/>
      <c r="J89" s="27"/>
      <c r="K89" s="27"/>
      <c r="L89" s="27"/>
      <c r="M89" s="27">
        <f>+G89</f>
        <v>6.0869529988849536E-3</v>
      </c>
      <c r="N89" s="27"/>
      <c r="O89" s="27"/>
      <c r="P89" s="27"/>
      <c r="Q89" s="27">
        <f t="shared" si="20"/>
        <v>7.2915939328832245E-3</v>
      </c>
      <c r="R89" s="28">
        <f t="shared" si="21"/>
        <v>32850.416799999999</v>
      </c>
      <c r="S89" s="24">
        <f t="shared" si="22"/>
        <v>1.4511597798642265E-6</v>
      </c>
    </row>
    <row r="90" spans="1:19" s="24" customFormat="1" x14ac:dyDescent="0.2">
      <c r="A90" s="24" t="s">
        <v>54</v>
      </c>
      <c r="B90" s="29" t="s">
        <v>48</v>
      </c>
      <c r="C90" s="25">
        <v>48028.374499999918</v>
      </c>
      <c r="D90" s="25"/>
      <c r="E90" s="26">
        <f t="shared" si="18"/>
        <v>-14485.477594430451</v>
      </c>
      <c r="F90" s="24">
        <f t="shared" si="19"/>
        <v>-14485.5</v>
      </c>
      <c r="G90" s="27">
        <f t="shared" si="16"/>
        <v>7.8434714232571423E-3</v>
      </c>
      <c r="H90" s="27"/>
      <c r="I90" s="27"/>
      <c r="J90" s="27">
        <f>+G90</f>
        <v>7.8434714232571423E-3</v>
      </c>
      <c r="K90" s="27"/>
      <c r="L90" s="27"/>
      <c r="M90" s="27"/>
      <c r="N90" s="27"/>
      <c r="O90" s="27"/>
      <c r="P90" s="27"/>
      <c r="Q90" s="27">
        <f t="shared" si="20"/>
        <v>6.8357038735432597E-3</v>
      </c>
      <c r="R90" s="28">
        <f t="shared" si="21"/>
        <v>33009.874499999918</v>
      </c>
      <c r="S90" s="24">
        <f t="shared" si="22"/>
        <v>1.0155954342563228E-6</v>
      </c>
    </row>
    <row r="91" spans="1:19" s="24" customFormat="1" x14ac:dyDescent="0.2">
      <c r="A91" s="24" t="s">
        <v>54</v>
      </c>
      <c r="B91" s="29" t="s">
        <v>53</v>
      </c>
      <c r="C91" s="25">
        <v>48028.54889999982</v>
      </c>
      <c r="D91" s="25"/>
      <c r="E91" s="26">
        <f t="shared" si="18"/>
        <v>-14484.979405412088</v>
      </c>
      <c r="F91" s="24">
        <f t="shared" si="19"/>
        <v>-14485</v>
      </c>
      <c r="G91" s="27">
        <f t="shared" si="16"/>
        <v>7.2095048235496506E-3</v>
      </c>
      <c r="H91" s="27"/>
      <c r="I91" s="27"/>
      <c r="J91" s="27">
        <f>+G91</f>
        <v>7.2095048235496506E-3</v>
      </c>
      <c r="K91" s="27"/>
      <c r="L91" s="27"/>
      <c r="M91" s="27"/>
      <c r="N91" s="27"/>
      <c r="O91" s="27"/>
      <c r="P91" s="27"/>
      <c r="Q91" s="27">
        <f t="shared" si="20"/>
        <v>6.8352115173718909E-3</v>
      </c>
      <c r="R91" s="28">
        <f t="shared" si="21"/>
        <v>33010.04889999982</v>
      </c>
      <c r="S91" s="24">
        <f t="shared" si="22"/>
        <v>1.4009547904947819E-7</v>
      </c>
    </row>
    <row r="92" spans="1:19" s="24" customFormat="1" x14ac:dyDescent="0.2">
      <c r="A92" s="24" t="s">
        <v>54</v>
      </c>
      <c r="B92" s="29" t="s">
        <v>48</v>
      </c>
      <c r="C92" s="25">
        <v>48030.475600000005</v>
      </c>
      <c r="D92" s="25"/>
      <c r="E92" s="26">
        <f t="shared" si="18"/>
        <v>-14479.475616522674</v>
      </c>
      <c r="F92" s="24">
        <f t="shared" si="19"/>
        <v>-14479.5</v>
      </c>
      <c r="G92" s="27">
        <f t="shared" si="16"/>
        <v>8.5358735086629167E-3</v>
      </c>
      <c r="H92" s="27"/>
      <c r="I92" s="27"/>
      <c r="J92" s="27">
        <f>+G92</f>
        <v>8.5358735086629167E-3</v>
      </c>
      <c r="K92" s="27"/>
      <c r="L92" s="27"/>
      <c r="M92" s="27"/>
      <c r="N92" s="27"/>
      <c r="O92" s="27"/>
      <c r="P92" s="27"/>
      <c r="Q92" s="27">
        <f t="shared" si="20"/>
        <v>6.8297967678018663E-3</v>
      </c>
      <c r="R92" s="28">
        <f t="shared" si="21"/>
        <v>33011.975600000005</v>
      </c>
      <c r="S92" s="24">
        <f t="shared" si="22"/>
        <v>2.9106978457070638E-6</v>
      </c>
    </row>
    <row r="93" spans="1:19" s="24" customFormat="1" x14ac:dyDescent="0.2">
      <c r="A93" s="24" t="s">
        <v>54</v>
      </c>
      <c r="B93" s="29" t="s">
        <v>48</v>
      </c>
      <c r="C93" s="25">
        <v>48035.375800000038</v>
      </c>
      <c r="D93" s="25"/>
      <c r="E93" s="26">
        <f t="shared" si="18"/>
        <v>-14465.477761997585</v>
      </c>
      <c r="F93" s="24">
        <f t="shared" si="19"/>
        <v>-14465.5</v>
      </c>
      <c r="G93" s="27">
        <f t="shared" si="16"/>
        <v>7.7848115397500806E-3</v>
      </c>
      <c r="H93" s="27"/>
      <c r="I93" s="27"/>
      <c r="J93" s="27">
        <f>+G93</f>
        <v>7.7848115397500806E-3</v>
      </c>
      <c r="K93" s="27"/>
      <c r="L93" s="27"/>
      <c r="M93" s="27"/>
      <c r="N93" s="27"/>
      <c r="O93" s="27"/>
      <c r="P93" s="27"/>
      <c r="Q93" s="27">
        <f t="shared" si="20"/>
        <v>6.8160234340479643E-3</v>
      </c>
      <c r="R93" s="28">
        <f t="shared" si="21"/>
        <v>33016.875800000038</v>
      </c>
      <c r="S93" s="24">
        <f t="shared" si="22"/>
        <v>9.3855039374989483E-7</v>
      </c>
    </row>
    <row r="94" spans="1:19" s="24" customFormat="1" x14ac:dyDescent="0.2">
      <c r="A94" s="24" t="s">
        <v>82</v>
      </c>
      <c r="B94" s="29"/>
      <c r="C94" s="25">
        <v>48396.468399999998</v>
      </c>
      <c r="D94" s="25"/>
      <c r="E94" s="26">
        <f t="shared" si="18"/>
        <v>-13433.984826025184</v>
      </c>
      <c r="F94" s="24">
        <f t="shared" si="19"/>
        <v>-13434</v>
      </c>
      <c r="G94" s="27">
        <f t="shared" si="16"/>
        <v>5.3119219955988228E-3</v>
      </c>
      <c r="H94" s="27"/>
      <c r="I94" s="27"/>
      <c r="J94" s="27">
        <f t="shared" ref="J94:J99" si="23">G94</f>
        <v>5.3119219955988228E-3</v>
      </c>
      <c r="K94" s="27"/>
      <c r="L94" s="27"/>
      <c r="M94" s="27"/>
      <c r="N94" s="27"/>
      <c r="O94" s="27"/>
      <c r="P94" s="27"/>
      <c r="Q94" s="27">
        <f t="shared" si="20"/>
        <v>5.8394041754758607E-3</v>
      </c>
      <c r="R94" s="28">
        <f t="shared" si="21"/>
        <v>33377.968399999998</v>
      </c>
      <c r="S94" s="24">
        <f t="shared" si="22"/>
        <v>2.7823745008783175E-7</v>
      </c>
    </row>
    <row r="95" spans="1:19" s="24" customFormat="1" x14ac:dyDescent="0.2">
      <c r="A95" s="24" t="s">
        <v>82</v>
      </c>
      <c r="B95" s="29"/>
      <c r="C95" s="25">
        <v>48397.3439</v>
      </c>
      <c r="D95" s="25"/>
      <c r="E95" s="26">
        <f t="shared" si="18"/>
        <v>-13431.483882872524</v>
      </c>
      <c r="F95" s="24">
        <f t="shared" si="19"/>
        <v>-13431.5</v>
      </c>
      <c r="G95" s="27">
        <f t="shared" si="16"/>
        <v>5.6420895052724518E-3</v>
      </c>
      <c r="H95" s="27"/>
      <c r="I95" s="27"/>
      <c r="J95" s="27">
        <f t="shared" si="23"/>
        <v>5.6420895052724518E-3</v>
      </c>
      <c r="K95" s="27"/>
      <c r="L95" s="27"/>
      <c r="M95" s="27"/>
      <c r="N95" s="27"/>
      <c r="O95" s="27"/>
      <c r="P95" s="27"/>
      <c r="Q95" s="27">
        <f t="shared" si="20"/>
        <v>5.8371287054629012E-3</v>
      </c>
      <c r="R95" s="28">
        <f t="shared" si="21"/>
        <v>33378.8439</v>
      </c>
      <c r="S95" s="24">
        <f t="shared" si="22"/>
        <v>3.8040289610930214E-8</v>
      </c>
    </row>
    <row r="96" spans="1:19" s="24" customFormat="1" x14ac:dyDescent="0.2">
      <c r="A96" s="24" t="s">
        <v>82</v>
      </c>
      <c r="B96" s="29"/>
      <c r="C96" s="25">
        <v>48397.344700000001</v>
      </c>
      <c r="D96" s="25"/>
      <c r="E96" s="26">
        <f t="shared" si="18"/>
        <v>-13431.481597601791</v>
      </c>
      <c r="F96" s="24">
        <f t="shared" si="19"/>
        <v>-13431.5</v>
      </c>
      <c r="G96" s="27">
        <f t="shared" si="16"/>
        <v>6.4420895068906248E-3</v>
      </c>
      <c r="H96" s="27"/>
      <c r="I96" s="27"/>
      <c r="J96" s="27">
        <f t="shared" si="23"/>
        <v>6.4420895068906248E-3</v>
      </c>
      <c r="K96" s="27"/>
      <c r="L96" s="27"/>
      <c r="M96" s="27"/>
      <c r="N96" s="27"/>
      <c r="O96" s="27"/>
      <c r="P96" s="27"/>
      <c r="Q96" s="27">
        <f t="shared" si="20"/>
        <v>5.8371287054629012E-3</v>
      </c>
      <c r="R96" s="28">
        <f t="shared" si="21"/>
        <v>33378.844700000001</v>
      </c>
      <c r="S96" s="24">
        <f t="shared" si="22"/>
        <v>3.6597757126407356E-7</v>
      </c>
    </row>
    <row r="97" spans="1:20" s="24" customFormat="1" x14ac:dyDescent="0.2">
      <c r="A97" s="24" t="s">
        <v>82</v>
      </c>
      <c r="B97" s="29"/>
      <c r="C97" s="25">
        <v>48397.518700000001</v>
      </c>
      <c r="D97" s="25"/>
      <c r="E97" s="26">
        <f t="shared" si="18"/>
        <v>-13430.984551218515</v>
      </c>
      <c r="F97" s="24">
        <f t="shared" si="19"/>
        <v>-13431</v>
      </c>
      <c r="G97" s="27">
        <f t="shared" si="16"/>
        <v>5.4081230045994744E-3</v>
      </c>
      <c r="H97" s="27"/>
      <c r="I97" s="27"/>
      <c r="J97" s="27">
        <f t="shared" si="23"/>
        <v>5.4081230045994744E-3</v>
      </c>
      <c r="K97" s="27"/>
      <c r="L97" s="27"/>
      <c r="M97" s="27"/>
      <c r="N97" s="27"/>
      <c r="O97" s="27"/>
      <c r="P97" s="27"/>
      <c r="Q97" s="27">
        <f t="shared" si="20"/>
        <v>5.8366736645655386E-3</v>
      </c>
      <c r="R97" s="28">
        <f t="shared" si="21"/>
        <v>33379.018700000001</v>
      </c>
      <c r="S97" s="24">
        <f t="shared" si="22"/>
        <v>1.8365566815734918E-7</v>
      </c>
    </row>
    <row r="98" spans="1:20" s="24" customFormat="1" x14ac:dyDescent="0.2">
      <c r="A98" s="24" t="s">
        <v>82</v>
      </c>
      <c r="B98" s="29"/>
      <c r="C98" s="25">
        <v>48398.394800000002</v>
      </c>
      <c r="D98" s="25"/>
      <c r="E98" s="26">
        <f t="shared" si="18"/>
        <v>-13428.481894112811</v>
      </c>
      <c r="F98" s="24">
        <f t="shared" si="19"/>
        <v>-13428.5</v>
      </c>
      <c r="G98" s="27">
        <f t="shared" si="16"/>
        <v>6.338290506391786E-3</v>
      </c>
      <c r="H98" s="27"/>
      <c r="I98" s="27"/>
      <c r="J98" s="27">
        <f t="shared" si="23"/>
        <v>6.338290506391786E-3</v>
      </c>
      <c r="K98" s="27"/>
      <c r="L98" s="27"/>
      <c r="M98" s="27"/>
      <c r="N98" s="27"/>
      <c r="O98" s="27"/>
      <c r="P98" s="27"/>
      <c r="Q98" s="27">
        <f t="shared" si="20"/>
        <v>5.8343987256048654E-3</v>
      </c>
      <c r="R98" s="28">
        <f t="shared" si="21"/>
        <v>33379.894800000002</v>
      </c>
      <c r="S98" s="24">
        <f t="shared" si="22"/>
        <v>2.5390692674461406E-7</v>
      </c>
    </row>
    <row r="99" spans="1:20" s="24" customFormat="1" x14ac:dyDescent="0.2">
      <c r="A99" s="24" t="s">
        <v>82</v>
      </c>
      <c r="B99" s="29"/>
      <c r="C99" s="25">
        <v>48398.395299999996</v>
      </c>
      <c r="D99" s="25"/>
      <c r="E99" s="26">
        <f t="shared" si="18"/>
        <v>-13428.48046581862</v>
      </c>
      <c r="F99" s="24">
        <f t="shared" si="19"/>
        <v>-13428.5</v>
      </c>
      <c r="G99" s="27">
        <f t="shared" si="16"/>
        <v>6.8382905010366812E-3</v>
      </c>
      <c r="H99" s="27"/>
      <c r="I99" s="27"/>
      <c r="J99" s="27">
        <f t="shared" si="23"/>
        <v>6.8382905010366812E-3</v>
      </c>
      <c r="K99" s="27"/>
      <c r="L99" s="27"/>
      <c r="M99" s="27"/>
      <c r="N99" s="27"/>
      <c r="O99" s="27"/>
      <c r="P99" s="27"/>
      <c r="Q99" s="27">
        <f t="shared" si="20"/>
        <v>5.8343987256048654E-3</v>
      </c>
      <c r="R99" s="28">
        <f t="shared" si="21"/>
        <v>33379.895299999996</v>
      </c>
      <c r="S99" s="24">
        <f t="shared" si="22"/>
        <v>1.0077986967796433E-6</v>
      </c>
    </row>
    <row r="100" spans="1:20" s="24" customFormat="1" x14ac:dyDescent="0.2">
      <c r="A100" s="24" t="s">
        <v>45</v>
      </c>
      <c r="B100" s="29"/>
      <c r="C100" s="25">
        <v>48801.500999999997</v>
      </c>
      <c r="D100" s="25">
        <v>3.0000000000000001E-3</v>
      </c>
      <c r="E100" s="26">
        <f t="shared" si="18"/>
        <v>-12276.97339533239</v>
      </c>
      <c r="F100" s="24">
        <f t="shared" si="19"/>
        <v>-12277</v>
      </c>
      <c r="G100" s="27">
        <f t="shared" si="16"/>
        <v>9.3134409980848432E-3</v>
      </c>
      <c r="H100" s="27"/>
      <c r="I100" s="27">
        <f>+G100</f>
        <v>9.3134409980848432E-3</v>
      </c>
      <c r="J100" s="27"/>
      <c r="K100" s="27"/>
      <c r="L100" s="27"/>
      <c r="M100" s="27"/>
      <c r="N100" s="27"/>
      <c r="O100" s="27"/>
      <c r="P100" s="27"/>
      <c r="Q100" s="27">
        <f t="shared" si="20"/>
        <v>4.8336070897233435E-3</v>
      </c>
      <c r="R100" s="28">
        <f t="shared" si="21"/>
        <v>33783.000999999997</v>
      </c>
      <c r="S100" s="24">
        <f t="shared" si="22"/>
        <v>2.006891184650547E-5</v>
      </c>
    </row>
    <row r="101" spans="1:20" s="24" customFormat="1" x14ac:dyDescent="0.2">
      <c r="A101" s="36" t="s">
        <v>47</v>
      </c>
      <c r="B101" s="77" t="s">
        <v>48</v>
      </c>
      <c r="C101" s="32">
        <v>49480.442000000003</v>
      </c>
      <c r="D101" s="25">
        <v>5.0000000000000001E-3</v>
      </c>
      <c r="E101" s="26">
        <f t="shared" si="18"/>
        <v>-10337.518403892183</v>
      </c>
      <c r="F101" s="24">
        <f t="shared" si="19"/>
        <v>-10337.5</v>
      </c>
      <c r="G101" s="27">
        <f t="shared" si="16"/>
        <v>-6.4426124954479747E-3</v>
      </c>
      <c r="H101" s="27"/>
      <c r="I101" s="27">
        <f>+G101</f>
        <v>-6.4426124954479747E-3</v>
      </c>
      <c r="J101" s="27"/>
      <c r="K101" s="27"/>
      <c r="L101" s="27"/>
      <c r="M101" s="27"/>
      <c r="N101" s="27"/>
      <c r="O101" s="27"/>
      <c r="P101" s="27"/>
      <c r="Q101" s="27">
        <f t="shared" si="20"/>
        <v>3.3601926265276363E-3</v>
      </c>
      <c r="R101" s="28">
        <f t="shared" si="21"/>
        <v>34461.942000000003</v>
      </c>
      <c r="S101" s="24">
        <f t="shared" si="22"/>
        <v>9.6094988259431285E-5</v>
      </c>
    </row>
    <row r="102" spans="1:20" x14ac:dyDescent="0.2">
      <c r="A102" s="32" t="s">
        <v>95</v>
      </c>
      <c r="B102" s="77" t="s">
        <v>48</v>
      </c>
      <c r="C102" s="32">
        <v>49995.375999999997</v>
      </c>
      <c r="D102" s="39" t="s">
        <v>96</v>
      </c>
      <c r="E102" s="26">
        <f t="shared" si="18"/>
        <v>-8866.5639077544474</v>
      </c>
      <c r="F102" s="24">
        <f t="shared" si="19"/>
        <v>-8866.5</v>
      </c>
      <c r="G102" s="27"/>
      <c r="H102" s="27"/>
      <c r="I102" s="27"/>
      <c r="J102" s="27"/>
      <c r="K102" s="27"/>
      <c r="L102" s="27"/>
      <c r="M102" s="27"/>
      <c r="P102" s="27"/>
      <c r="Q102" s="27">
        <f t="shared" si="20"/>
        <v>2.4203057099044601E-3</v>
      </c>
      <c r="R102" s="28">
        <f t="shared" si="21"/>
        <v>34976.875999999997</v>
      </c>
      <c r="S102" s="24"/>
      <c r="T102" s="31">
        <v>-2.2372055500454735E-2</v>
      </c>
    </row>
    <row r="103" spans="1:20" x14ac:dyDescent="0.2">
      <c r="A103" s="32" t="s">
        <v>95</v>
      </c>
      <c r="B103" s="77"/>
      <c r="C103" s="32">
        <v>49999.404999999999</v>
      </c>
      <c r="D103" s="39" t="s">
        <v>96</v>
      </c>
      <c r="E103" s="26">
        <f t="shared" si="18"/>
        <v>-8855.0547130519371</v>
      </c>
      <c r="F103" s="24">
        <f t="shared" si="19"/>
        <v>-8855</v>
      </c>
      <c r="G103" s="27"/>
      <c r="H103" s="27"/>
      <c r="I103" s="27"/>
      <c r="J103" s="27"/>
      <c r="K103" s="27"/>
      <c r="L103" s="27"/>
      <c r="M103" s="27"/>
      <c r="P103" s="27"/>
      <c r="Q103" s="27">
        <f t="shared" si="20"/>
        <v>2.4135614367948727E-3</v>
      </c>
      <c r="R103" s="28">
        <f t="shared" si="21"/>
        <v>34980.904999999999</v>
      </c>
      <c r="S103" s="24"/>
      <c r="T103" s="31">
        <v>-1.9153285000356846E-2</v>
      </c>
    </row>
    <row r="104" spans="1:20" x14ac:dyDescent="0.2">
      <c r="A104" s="32" t="s">
        <v>95</v>
      </c>
      <c r="B104" s="77"/>
      <c r="C104" s="32">
        <v>50180.457000000002</v>
      </c>
      <c r="D104" s="39" t="s">
        <v>96</v>
      </c>
      <c r="E104" s="26">
        <f t="shared" si="18"/>
        <v>-8337.8636683069053</v>
      </c>
      <c r="F104" s="24">
        <f t="shared" si="19"/>
        <v>-8338</v>
      </c>
      <c r="G104" s="27"/>
      <c r="H104" s="27"/>
      <c r="I104" s="27"/>
      <c r="J104" s="27"/>
      <c r="K104" s="27"/>
      <c r="L104" s="27"/>
      <c r="M104" s="27"/>
      <c r="P104" s="27"/>
      <c r="Q104" s="27">
        <f t="shared" si="20"/>
        <v>2.1200358298627165E-3</v>
      </c>
      <c r="R104" s="28">
        <f t="shared" si="21"/>
        <v>35161.957000000002</v>
      </c>
      <c r="S104" s="24"/>
      <c r="T104" s="31">
        <v>4.7725354001158848E-2</v>
      </c>
    </row>
    <row r="105" spans="1:20" x14ac:dyDescent="0.2">
      <c r="A105" s="32" t="s">
        <v>95</v>
      </c>
      <c r="B105" s="77" t="s">
        <v>48</v>
      </c>
      <c r="C105" s="32">
        <v>50189.572999999997</v>
      </c>
      <c r="D105" s="39" t="s">
        <v>96</v>
      </c>
      <c r="E105" s="26">
        <f t="shared" si="18"/>
        <v>-8311.8230083644976</v>
      </c>
      <c r="F105" s="24">
        <f t="shared" si="19"/>
        <v>-8312</v>
      </c>
      <c r="G105" s="27"/>
      <c r="H105" s="27"/>
      <c r="I105" s="27"/>
      <c r="J105" s="27"/>
      <c r="K105" s="27"/>
      <c r="L105" s="27"/>
      <c r="M105" s="27"/>
      <c r="P105" s="27"/>
      <c r="Q105" s="27">
        <f t="shared" si="20"/>
        <v>2.1057742137599068E-3</v>
      </c>
      <c r="R105" s="28">
        <f t="shared" si="21"/>
        <v>35171.072999999997</v>
      </c>
      <c r="S105" s="24"/>
      <c r="T105" s="31">
        <v>6.1959095997735858E-2</v>
      </c>
    </row>
    <row r="106" spans="1:20" x14ac:dyDescent="0.2">
      <c r="A106" s="32" t="s">
        <v>95</v>
      </c>
      <c r="B106" s="77" t="s">
        <v>48</v>
      </c>
      <c r="C106" s="32">
        <v>50195.504999999997</v>
      </c>
      <c r="D106" s="39" t="s">
        <v>96</v>
      </c>
      <c r="E106" s="26">
        <f t="shared" si="18"/>
        <v>-8294.8777259184171</v>
      </c>
      <c r="F106" s="24">
        <f t="shared" si="19"/>
        <v>-8295</v>
      </c>
      <c r="G106" s="27"/>
      <c r="H106" s="27"/>
      <c r="I106" s="27"/>
      <c r="J106" s="27"/>
      <c r="K106" s="27"/>
      <c r="L106" s="27"/>
      <c r="M106" s="27"/>
      <c r="P106" s="27"/>
      <c r="Q106" s="27">
        <f t="shared" si="20"/>
        <v>2.0964751908715547E-3</v>
      </c>
      <c r="R106" s="28">
        <f t="shared" si="21"/>
        <v>35177.004999999997</v>
      </c>
      <c r="S106" s="24"/>
      <c r="T106" s="31">
        <v>4.280423499585595E-2</v>
      </c>
    </row>
    <row r="107" spans="1:20" s="24" customFormat="1" x14ac:dyDescent="0.2">
      <c r="A107" s="36" t="s">
        <v>50</v>
      </c>
      <c r="B107" s="34" t="s">
        <v>48</v>
      </c>
      <c r="C107" s="35">
        <v>50330.414499999999</v>
      </c>
      <c r="D107" s="30">
        <v>1E-3</v>
      </c>
      <c r="E107" s="26">
        <f t="shared" si="18"/>
        <v>-7909.4968118659399</v>
      </c>
      <c r="F107" s="24">
        <f t="shared" si="19"/>
        <v>-7909.5</v>
      </c>
      <c r="G107" s="27">
        <f>+C107-(C$7+F107*C$8)</f>
        <v>1.1160635040141642E-3</v>
      </c>
      <c r="H107" s="27"/>
      <c r="I107" s="27"/>
      <c r="J107" s="27">
        <f>+G107</f>
        <v>1.1160635040141642E-3</v>
      </c>
      <c r="K107" s="27"/>
      <c r="L107" s="27"/>
      <c r="M107" s="27"/>
      <c r="N107" s="27"/>
      <c r="O107" s="27"/>
      <c r="P107" s="27">
        <f t="shared" ref="P107:P143" ca="1" si="24">+C$11+C$12*$F107</f>
        <v>1.3632604264622941E-2</v>
      </c>
      <c r="Q107" s="27">
        <f t="shared" si="20"/>
        <v>1.8910995094602442E-3</v>
      </c>
      <c r="R107" s="28">
        <f t="shared" si="21"/>
        <v>35311.914499999999</v>
      </c>
      <c r="S107" s="24">
        <f>+(Q107-G107)^2</f>
        <v>6.0068080973781617E-7</v>
      </c>
    </row>
    <row r="108" spans="1:20" s="24" customFormat="1" x14ac:dyDescent="0.2">
      <c r="A108" s="36" t="s">
        <v>50</v>
      </c>
      <c r="B108" s="34" t="s">
        <v>48</v>
      </c>
      <c r="C108" s="35">
        <v>50653.526400000002</v>
      </c>
      <c r="D108" s="30">
        <v>1E-4</v>
      </c>
      <c r="E108" s="26">
        <f t="shared" si="18"/>
        <v>-6986.4991033040315</v>
      </c>
      <c r="F108" s="24">
        <f t="shared" si="19"/>
        <v>-6986.5</v>
      </c>
      <c r="G108" s="27">
        <f>+C108-(C$7+F108*C$8)</f>
        <v>3.1390450749313459E-4</v>
      </c>
      <c r="H108" s="27"/>
      <c r="I108" s="27"/>
      <c r="J108" s="27">
        <f>+G108</f>
        <v>3.1390450749313459E-4</v>
      </c>
      <c r="K108" s="27"/>
      <c r="L108" s="27"/>
      <c r="M108" s="27"/>
      <c r="N108" s="27"/>
      <c r="O108" s="27"/>
      <c r="P108" s="27">
        <f t="shared" ca="1" si="24"/>
        <v>1.2470851776139307E-2</v>
      </c>
      <c r="Q108" s="27">
        <f t="shared" si="20"/>
        <v>1.4421283278760258E-3</v>
      </c>
      <c r="R108" s="28">
        <f t="shared" si="21"/>
        <v>35635.026400000002</v>
      </c>
      <c r="S108" s="24">
        <f>+(Q108-G108)^2</f>
        <v>1.2728889888793663E-6</v>
      </c>
    </row>
    <row r="109" spans="1:20" s="24" customFormat="1" x14ac:dyDescent="0.2">
      <c r="A109" s="36" t="s">
        <v>83</v>
      </c>
      <c r="B109" s="77"/>
      <c r="C109" s="32">
        <v>51600.644800000002</v>
      </c>
      <c r="D109" s="25"/>
      <c r="E109" s="26">
        <f t="shared" si="18"/>
        <v>-4280.9716592921877</v>
      </c>
      <c r="F109" s="24">
        <f t="shared" si="19"/>
        <v>-4281</v>
      </c>
      <c r="G109" s="27"/>
      <c r="H109" s="27"/>
      <c r="I109" s="27"/>
      <c r="J109" s="27"/>
      <c r="K109" s="31">
        <v>9.9211730048409663E-3</v>
      </c>
      <c r="L109" s="27"/>
      <c r="M109" s="27"/>
      <c r="N109" s="27"/>
      <c r="O109" s="27"/>
      <c r="P109" s="27">
        <f t="shared" ca="1" si="24"/>
        <v>9.0655198610878757E-3</v>
      </c>
      <c r="Q109" s="27">
        <f t="shared" si="20"/>
        <v>4.7365555145984081E-4</v>
      </c>
      <c r="R109" s="28">
        <f t="shared" si="21"/>
        <v>36582.144800000002</v>
      </c>
    </row>
    <row r="110" spans="1:20" s="24" customFormat="1" x14ac:dyDescent="0.2">
      <c r="A110" s="32" t="s">
        <v>85</v>
      </c>
      <c r="B110" s="77"/>
      <c r="C110" s="32">
        <v>51636.342299999997</v>
      </c>
      <c r="D110" s="25"/>
      <c r="E110" s="26">
        <f t="shared" si="18"/>
        <v>-4178.9985945385115</v>
      </c>
      <c r="F110" s="24">
        <f t="shared" si="19"/>
        <v>-4179</v>
      </c>
      <c r="G110" s="27">
        <f t="shared" ref="G110:G119" si="25">+C110-(C$7+F110*C$8)</f>
        <v>4.9200699868379161E-4</v>
      </c>
      <c r="H110" s="27"/>
      <c r="I110" s="27"/>
      <c r="J110" s="27"/>
      <c r="K110" s="27"/>
      <c r="L110" s="27"/>
      <c r="M110" s="27"/>
      <c r="N110" s="27"/>
      <c r="O110" s="27">
        <f>G110</f>
        <v>4.9200699868379161E-4</v>
      </c>
      <c r="P110" s="27">
        <f t="shared" ca="1" si="24"/>
        <v>8.9371355124147119E-3</v>
      </c>
      <c r="Q110" s="27">
        <f t="shared" si="20"/>
        <v>4.472814983867995E-4</v>
      </c>
      <c r="R110" s="28">
        <f t="shared" si="21"/>
        <v>36617.842299999997</v>
      </c>
      <c r="S110" s="24">
        <f t="shared" ref="S110:S119" si="26">+(Q110-G110)^2</f>
        <v>2.0003703768162412E-9</v>
      </c>
    </row>
    <row r="111" spans="1:20" x14ac:dyDescent="0.2">
      <c r="A111" s="32" t="s">
        <v>97</v>
      </c>
      <c r="B111" s="77" t="s">
        <v>53</v>
      </c>
      <c r="C111" s="32">
        <v>52119.441200000001</v>
      </c>
      <c r="D111" s="39" t="s">
        <v>96</v>
      </c>
      <c r="E111" s="26">
        <f t="shared" si="18"/>
        <v>-2798.9838760809812</v>
      </c>
      <c r="F111" s="24">
        <f t="shared" si="19"/>
        <v>-2799</v>
      </c>
      <c r="G111" s="27">
        <f t="shared" si="25"/>
        <v>5.64446700445842E-3</v>
      </c>
      <c r="H111" s="27"/>
      <c r="I111" s="27"/>
      <c r="J111" s="27"/>
      <c r="K111" s="27"/>
      <c r="L111" s="27"/>
      <c r="M111" s="27"/>
      <c r="O111" s="27">
        <f>+G111</f>
        <v>5.64446700445842E-3</v>
      </c>
      <c r="P111" s="27">
        <f t="shared" ca="1" si="24"/>
        <v>7.2001707950719012E-3</v>
      </c>
      <c r="Q111" s="27">
        <f t="shared" si="20"/>
        <v>1.6286186742245617E-4</v>
      </c>
      <c r="R111" s="28">
        <f t="shared" si="21"/>
        <v>37100.941200000001</v>
      </c>
      <c r="S111" s="24">
        <f t="shared" si="26"/>
        <v>3.0047994878379066E-5</v>
      </c>
    </row>
    <row r="112" spans="1:20" s="24" customFormat="1" x14ac:dyDescent="0.2">
      <c r="A112" s="33" t="s">
        <v>87</v>
      </c>
      <c r="B112" s="34" t="s">
        <v>53</v>
      </c>
      <c r="C112" s="35">
        <v>52717.002999999997</v>
      </c>
      <c r="D112" s="32">
        <v>1E-4</v>
      </c>
      <c r="E112" s="26">
        <f t="shared" si="18"/>
        <v>-1091.9957641478729</v>
      </c>
      <c r="F112" s="24">
        <f t="shared" si="19"/>
        <v>-1092</v>
      </c>
      <c r="G112" s="27">
        <f t="shared" si="25"/>
        <v>1.4828359999228269E-3</v>
      </c>
      <c r="H112" s="27"/>
      <c r="I112" s="27"/>
      <c r="J112" s="27"/>
      <c r="K112" s="27">
        <f>G112</f>
        <v>1.4828359999228269E-3</v>
      </c>
      <c r="L112" s="27"/>
      <c r="M112" s="27"/>
      <c r="N112" s="27"/>
      <c r="O112" s="27"/>
      <c r="P112" s="27">
        <f t="shared" ca="1" si="24"/>
        <v>5.0516209599239456E-3</v>
      </c>
      <c r="Q112" s="27">
        <f t="shared" si="20"/>
        <v>-2.3938630933894716E-6</v>
      </c>
      <c r="R112" s="28">
        <f t="shared" si="21"/>
        <v>37698.502999999997</v>
      </c>
      <c r="S112" s="24">
        <f t="shared" si="26"/>
        <v>2.2059077459951692E-6</v>
      </c>
    </row>
    <row r="113" spans="1:20" s="24" customFormat="1" x14ac:dyDescent="0.2">
      <c r="A113" s="33" t="s">
        <v>87</v>
      </c>
      <c r="B113" s="34" t="s">
        <v>48</v>
      </c>
      <c r="C113" s="35">
        <v>52717.178399999997</v>
      </c>
      <c r="D113" s="32">
        <v>1E-4</v>
      </c>
      <c r="E113" s="26">
        <f t="shared" si="18"/>
        <v>-1091.4947185408189</v>
      </c>
      <c r="F113" s="24">
        <f t="shared" si="19"/>
        <v>-1091.5</v>
      </c>
      <c r="G113" s="27">
        <f t="shared" si="25"/>
        <v>1.8488694986444898E-3</v>
      </c>
      <c r="H113" s="27"/>
      <c r="I113" s="27"/>
      <c r="J113" s="27"/>
      <c r="K113" s="27">
        <f>G113</f>
        <v>1.8488694986444898E-3</v>
      </c>
      <c r="L113" s="27"/>
      <c r="M113" s="27"/>
      <c r="N113" s="27"/>
      <c r="O113" s="27"/>
      <c r="P113" s="27">
        <f t="shared" ca="1" si="24"/>
        <v>5.0509916248814308E-3</v>
      </c>
      <c r="Q113" s="27">
        <f t="shared" si="20"/>
        <v>-2.4120426780474601E-6</v>
      </c>
      <c r="R113" s="28">
        <f t="shared" si="21"/>
        <v>37698.678399999997</v>
      </c>
      <c r="S113" s="24">
        <f t="shared" si="26"/>
        <v>3.4272433452415496E-6</v>
      </c>
    </row>
    <row r="114" spans="1:20" s="24" customFormat="1" x14ac:dyDescent="0.2">
      <c r="A114" s="36" t="s">
        <v>58</v>
      </c>
      <c r="B114" s="34" t="s">
        <v>48</v>
      </c>
      <c r="C114" s="76">
        <v>52729.781999999999</v>
      </c>
      <c r="D114" s="35">
        <v>2.0000000000000001E-4</v>
      </c>
      <c r="E114" s="26">
        <f t="shared" si="18"/>
        <v>-1055.4914208608736</v>
      </c>
      <c r="F114" s="24">
        <f t="shared" si="19"/>
        <v>-1055.5</v>
      </c>
      <c r="G114" s="27">
        <f t="shared" si="25"/>
        <v>3.003281497512944E-3</v>
      </c>
      <c r="H114" s="27"/>
      <c r="I114" s="27"/>
      <c r="J114" s="27"/>
      <c r="K114" s="27"/>
      <c r="L114" s="27">
        <f>+G114</f>
        <v>3.003281497512944E-3</v>
      </c>
      <c r="M114" s="27"/>
      <c r="N114" s="27"/>
      <c r="O114" s="27"/>
      <c r="P114" s="27">
        <f t="shared" ca="1" si="24"/>
        <v>5.0056795018203135E-3</v>
      </c>
      <c r="Q114" s="27">
        <f t="shared" si="20"/>
        <v>-3.6744525931162633E-6</v>
      </c>
      <c r="R114" s="28">
        <f t="shared" si="21"/>
        <v>37711.281999999999</v>
      </c>
      <c r="S114" s="24">
        <f t="shared" si="26"/>
        <v>9.0417840858782395E-6</v>
      </c>
    </row>
    <row r="115" spans="1:20" s="24" customFormat="1" x14ac:dyDescent="0.2">
      <c r="A115" s="37" t="s">
        <v>86</v>
      </c>
      <c r="B115" s="77" t="s">
        <v>48</v>
      </c>
      <c r="C115" s="32">
        <v>53092.451399999998</v>
      </c>
      <c r="D115" s="32">
        <v>1E-4</v>
      </c>
      <c r="E115" s="26">
        <f t="shared" si="18"/>
        <v>-19.494216284015426</v>
      </c>
      <c r="F115" s="24">
        <f t="shared" si="19"/>
        <v>-19.5</v>
      </c>
      <c r="G115" s="27">
        <f t="shared" si="25"/>
        <v>2.0246935018803924E-3</v>
      </c>
      <c r="H115" s="27"/>
      <c r="I115" s="27"/>
      <c r="J115" s="27"/>
      <c r="K115" s="27"/>
      <c r="L115" s="27">
        <f>+G115</f>
        <v>2.0246935018803924E-3</v>
      </c>
      <c r="M115" s="27"/>
      <c r="N115" s="27"/>
      <c r="O115" s="27"/>
      <c r="P115" s="27">
        <f t="shared" ca="1" si="24"/>
        <v>3.7016972937281745E-3</v>
      </c>
      <c r="Q115" s="27">
        <f t="shared" si="20"/>
        <v>-6.8497652099153736E-7</v>
      </c>
      <c r="R115" s="28">
        <f t="shared" si="21"/>
        <v>38073.951399999998</v>
      </c>
      <c r="S115" s="24">
        <f t="shared" si="26"/>
        <v>4.1021579807715055E-6</v>
      </c>
    </row>
    <row r="116" spans="1:20" s="24" customFormat="1" x14ac:dyDescent="0.2">
      <c r="A116" s="37" t="s">
        <v>86</v>
      </c>
      <c r="B116" s="77" t="s">
        <v>48</v>
      </c>
      <c r="C116" s="32">
        <v>53099.450700000001</v>
      </c>
      <c r="D116" s="32">
        <v>2.0000000000000001E-4</v>
      </c>
      <c r="E116" s="26">
        <f t="shared" si="18"/>
        <v>0.49990297169809716</v>
      </c>
      <c r="F116" s="24">
        <f t="shared" si="19"/>
        <v>0.5</v>
      </c>
      <c r="G116" s="27">
        <f t="shared" si="25"/>
        <v>-3.3966498449444771E-5</v>
      </c>
      <c r="H116" s="27"/>
      <c r="I116" s="27"/>
      <c r="J116" s="27"/>
      <c r="K116" s="27"/>
      <c r="L116" s="27">
        <f>+G116</f>
        <v>-3.3966498449444771E-5</v>
      </c>
      <c r="M116" s="27"/>
      <c r="N116" s="27"/>
      <c r="O116" s="27"/>
      <c r="P116" s="27">
        <f t="shared" ca="1" si="24"/>
        <v>3.6765238920275539E-3</v>
      </c>
      <c r="Q116" s="27">
        <f t="shared" si="20"/>
        <v>1.2045699183427602E-7</v>
      </c>
      <c r="R116" s="28">
        <f t="shared" si="21"/>
        <v>38080.950700000001</v>
      </c>
      <c r="S116" s="24">
        <f t="shared" si="26"/>
        <v>1.161920531255743E-9</v>
      </c>
    </row>
    <row r="117" spans="1:20" x14ac:dyDescent="0.2">
      <c r="A117" s="32" t="s">
        <v>97</v>
      </c>
      <c r="B117" s="77" t="s">
        <v>53</v>
      </c>
      <c r="C117" s="32">
        <v>53228.442990000003</v>
      </c>
      <c r="D117" s="32" t="s">
        <v>96</v>
      </c>
      <c r="E117" s="26">
        <f t="shared" ref="E117:E143" si="27">+(C117-C$7)/C$8</f>
        <v>368.97778352067701</v>
      </c>
      <c r="F117" s="24">
        <f t="shared" ref="F117:F143" si="28">ROUND(2*E117,0)/2</f>
        <v>369</v>
      </c>
      <c r="G117" s="27">
        <f t="shared" si="25"/>
        <v>-7.7772769946022891E-3</v>
      </c>
      <c r="H117" s="27"/>
      <c r="I117" s="27"/>
      <c r="J117" s="27"/>
      <c r="K117" s="27"/>
      <c r="L117" s="27"/>
      <c r="M117" s="27"/>
      <c r="O117" s="27">
        <f>+G117</f>
        <v>-7.7772769946022891E-3</v>
      </c>
      <c r="P117" s="27">
        <f t="shared" ca="1" si="24"/>
        <v>3.2127039656936222E-3</v>
      </c>
      <c r="Q117" s="27">
        <f t="shared" ref="Q117:Q143" si="29">+D$11+D$12*F117+D$13*F117^2</f>
        <v>2.0029012146862605E-5</v>
      </c>
      <c r="R117" s="28">
        <f t="shared" ref="R117:R143" si="30">+C117-15018.5</f>
        <v>38209.942990000003</v>
      </c>
      <c r="S117" s="24">
        <f t="shared" si="26"/>
        <v>6.0797980962886409E-5</v>
      </c>
    </row>
    <row r="118" spans="1:20" x14ac:dyDescent="0.2">
      <c r="A118" s="32" t="s">
        <v>97</v>
      </c>
      <c r="B118" s="77" t="s">
        <v>53</v>
      </c>
      <c r="C118" s="32">
        <v>53228.453410000002</v>
      </c>
      <c r="D118" s="32" t="s">
        <v>96</v>
      </c>
      <c r="E118" s="26">
        <f t="shared" si="27"/>
        <v>369.00754917190193</v>
      </c>
      <c r="F118" s="24">
        <f t="shared" si="28"/>
        <v>369</v>
      </c>
      <c r="G118" s="27">
        <f t="shared" si="25"/>
        <v>2.6427230041008443E-3</v>
      </c>
      <c r="H118" s="27"/>
      <c r="I118" s="27"/>
      <c r="J118" s="27"/>
      <c r="K118" s="27"/>
      <c r="L118" s="27"/>
      <c r="M118" s="27"/>
      <c r="O118" s="27">
        <f>+G118</f>
        <v>2.6427230041008443E-3</v>
      </c>
      <c r="P118" s="27">
        <f t="shared" ca="1" si="24"/>
        <v>3.2127039656936222E-3</v>
      </c>
      <c r="Q118" s="27">
        <f t="shared" si="29"/>
        <v>2.0029012146862605E-5</v>
      </c>
      <c r="R118" s="28">
        <f t="shared" si="30"/>
        <v>38209.953410000002</v>
      </c>
      <c r="S118" s="24">
        <f t="shared" si="26"/>
        <v>6.8785237754315123E-6</v>
      </c>
    </row>
    <row r="119" spans="1:20" x14ac:dyDescent="0.2">
      <c r="A119" s="32" t="s">
        <v>97</v>
      </c>
      <c r="B119" s="77" t="s">
        <v>53</v>
      </c>
      <c r="C119" s="32">
        <v>53619.451359999999</v>
      </c>
      <c r="D119" s="32" t="s">
        <v>98</v>
      </c>
      <c r="E119" s="26">
        <f t="shared" si="27"/>
        <v>1485.9277613411132</v>
      </c>
      <c r="F119" s="24">
        <f t="shared" si="28"/>
        <v>1486</v>
      </c>
      <c r="G119" s="27">
        <f t="shared" si="25"/>
        <v>-2.5288438002462499E-2</v>
      </c>
      <c r="H119" s="27"/>
      <c r="I119" s="27"/>
      <c r="J119" s="27"/>
      <c r="K119" s="27"/>
      <c r="L119" s="27"/>
      <c r="M119" s="27"/>
      <c r="O119" s="27">
        <f>+G119</f>
        <v>-2.5288438002462499E-2</v>
      </c>
      <c r="P119" s="27">
        <f t="shared" ca="1" si="24"/>
        <v>1.8067694807139705E-3</v>
      </c>
      <c r="Q119" s="27">
        <f t="shared" si="29"/>
        <v>1.3912110366196792E-4</v>
      </c>
      <c r="R119" s="28">
        <f t="shared" si="30"/>
        <v>38600.951359999999</v>
      </c>
      <c r="S119" s="24">
        <f t="shared" si="26"/>
        <v>6.4656076209545328E-4</v>
      </c>
    </row>
    <row r="120" spans="1:20" x14ac:dyDescent="0.2">
      <c r="A120" s="32" t="s">
        <v>97</v>
      </c>
      <c r="B120" s="77" t="s">
        <v>53</v>
      </c>
      <c r="C120" s="32">
        <v>53621.491000000002</v>
      </c>
      <c r="D120" s="32" t="s">
        <v>98</v>
      </c>
      <c r="E120" s="26">
        <f t="shared" si="27"/>
        <v>1491.7541733249914</v>
      </c>
      <c r="F120" s="24">
        <f t="shared" si="28"/>
        <v>1492</v>
      </c>
      <c r="G120" s="27"/>
      <c r="H120" s="27"/>
      <c r="I120" s="27"/>
      <c r="J120" s="27"/>
      <c r="K120" s="27"/>
      <c r="L120" s="27"/>
      <c r="M120" s="27"/>
      <c r="P120" s="27">
        <f t="shared" ca="1" si="24"/>
        <v>1.7992174602037845E-3</v>
      </c>
      <c r="Q120" s="27">
        <f t="shared" si="29"/>
        <v>1.3999935919699921E-4</v>
      </c>
      <c r="R120" s="28">
        <f t="shared" si="30"/>
        <v>38602.991000000002</v>
      </c>
      <c r="S120" s="24"/>
      <c r="T120" s="31">
        <v>-8.6056035994261038E-2</v>
      </c>
    </row>
    <row r="121" spans="1:20" x14ac:dyDescent="0.2">
      <c r="A121" s="32" t="s">
        <v>97</v>
      </c>
      <c r="B121" s="77" t="s">
        <v>53</v>
      </c>
      <c r="C121" s="32">
        <v>53632.508629999997</v>
      </c>
      <c r="D121" s="32" t="s">
        <v>99</v>
      </c>
      <c r="E121" s="26">
        <f t="shared" si="27"/>
        <v>1523.2270074848539</v>
      </c>
      <c r="F121" s="24">
        <f t="shared" si="28"/>
        <v>1523</v>
      </c>
      <c r="G121" s="27"/>
      <c r="H121" s="27"/>
      <c r="I121" s="27"/>
      <c r="J121" s="27"/>
      <c r="K121" s="27"/>
      <c r="L121" s="27"/>
      <c r="M121" s="27"/>
      <c r="P121" s="27">
        <f t="shared" ca="1" si="24"/>
        <v>1.7601986875678227E-3</v>
      </c>
      <c r="Q121" s="27">
        <f t="shared" si="29"/>
        <v>1.4457762059284329E-4</v>
      </c>
      <c r="R121" s="28">
        <f t="shared" si="30"/>
        <v>38614.008629999997</v>
      </c>
      <c r="S121" s="24"/>
      <c r="T121" s="31">
        <v>7.9468040996289346E-2</v>
      </c>
    </row>
    <row r="122" spans="1:20" s="24" customFormat="1" x14ac:dyDescent="0.2">
      <c r="A122" s="78" t="s">
        <v>89</v>
      </c>
      <c r="B122" s="79"/>
      <c r="C122" s="32">
        <v>53634.357799999998</v>
      </c>
      <c r="D122" s="32">
        <v>1.6999999999999999E-3</v>
      </c>
      <c r="E122" s="26">
        <f t="shared" si="27"/>
        <v>1528.5093250743409</v>
      </c>
      <c r="F122" s="24">
        <f t="shared" si="28"/>
        <v>1528.5</v>
      </c>
      <c r="G122" s="27">
        <f>+C122-(C$7+F122*C$8)</f>
        <v>3.2644094972056337E-3</v>
      </c>
      <c r="H122" s="27"/>
      <c r="I122" s="27"/>
      <c r="J122" s="27"/>
      <c r="K122" s="27"/>
      <c r="L122" s="27">
        <f>+G122</f>
        <v>3.2644094972056337E-3</v>
      </c>
      <c r="M122" s="27"/>
      <c r="N122" s="27"/>
      <c r="O122" s="27"/>
      <c r="P122" s="27">
        <f t="shared" ca="1" si="24"/>
        <v>1.7532760021001521E-3</v>
      </c>
      <c r="Q122" s="27">
        <f t="shared" si="29"/>
        <v>1.45397000025746E-4</v>
      </c>
      <c r="R122" s="28">
        <f t="shared" si="30"/>
        <v>38615.857799999998</v>
      </c>
      <c r="S122" s="24">
        <f>+(Q122-G122)^2</f>
        <v>9.728238957564318E-6</v>
      </c>
    </row>
    <row r="123" spans="1:20" s="24" customFormat="1" x14ac:dyDescent="0.2">
      <c r="A123" s="78" t="s">
        <v>89</v>
      </c>
      <c r="B123" s="79"/>
      <c r="C123" s="32">
        <v>53634.521999999997</v>
      </c>
      <c r="D123" s="32">
        <v>2.2000000000000001E-3</v>
      </c>
      <c r="E123" s="26">
        <f t="shared" si="27"/>
        <v>1528.9783768912043</v>
      </c>
      <c r="F123" s="24">
        <f t="shared" si="28"/>
        <v>1529</v>
      </c>
      <c r="G123" s="27">
        <f>+C123-(C$7+F123*C$8)</f>
        <v>-7.5695569976232946E-3</v>
      </c>
      <c r="H123" s="27"/>
      <c r="I123" s="27"/>
      <c r="J123" s="27"/>
      <c r="K123" s="27"/>
      <c r="L123" s="27">
        <f>+G123</f>
        <v>-7.5695569976232946E-3</v>
      </c>
      <c r="M123" s="27"/>
      <c r="N123" s="27"/>
      <c r="O123" s="27"/>
      <c r="P123" s="27">
        <f t="shared" ca="1" si="24"/>
        <v>1.7526466670576366E-3</v>
      </c>
      <c r="Q123" s="27">
        <f t="shared" si="29"/>
        <v>1.4547159527555811E-4</v>
      </c>
      <c r="R123" s="28">
        <f t="shared" si="30"/>
        <v>38616.021999999997</v>
      </c>
      <c r="S123" s="24">
        <f>+(Q123-G123)^2</f>
        <v>5.9521666189246856E-5</v>
      </c>
    </row>
    <row r="124" spans="1:20" x14ac:dyDescent="0.2">
      <c r="A124" s="32" t="s">
        <v>97</v>
      </c>
      <c r="B124" s="77" t="s">
        <v>53</v>
      </c>
      <c r="C124" s="32">
        <v>53654.52405</v>
      </c>
      <c r="D124" s="32" t="s">
        <v>99</v>
      </c>
      <c r="E124" s="26">
        <f t="shared" si="27"/>
        <v>1586.1160010905703</v>
      </c>
      <c r="F124" s="24">
        <f t="shared" si="28"/>
        <v>1586</v>
      </c>
      <c r="G124" s="27">
        <f>+C124-(C$7+F124*C$8)</f>
        <v>4.060826200293377E-2</v>
      </c>
      <c r="H124" s="27"/>
      <c r="I124" s="27"/>
      <c r="J124" s="27"/>
      <c r="K124" s="27"/>
      <c r="L124" s="27"/>
      <c r="M124" s="27"/>
      <c r="P124" s="27">
        <f t="shared" ca="1" si="24"/>
        <v>1.6809024722108682E-3</v>
      </c>
      <c r="Q124" s="27">
        <f t="shared" si="29"/>
        <v>1.5409148867876241E-4</v>
      </c>
      <c r="R124" s="28">
        <f t="shared" si="30"/>
        <v>38636.02405</v>
      </c>
      <c r="S124" s="24">
        <f>+(Q124-G124)^2</f>
        <v>1.6365399119964196E-3</v>
      </c>
      <c r="T124" s="27">
        <v>4.060826200293377E-2</v>
      </c>
    </row>
    <row r="125" spans="1:20" x14ac:dyDescent="0.2">
      <c r="A125" s="32" t="s">
        <v>97</v>
      </c>
      <c r="B125" s="77" t="s">
        <v>53</v>
      </c>
      <c r="C125" s="32">
        <v>53655.339330000003</v>
      </c>
      <c r="D125" s="32" t="s">
        <v>98</v>
      </c>
      <c r="E125" s="26">
        <f t="shared" si="27"/>
        <v>1588.4449204892016</v>
      </c>
      <c r="F125" s="24">
        <f t="shared" si="28"/>
        <v>1588.5</v>
      </c>
      <c r="G125" s="27">
        <f>+C125-(C$7+F125*C$8)</f>
        <v>-1.9281570494058542E-2</v>
      </c>
      <c r="H125" s="27"/>
      <c r="I125" s="27"/>
      <c r="J125" s="27"/>
      <c r="K125" s="27"/>
      <c r="L125" s="27"/>
      <c r="M125" s="27"/>
      <c r="O125" s="27">
        <f>+G125</f>
        <v>-1.9281570494058542E-2</v>
      </c>
      <c r="P125" s="27">
        <f t="shared" ca="1" si="24"/>
        <v>1.6777557969982907E-3</v>
      </c>
      <c r="Q125" s="27">
        <f t="shared" si="29"/>
        <v>1.5447482044741182E-4</v>
      </c>
      <c r="R125" s="28">
        <f t="shared" si="30"/>
        <v>38636.839330000003</v>
      </c>
      <c r="S125" s="24">
        <f>+(Q125-G125)^2</f>
        <v>3.7775985746752887E-4</v>
      </c>
    </row>
    <row r="126" spans="1:20" x14ac:dyDescent="0.2">
      <c r="A126" s="32" t="s">
        <v>97</v>
      </c>
      <c r="B126" s="77" t="s">
        <v>53</v>
      </c>
      <c r="C126" s="32">
        <v>53750.400199999996</v>
      </c>
      <c r="D126" s="32">
        <v>2.0000000000000001E-4</v>
      </c>
      <c r="E126" s="26">
        <f t="shared" si="27"/>
        <v>1859.994699942991</v>
      </c>
      <c r="F126" s="24">
        <f t="shared" si="28"/>
        <v>1860</v>
      </c>
      <c r="G126" s="27">
        <f>+C126-(C$7+F126*C$8)</f>
        <v>-1.8553800036897883E-3</v>
      </c>
      <c r="H126" s="27"/>
      <c r="I126" s="27"/>
      <c r="J126" s="27"/>
      <c r="K126" s="27"/>
      <c r="L126" s="27"/>
      <c r="M126" s="27"/>
      <c r="O126" s="27">
        <f>+G126</f>
        <v>-1.8553800036897883E-3</v>
      </c>
      <c r="P126" s="27">
        <f t="shared" ca="1" si="24"/>
        <v>1.336026868912368E-3</v>
      </c>
      <c r="Q126" s="27">
        <f t="shared" si="29"/>
        <v>1.987383512329299E-4</v>
      </c>
      <c r="R126" s="28">
        <f t="shared" si="30"/>
        <v>38731.900199999996</v>
      </c>
      <c r="S126" s="24">
        <f>+(Q126-G126)^2</f>
        <v>4.2194022160304138E-6</v>
      </c>
    </row>
    <row r="127" spans="1:20" s="24" customFormat="1" x14ac:dyDescent="0.2">
      <c r="A127" s="80" t="s">
        <v>92</v>
      </c>
      <c r="B127" s="36"/>
      <c r="C127" s="32">
        <v>54220.736700000001</v>
      </c>
      <c r="D127" s="32">
        <v>2.0000000000000001E-4</v>
      </c>
      <c r="E127" s="26">
        <f t="shared" si="27"/>
        <v>3203.5524944811295</v>
      </c>
      <c r="F127" s="24">
        <f t="shared" si="28"/>
        <v>3203.5</v>
      </c>
      <c r="G127" s="27"/>
      <c r="H127" s="27"/>
      <c r="I127" s="27"/>
      <c r="J127" s="27"/>
      <c r="K127" s="27"/>
      <c r="L127" s="27"/>
      <c r="M127" s="27"/>
      <c r="O127" s="27"/>
      <c r="P127" s="27">
        <f t="shared" ca="1" si="24"/>
        <v>-3.5499639032681015E-4</v>
      </c>
      <c r="Q127" s="27">
        <f t="shared" si="29"/>
        <v>4.9459034125095939E-4</v>
      </c>
      <c r="R127" s="28">
        <f t="shared" si="30"/>
        <v>39202.236700000001</v>
      </c>
      <c r="T127" s="31">
        <v>1.8376634499873035E-2</v>
      </c>
    </row>
    <row r="128" spans="1:20" x14ac:dyDescent="0.2">
      <c r="A128" s="93" t="s">
        <v>188</v>
      </c>
      <c r="B128" s="94" t="s">
        <v>53</v>
      </c>
      <c r="C128" s="93">
        <v>54390.317000000003</v>
      </c>
      <c r="D128" s="93" t="s">
        <v>96</v>
      </c>
      <c r="E128" s="26">
        <f t="shared" si="27"/>
        <v>3687.9736139671049</v>
      </c>
      <c r="F128" s="24">
        <f t="shared" si="28"/>
        <v>3688</v>
      </c>
      <c r="G128" s="27">
        <f t="shared" ref="G128:G143" si="31">+C128-(C$7+F128*C$8)</f>
        <v>-9.2369039921322837E-3</v>
      </c>
      <c r="H128" s="27"/>
      <c r="I128" s="27"/>
      <c r="K128" s="27"/>
      <c r="L128" s="27"/>
      <c r="M128" s="27"/>
      <c r="O128" s="27">
        <f>+G128</f>
        <v>-9.2369039921322837E-3</v>
      </c>
      <c r="P128" s="27">
        <f t="shared" ca="1" si="24"/>
        <v>-9.6482204652434097E-4</v>
      </c>
      <c r="Q128" s="27">
        <f t="shared" si="29"/>
        <v>6.3263769759809455E-4</v>
      </c>
      <c r="R128" s="28">
        <f t="shared" si="30"/>
        <v>39371.817000000003</v>
      </c>
      <c r="S128" s="24">
        <f t="shared" ref="S128:S143" si="32">+(Q128-G128)^2</f>
        <v>9.7407853165325955E-5</v>
      </c>
    </row>
    <row r="129" spans="1:19" s="24" customFormat="1" x14ac:dyDescent="0.2">
      <c r="A129" s="80" t="s">
        <v>91</v>
      </c>
      <c r="B129" s="36"/>
      <c r="C129" s="32">
        <v>54545.928800000002</v>
      </c>
      <c r="D129" s="32">
        <v>1E-4</v>
      </c>
      <c r="E129" s="26">
        <f t="shared" si="27"/>
        <v>4132.4924782527942</v>
      </c>
      <c r="F129" s="24">
        <f t="shared" si="28"/>
        <v>4132.5</v>
      </c>
      <c r="G129" s="27">
        <f t="shared" si="31"/>
        <v>-2.6331224944442511E-3</v>
      </c>
      <c r="H129" s="27"/>
      <c r="I129" s="27"/>
      <c r="J129" s="27"/>
      <c r="K129" s="27"/>
      <c r="L129" s="27"/>
      <c r="M129" s="27"/>
      <c r="N129" s="27">
        <f>+G129</f>
        <v>-2.6331224944442511E-3</v>
      </c>
      <c r="O129" s="27"/>
      <c r="P129" s="27">
        <f t="shared" ca="1" si="24"/>
        <v>-1.5243008993206298E-3</v>
      </c>
      <c r="Q129" s="27">
        <f t="shared" si="29"/>
        <v>7.7390748849915313E-4</v>
      </c>
      <c r="R129" s="28">
        <f t="shared" si="30"/>
        <v>39527.428800000002</v>
      </c>
      <c r="S129" s="24">
        <f t="shared" si="32"/>
        <v>1.1607853304675335E-5</v>
      </c>
    </row>
    <row r="130" spans="1:19" x14ac:dyDescent="0.2">
      <c r="A130" s="32" t="s">
        <v>100</v>
      </c>
      <c r="B130" s="77" t="s">
        <v>53</v>
      </c>
      <c r="C130" s="32">
        <v>54558.356119999997</v>
      </c>
      <c r="D130" s="32">
        <v>1E-4</v>
      </c>
      <c r="E130" s="26">
        <f t="shared" si="27"/>
        <v>4167.9922165278658</v>
      </c>
      <c r="F130" s="24">
        <f t="shared" si="28"/>
        <v>4168</v>
      </c>
      <c r="G130" s="27">
        <f t="shared" si="31"/>
        <v>-2.7247440011706203E-3</v>
      </c>
      <c r="H130" s="27"/>
      <c r="I130" s="27"/>
      <c r="J130" s="27"/>
      <c r="K130" s="27"/>
      <c r="L130" s="27"/>
      <c r="M130" s="27"/>
      <c r="O130" s="27">
        <f>+G130</f>
        <v>-2.7247440011706203E-3</v>
      </c>
      <c r="P130" s="27">
        <f t="shared" ca="1" si="24"/>
        <v>-1.5689836873392315E-3</v>
      </c>
      <c r="Q130" s="27">
        <f t="shared" si="29"/>
        <v>7.857932781306805E-4</v>
      </c>
      <c r="R130" s="28">
        <f t="shared" si="30"/>
        <v>39539.856119999997</v>
      </c>
      <c r="S130" s="24">
        <f t="shared" si="32"/>
        <v>1.2323871989364181E-5</v>
      </c>
    </row>
    <row r="131" spans="1:19" x14ac:dyDescent="0.2">
      <c r="A131" s="32" t="s">
        <v>94</v>
      </c>
      <c r="B131" s="77" t="s">
        <v>53</v>
      </c>
      <c r="C131" s="32">
        <v>54597.3891</v>
      </c>
      <c r="D131" s="32">
        <v>1.1000000000000001E-3</v>
      </c>
      <c r="E131" s="26">
        <f t="shared" si="27"/>
        <v>4279.4933747902069</v>
      </c>
      <c r="F131" s="24">
        <f t="shared" si="28"/>
        <v>4279.5</v>
      </c>
      <c r="G131" s="27">
        <f t="shared" si="31"/>
        <v>-2.3192734952317551E-3</v>
      </c>
      <c r="H131" s="27"/>
      <c r="I131" s="27"/>
      <c r="J131" s="27">
        <f>+G131</f>
        <v>-2.3192734952317551E-3</v>
      </c>
      <c r="K131" s="27"/>
      <c r="L131" s="27"/>
      <c r="M131" s="27"/>
      <c r="P131" s="27">
        <f t="shared" ca="1" si="24"/>
        <v>-1.7093254018201907E-3</v>
      </c>
      <c r="Q131" s="27">
        <f t="shared" si="29"/>
        <v>8.2370498273651746E-4</v>
      </c>
      <c r="R131" s="28">
        <f t="shared" si="30"/>
        <v>39578.8891</v>
      </c>
      <c r="S131" s="24">
        <f t="shared" si="32"/>
        <v>9.8783137129717591E-6</v>
      </c>
    </row>
    <row r="132" spans="1:19" x14ac:dyDescent="0.2">
      <c r="A132" s="32" t="s">
        <v>94</v>
      </c>
      <c r="B132" s="77" t="s">
        <v>53</v>
      </c>
      <c r="C132" s="32">
        <v>54597.566299999999</v>
      </c>
      <c r="D132" s="32">
        <v>8.0000000000000004E-4</v>
      </c>
      <c r="E132" s="26">
        <f t="shared" si="27"/>
        <v>4279.9995622563929</v>
      </c>
      <c r="F132" s="24">
        <f t="shared" si="28"/>
        <v>4280</v>
      </c>
      <c r="G132" s="27">
        <f t="shared" si="31"/>
        <v>-1.5323999832617119E-4</v>
      </c>
      <c r="H132" s="27"/>
      <c r="I132" s="27"/>
      <c r="J132" s="27">
        <f>+G132</f>
        <v>-1.5323999832617119E-4</v>
      </c>
      <c r="K132" s="27"/>
      <c r="L132" s="27"/>
      <c r="M132" s="27"/>
      <c r="P132" s="27">
        <f t="shared" ca="1" si="24"/>
        <v>-1.7099547368627055E-3</v>
      </c>
      <c r="Q132" s="27">
        <f t="shared" si="29"/>
        <v>8.2387697297569315E-4</v>
      </c>
      <c r="R132" s="28">
        <f t="shared" si="30"/>
        <v>39579.066299999999</v>
      </c>
      <c r="S132" s="24">
        <f t="shared" si="32"/>
        <v>9.5475757560612841E-7</v>
      </c>
    </row>
    <row r="133" spans="1:19" x14ac:dyDescent="0.2">
      <c r="A133" s="37" t="s">
        <v>174</v>
      </c>
      <c r="B133" s="86" t="s">
        <v>48</v>
      </c>
      <c r="C133" s="37">
        <v>54898.797100000003</v>
      </c>
      <c r="D133" s="37">
        <v>1E-4</v>
      </c>
      <c r="E133" s="26">
        <f t="shared" si="27"/>
        <v>5140.4919741677832</v>
      </c>
      <c r="F133" s="24">
        <f t="shared" si="28"/>
        <v>5140.5</v>
      </c>
      <c r="G133" s="27">
        <f t="shared" si="31"/>
        <v>-2.8095864981878549E-3</v>
      </c>
      <c r="H133" s="27"/>
      <c r="I133" s="27"/>
      <c r="J133" s="27">
        <f>+G133</f>
        <v>-2.8095864981878549E-3</v>
      </c>
      <c r="K133" s="27"/>
      <c r="L133" s="27"/>
      <c r="M133" s="27"/>
      <c r="P133" s="27">
        <f t="shared" ca="1" si="24"/>
        <v>-2.7930403450319003E-3</v>
      </c>
      <c r="Q133" s="27">
        <f t="shared" si="29"/>
        <v>1.1461022808737153E-3</v>
      </c>
      <c r="R133" s="28">
        <f t="shared" si="30"/>
        <v>39880.297100000003</v>
      </c>
      <c r="S133" s="24">
        <f t="shared" si="32"/>
        <v>1.5647473716793617E-5</v>
      </c>
    </row>
    <row r="134" spans="1:19" x14ac:dyDescent="0.2">
      <c r="A134" s="78" t="s">
        <v>101</v>
      </c>
      <c r="B134" s="77" t="s">
        <v>48</v>
      </c>
      <c r="C134" s="32">
        <v>54925.401339999997</v>
      </c>
      <c r="D134" s="32">
        <v>2.0000000000000001E-4</v>
      </c>
      <c r="E134" s="26">
        <f t="shared" si="27"/>
        <v>5216.4893377994676</v>
      </c>
      <c r="F134" s="24">
        <f t="shared" si="28"/>
        <v>5216.5</v>
      </c>
      <c r="G134" s="27">
        <f t="shared" si="31"/>
        <v>-3.7324945005821064E-3</v>
      </c>
      <c r="H134" s="27"/>
      <c r="I134" s="27"/>
      <c r="J134" s="27"/>
      <c r="K134" s="27"/>
      <c r="L134" s="27"/>
      <c r="M134" s="27"/>
      <c r="O134" s="27">
        <f t="shared" ref="O134:O139" si="33">+G134</f>
        <v>-3.7324945005821064E-3</v>
      </c>
      <c r="P134" s="27">
        <f t="shared" ca="1" si="24"/>
        <v>-2.8886992714942578E-3</v>
      </c>
      <c r="Q134" s="27">
        <f t="shared" si="29"/>
        <v>1.1770812674199724E-3</v>
      </c>
      <c r="R134" s="28">
        <f t="shared" si="30"/>
        <v>39906.901339999997</v>
      </c>
      <c r="S134" s="24">
        <f t="shared" si="32"/>
        <v>2.4103934221753203E-5</v>
      </c>
    </row>
    <row r="135" spans="1:19" x14ac:dyDescent="0.2">
      <c r="A135" s="78" t="s">
        <v>101</v>
      </c>
      <c r="B135" s="77" t="s">
        <v>48</v>
      </c>
      <c r="C135" s="32">
        <v>54925.401639999996</v>
      </c>
      <c r="D135" s="32">
        <v>1E-4</v>
      </c>
      <c r="E135" s="26">
        <f t="shared" si="27"/>
        <v>5216.4901947759899</v>
      </c>
      <c r="F135" s="24">
        <f t="shared" si="28"/>
        <v>5216.5</v>
      </c>
      <c r="G135" s="27">
        <f t="shared" si="31"/>
        <v>-3.4324945008847862E-3</v>
      </c>
      <c r="H135" s="27"/>
      <c r="I135" s="27"/>
      <c r="J135" s="27"/>
      <c r="K135" s="27"/>
      <c r="L135" s="27"/>
      <c r="M135" s="27"/>
      <c r="O135" s="27">
        <f t="shared" si="33"/>
        <v>-3.4324945008847862E-3</v>
      </c>
      <c r="P135" s="27">
        <f t="shared" ca="1" si="24"/>
        <v>-2.8886992714942578E-3</v>
      </c>
      <c r="Q135" s="27">
        <f t="shared" si="29"/>
        <v>1.1770812674199724E-3</v>
      </c>
      <c r="R135" s="28">
        <f t="shared" si="30"/>
        <v>39906.901639999996</v>
      </c>
      <c r="S135" s="24">
        <f t="shared" si="32"/>
        <v>2.1248188763742407E-5</v>
      </c>
    </row>
    <row r="136" spans="1:19" x14ac:dyDescent="0.2">
      <c r="A136" s="78" t="s">
        <v>101</v>
      </c>
      <c r="B136" s="77" t="s">
        <v>48</v>
      </c>
      <c r="C136" s="32">
        <v>54925.401639999996</v>
      </c>
      <c r="D136" s="32">
        <v>2.0000000000000001E-4</v>
      </c>
      <c r="E136" s="26">
        <f t="shared" si="27"/>
        <v>5216.4901947759899</v>
      </c>
      <c r="F136" s="24">
        <f t="shared" si="28"/>
        <v>5216.5</v>
      </c>
      <c r="G136" s="27">
        <f t="shared" si="31"/>
        <v>-3.4324945008847862E-3</v>
      </c>
      <c r="H136" s="27"/>
      <c r="I136" s="27"/>
      <c r="J136" s="27"/>
      <c r="K136" s="27"/>
      <c r="L136" s="27"/>
      <c r="M136" s="27"/>
      <c r="O136" s="27">
        <f t="shared" si="33"/>
        <v>-3.4324945008847862E-3</v>
      </c>
      <c r="P136" s="27">
        <f t="shared" ca="1" si="24"/>
        <v>-2.8886992714942578E-3</v>
      </c>
      <c r="Q136" s="27">
        <f t="shared" si="29"/>
        <v>1.1770812674199724E-3</v>
      </c>
      <c r="R136" s="28">
        <f t="shared" si="30"/>
        <v>39906.901639999996</v>
      </c>
      <c r="S136" s="24">
        <f t="shared" si="32"/>
        <v>2.1248188763742407E-5</v>
      </c>
    </row>
    <row r="137" spans="1:19" s="24" customFormat="1" x14ac:dyDescent="0.2">
      <c r="A137" s="7" t="s">
        <v>175</v>
      </c>
      <c r="C137" s="25">
        <v>54943.779300000002</v>
      </c>
      <c r="D137" s="25">
        <v>1E-4</v>
      </c>
      <c r="E137" s="26">
        <f t="shared" si="27"/>
        <v>5268.9876053286025</v>
      </c>
      <c r="F137" s="24">
        <f t="shared" si="28"/>
        <v>5269</v>
      </c>
      <c r="G137" s="27">
        <f t="shared" si="31"/>
        <v>-4.3389769998611882E-3</v>
      </c>
      <c r="H137" s="27"/>
      <c r="I137" s="27"/>
      <c r="J137" s="27"/>
      <c r="K137" s="27"/>
      <c r="L137" s="27"/>
      <c r="M137" s="27"/>
      <c r="O137" s="27">
        <f t="shared" si="33"/>
        <v>-4.3389769998611882E-3</v>
      </c>
      <c r="P137" s="27">
        <f t="shared" ca="1" si="24"/>
        <v>-2.9547794509583868E-3</v>
      </c>
      <c r="Q137" s="27">
        <f t="shared" si="29"/>
        <v>1.1987200659974327E-3</v>
      </c>
      <c r="R137" s="28">
        <f t="shared" si="30"/>
        <v>39925.279300000002</v>
      </c>
      <c r="S137" s="24">
        <f t="shared" si="32"/>
        <v>3.0666088793219177E-5</v>
      </c>
    </row>
    <row r="138" spans="1:19" x14ac:dyDescent="0.2">
      <c r="A138" s="87" t="s">
        <v>185</v>
      </c>
      <c r="B138" s="88" t="s">
        <v>53</v>
      </c>
      <c r="C138" s="89">
        <v>55238.885600000001</v>
      </c>
      <c r="D138" s="89">
        <v>1E-4</v>
      </c>
      <c r="E138" s="26">
        <f t="shared" si="27"/>
        <v>6111.9848415250399</v>
      </c>
      <c r="F138" s="24">
        <f t="shared" si="28"/>
        <v>6112</v>
      </c>
      <c r="G138" s="27">
        <f t="shared" si="31"/>
        <v>-5.3064959938637912E-3</v>
      </c>
      <c r="H138" s="27"/>
      <c r="I138" s="27"/>
      <c r="J138" s="27"/>
      <c r="K138" s="27"/>
      <c r="L138" s="27"/>
      <c r="M138" s="27"/>
      <c r="O138" s="27">
        <f t="shared" si="33"/>
        <v>-5.3064959938637912E-3</v>
      </c>
      <c r="P138" s="27">
        <f t="shared" ca="1" si="24"/>
        <v>-4.0158383326395382E-3</v>
      </c>
      <c r="Q138" s="27">
        <f t="shared" si="29"/>
        <v>1.5729036675459112E-3</v>
      </c>
      <c r="R138" s="28">
        <f t="shared" si="30"/>
        <v>40220.385600000001</v>
      </c>
      <c r="S138" s="24">
        <f t="shared" si="32"/>
        <v>4.7326139701403929E-5</v>
      </c>
    </row>
    <row r="139" spans="1:19" x14ac:dyDescent="0.2">
      <c r="A139" s="90" t="s">
        <v>186</v>
      </c>
      <c r="B139" s="91" t="s">
        <v>48</v>
      </c>
      <c r="C139" s="92">
        <v>55304.523930000003</v>
      </c>
      <c r="D139" s="92">
        <v>1E-4</v>
      </c>
      <c r="E139" s="26">
        <f t="shared" si="27"/>
        <v>6299.4865342322137</v>
      </c>
      <c r="F139" s="24">
        <f t="shared" si="28"/>
        <v>6299.5</v>
      </c>
      <c r="G139" s="27">
        <f t="shared" si="31"/>
        <v>-4.7139334928942844E-3</v>
      </c>
      <c r="H139" s="27"/>
      <c r="I139" s="27"/>
      <c r="J139" s="27"/>
      <c r="K139" s="27"/>
      <c r="L139" s="27"/>
      <c r="M139" s="27"/>
      <c r="O139" s="27">
        <f t="shared" si="33"/>
        <v>-4.7139334928942844E-3</v>
      </c>
      <c r="P139" s="27">
        <f t="shared" ca="1" si="24"/>
        <v>-4.2518389735828541E-3</v>
      </c>
      <c r="Q139" s="27">
        <f t="shared" si="29"/>
        <v>1.6629701748368854E-3</v>
      </c>
      <c r="R139" s="28">
        <f t="shared" si="30"/>
        <v>40286.023930000003</v>
      </c>
      <c r="S139" s="24">
        <f t="shared" si="32"/>
        <v>4.0664900387523243E-5</v>
      </c>
    </row>
    <row r="140" spans="1:19" x14ac:dyDescent="0.2">
      <c r="A140" s="93" t="s">
        <v>187</v>
      </c>
      <c r="B140" s="94" t="s">
        <v>48</v>
      </c>
      <c r="C140" s="93">
        <v>55323.430979999997</v>
      </c>
      <c r="D140" s="93">
        <v>4.0999999999999999E-4</v>
      </c>
      <c r="E140" s="26">
        <f t="shared" si="27"/>
        <v>6353.4961941229822</v>
      </c>
      <c r="F140" s="24">
        <f t="shared" si="28"/>
        <v>6353.5</v>
      </c>
      <c r="G140" s="27">
        <f t="shared" si="31"/>
        <v>-1.332315499894321E-3</v>
      </c>
      <c r="H140" s="27"/>
      <c r="I140" s="27"/>
      <c r="J140" s="27">
        <f>+G140</f>
        <v>-1.332315499894321E-3</v>
      </c>
      <c r="K140" s="27"/>
      <c r="L140" s="27"/>
      <c r="M140" s="27"/>
      <c r="P140" s="27">
        <f t="shared" ca="1" si="24"/>
        <v>-4.3198071581745292E-3</v>
      </c>
      <c r="Q140" s="27">
        <f t="shared" si="29"/>
        <v>1.6893710257946614E-3</v>
      </c>
      <c r="R140" s="28">
        <f t="shared" si="30"/>
        <v>40304.930979999997</v>
      </c>
      <c r="S140" s="24">
        <f t="shared" si="32"/>
        <v>9.130589459530353E-6</v>
      </c>
    </row>
    <row r="141" spans="1:19" x14ac:dyDescent="0.2">
      <c r="A141" s="93" t="s">
        <v>187</v>
      </c>
      <c r="B141" s="94" t="s">
        <v>53</v>
      </c>
      <c r="C141" s="93">
        <v>55329.55416</v>
      </c>
      <c r="D141" s="93">
        <v>1.7000000000000001E-4</v>
      </c>
      <c r="E141" s="26">
        <f t="shared" si="27"/>
        <v>6370.9875991412255</v>
      </c>
      <c r="F141" s="24">
        <f t="shared" si="28"/>
        <v>6371</v>
      </c>
      <c r="G141" s="27">
        <f t="shared" si="31"/>
        <v>-4.3411430015112273E-3</v>
      </c>
      <c r="H141" s="27"/>
      <c r="I141" s="27"/>
      <c r="J141" s="27">
        <f>+G141</f>
        <v>-4.3411430015112273E-3</v>
      </c>
      <c r="K141" s="27"/>
      <c r="L141" s="27"/>
      <c r="M141" s="27"/>
      <c r="P141" s="27">
        <f t="shared" ca="1" si="24"/>
        <v>-4.3418338846625722E-3</v>
      </c>
      <c r="Q141" s="27">
        <f t="shared" si="29"/>
        <v>1.6979711557351448E-3</v>
      </c>
      <c r="R141" s="28">
        <f t="shared" si="30"/>
        <v>40311.05416</v>
      </c>
      <c r="S141" s="24">
        <f t="shared" si="32"/>
        <v>3.6470899804253562E-5</v>
      </c>
    </row>
    <row r="142" spans="1:19" x14ac:dyDescent="0.2">
      <c r="A142" s="90" t="s">
        <v>186</v>
      </c>
      <c r="B142" s="91" t="s">
        <v>53</v>
      </c>
      <c r="C142" s="92">
        <v>55619.409650000001</v>
      </c>
      <c r="D142" s="92">
        <v>1E-4</v>
      </c>
      <c r="E142" s="26">
        <f t="shared" si="27"/>
        <v>7198.9854323503632</v>
      </c>
      <c r="F142" s="24">
        <f t="shared" si="28"/>
        <v>7199</v>
      </c>
      <c r="G142" s="27">
        <f t="shared" si="31"/>
        <v>-5.0996669961023144E-3</v>
      </c>
      <c r="H142" s="27"/>
      <c r="I142" s="27"/>
      <c r="J142" s="27"/>
      <c r="K142" s="27"/>
      <c r="L142" s="27"/>
      <c r="M142" s="27"/>
      <c r="O142" s="27">
        <f>+G142</f>
        <v>-5.0996669961023144E-3</v>
      </c>
      <c r="P142" s="27">
        <f t="shared" ca="1" si="24"/>
        <v>-5.3840127150682586E-3</v>
      </c>
      <c r="Q142" s="27">
        <f t="shared" si="29"/>
        <v>2.1296652208187246E-3</v>
      </c>
      <c r="R142" s="28">
        <f t="shared" si="30"/>
        <v>40600.909650000001</v>
      </c>
      <c r="S142" s="24">
        <f t="shared" si="32"/>
        <v>5.2263244302612466E-5</v>
      </c>
    </row>
    <row r="143" spans="1:19" x14ac:dyDescent="0.2">
      <c r="A143" s="93" t="s">
        <v>187</v>
      </c>
      <c r="B143" s="94" t="s">
        <v>48</v>
      </c>
      <c r="C143" s="93">
        <v>55664.397369999999</v>
      </c>
      <c r="D143" s="93">
        <v>1.1199999999999999E-3</v>
      </c>
      <c r="E143" s="26">
        <f t="shared" si="27"/>
        <v>7327.4968318792016</v>
      </c>
      <c r="F143" s="24">
        <f t="shared" si="28"/>
        <v>7327.5</v>
      </c>
      <c r="G143" s="27">
        <f t="shared" si="31"/>
        <v>-1.1090574989793822E-3</v>
      </c>
      <c r="H143" s="27"/>
      <c r="I143" s="27"/>
      <c r="J143" s="27">
        <f>+G143</f>
        <v>-1.1090574989793822E-3</v>
      </c>
      <c r="K143" s="27"/>
      <c r="L143" s="27"/>
      <c r="M143" s="27"/>
      <c r="P143" s="27">
        <f t="shared" ca="1" si="24"/>
        <v>-5.545751820994746E-3</v>
      </c>
      <c r="Q143" s="27">
        <f t="shared" si="29"/>
        <v>2.2010126713370133E-3</v>
      </c>
      <c r="R143" s="28">
        <f t="shared" si="30"/>
        <v>40645.897369999999</v>
      </c>
      <c r="S143" s="24">
        <f t="shared" si="32"/>
        <v>1.0956564532418411E-5</v>
      </c>
    </row>
  </sheetData>
  <sheetProtection sheet="1" objects="1" scenarios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F792"/>
  <sheetViews>
    <sheetView workbookViewId="0">
      <selection activeCell="R10" sqref="R10"/>
    </sheetView>
  </sheetViews>
  <sheetFormatPr defaultColWidth="10.28515625" defaultRowHeight="12.75" x14ac:dyDescent="0.2"/>
  <cols>
    <col min="1" max="1" width="19.42578125" customWidth="1"/>
    <col min="2" max="2" width="4.42578125" customWidth="1"/>
    <col min="3" max="3" width="11.85546875" customWidth="1"/>
    <col min="4" max="4" width="10.7109375" customWidth="1"/>
    <col min="5" max="5" width="9.140625" style="11" customWidth="1"/>
    <col min="6" max="6" width="17.28515625" customWidth="1"/>
    <col min="7" max="7" width="8.140625" style="12" customWidth="1"/>
    <col min="8" max="11" width="8.5703125" style="12" customWidth="1"/>
    <col min="12" max="12" width="13.140625" style="12" bestFit="1" customWidth="1"/>
    <col min="13" max="15" width="8.5703125" style="12" customWidth="1"/>
    <col min="16" max="16" width="8" style="107" customWidth="1"/>
    <col min="17" max="17" width="10.5703125" style="12" customWidth="1"/>
    <col min="18" max="18" width="10.140625" style="10" bestFit="1" customWidth="1"/>
    <col min="19" max="20" width="10.28515625" customWidth="1"/>
    <col min="21" max="21" width="9.140625" customWidth="1"/>
  </cols>
  <sheetData>
    <row r="1" spans="1:18" ht="20.25" x14ac:dyDescent="0.3">
      <c r="A1" s="1" t="s">
        <v>189</v>
      </c>
      <c r="E1"/>
      <c r="G1"/>
      <c r="H1"/>
      <c r="I1"/>
      <c r="J1"/>
      <c r="K1"/>
      <c r="L1"/>
      <c r="M1"/>
      <c r="N1"/>
      <c r="O1"/>
      <c r="P1" s="104"/>
      <c r="Q1"/>
      <c r="R1"/>
    </row>
    <row r="2" spans="1:18" x14ac:dyDescent="0.2">
      <c r="A2" t="s">
        <v>42</v>
      </c>
      <c r="B2" t="s">
        <v>57</v>
      </c>
      <c r="E2"/>
      <c r="G2"/>
      <c r="H2"/>
      <c r="I2"/>
      <c r="J2"/>
      <c r="K2"/>
      <c r="L2"/>
      <c r="M2"/>
      <c r="N2"/>
      <c r="O2"/>
      <c r="P2" s="104"/>
      <c r="Q2"/>
      <c r="R2"/>
    </row>
    <row r="3" spans="1:18" ht="13.5" thickBot="1" x14ac:dyDescent="0.25">
      <c r="A3" s="13" t="s">
        <v>249</v>
      </c>
      <c r="E3"/>
      <c r="G3"/>
      <c r="H3"/>
      <c r="I3"/>
      <c r="J3"/>
      <c r="K3"/>
      <c r="L3"/>
      <c r="M3"/>
      <c r="N3"/>
      <c r="O3"/>
      <c r="P3" s="104"/>
      <c r="Q3"/>
      <c r="R3"/>
    </row>
    <row r="4" spans="1:18" ht="14.25" thickTop="1" thickBot="1" x14ac:dyDescent="0.25">
      <c r="A4" s="7" t="s">
        <v>18</v>
      </c>
      <c r="C4" s="2">
        <v>44474.326999999997</v>
      </c>
      <c r="D4" s="3">
        <v>0.35006710000000002</v>
      </c>
      <c r="E4"/>
      <c r="G4"/>
      <c r="H4"/>
      <c r="I4"/>
      <c r="J4"/>
      <c r="K4"/>
      <c r="L4"/>
      <c r="M4"/>
      <c r="N4"/>
      <c r="O4"/>
      <c r="P4" s="104"/>
      <c r="Q4"/>
      <c r="R4"/>
    </row>
    <row r="5" spans="1:18" ht="13.5" thickTop="1" x14ac:dyDescent="0.2">
      <c r="A5" s="81" t="s">
        <v>176</v>
      </c>
      <c r="B5" s="45"/>
      <c r="C5" s="82">
        <v>8</v>
      </c>
      <c r="D5" s="45" t="s">
        <v>177</v>
      </c>
      <c r="E5"/>
      <c r="G5"/>
      <c r="H5"/>
      <c r="I5"/>
      <c r="J5"/>
      <c r="K5"/>
      <c r="L5"/>
      <c r="M5"/>
      <c r="N5"/>
      <c r="O5"/>
      <c r="P5" s="104"/>
      <c r="Q5"/>
      <c r="R5"/>
    </row>
    <row r="6" spans="1:18" x14ac:dyDescent="0.2">
      <c r="A6" s="7" t="s">
        <v>19</v>
      </c>
      <c r="E6"/>
      <c r="G6"/>
      <c r="H6"/>
      <c r="I6"/>
      <c r="J6"/>
      <c r="K6"/>
      <c r="L6"/>
      <c r="M6"/>
      <c r="N6"/>
      <c r="O6"/>
      <c r="P6" s="104"/>
      <c r="Q6"/>
      <c r="R6"/>
    </row>
    <row r="7" spans="1:18" x14ac:dyDescent="0.2">
      <c r="A7" t="s">
        <v>20</v>
      </c>
      <c r="C7">
        <v>42858.068670000001</v>
      </c>
      <c r="D7" s="13" t="s">
        <v>249</v>
      </c>
      <c r="E7"/>
      <c r="G7"/>
      <c r="H7"/>
      <c r="I7"/>
      <c r="J7"/>
      <c r="K7"/>
      <c r="L7"/>
      <c r="M7"/>
      <c r="N7"/>
      <c r="O7"/>
      <c r="P7" s="104"/>
      <c r="Q7"/>
      <c r="R7"/>
    </row>
    <row r="8" spans="1:18" x14ac:dyDescent="0.2">
      <c r="A8" t="s">
        <v>21</v>
      </c>
      <c r="C8">
        <v>0.35006570999999997</v>
      </c>
      <c r="D8" s="13" t="s">
        <v>249</v>
      </c>
      <c r="E8"/>
      <c r="G8"/>
      <c r="H8"/>
      <c r="I8"/>
      <c r="J8"/>
      <c r="K8"/>
      <c r="L8"/>
      <c r="M8"/>
      <c r="N8"/>
      <c r="O8"/>
      <c r="P8" s="104"/>
      <c r="Q8"/>
      <c r="R8"/>
    </row>
    <row r="9" spans="1:18" x14ac:dyDescent="0.2">
      <c r="A9" s="22" t="s">
        <v>93</v>
      </c>
      <c r="B9" s="22"/>
      <c r="C9" s="22">
        <v>120</v>
      </c>
      <c r="D9" s="22" t="str">
        <f>"F"&amp;C9</f>
        <v>F120</v>
      </c>
      <c r="E9" s="22" t="str">
        <f>"G"&amp;C9</f>
        <v>G120</v>
      </c>
      <c r="G9"/>
      <c r="H9"/>
      <c r="I9"/>
      <c r="J9"/>
      <c r="K9"/>
      <c r="L9"/>
      <c r="M9"/>
      <c r="N9"/>
      <c r="O9"/>
      <c r="P9" s="104"/>
      <c r="Q9"/>
      <c r="R9"/>
    </row>
    <row r="10" spans="1:18" ht="13.5" thickBot="1" x14ac:dyDescent="0.25">
      <c r="C10" s="6" t="s">
        <v>37</v>
      </c>
      <c r="D10" s="6" t="s">
        <v>38</v>
      </c>
      <c r="E10"/>
      <c r="G10"/>
      <c r="H10"/>
      <c r="I10"/>
      <c r="J10"/>
      <c r="K10"/>
      <c r="L10"/>
      <c r="M10"/>
      <c r="N10"/>
      <c r="O10"/>
      <c r="P10" s="104"/>
      <c r="Q10"/>
      <c r="R10"/>
    </row>
    <row r="11" spans="1:18" x14ac:dyDescent="0.2">
      <c r="A11" t="s">
        <v>33</v>
      </c>
      <c r="C11" s="23">
        <f ca="1">INTERCEPT(INDIRECT(E9):G997,INDIRECT(D9):$F997)</f>
        <v>-2.4085264485337286E-2</v>
      </c>
      <c r="D11" s="5">
        <f>+E11*F11</f>
        <v>9.9906966462109841E-8</v>
      </c>
      <c r="E11" s="14">
        <v>0.99906966462109847</v>
      </c>
      <c r="F11">
        <v>9.9999999999999995E-8</v>
      </c>
      <c r="G11"/>
      <c r="H11"/>
      <c r="I11"/>
      <c r="J11"/>
      <c r="K11"/>
      <c r="L11"/>
      <c r="M11"/>
      <c r="N11"/>
      <c r="O11"/>
      <c r="P11" s="104"/>
      <c r="Q11"/>
      <c r="R11"/>
    </row>
    <row r="12" spans="1:18" x14ac:dyDescent="0.2">
      <c r="A12" t="s">
        <v>34</v>
      </c>
      <c r="C12" s="23">
        <f ca="1">SLOPE(INDIRECT(E9):G997,INDIRECT(D9):$F997)</f>
        <v>1.9495681844618457E-6</v>
      </c>
      <c r="D12" s="5">
        <f>+E12*F12</f>
        <v>3.9979946890104712E-7</v>
      </c>
      <c r="E12" s="15">
        <v>3.9979946890104712</v>
      </c>
      <c r="F12">
        <v>9.9999999999999995E-8</v>
      </c>
      <c r="G12"/>
      <c r="H12"/>
      <c r="I12"/>
      <c r="J12"/>
      <c r="K12"/>
      <c r="L12"/>
      <c r="M12"/>
      <c r="N12"/>
      <c r="O12"/>
      <c r="P12" s="104"/>
      <c r="Q12"/>
      <c r="R12"/>
    </row>
    <row r="13" spans="1:18" ht="13.5" thickBot="1" x14ac:dyDescent="0.25">
      <c r="A13" t="s">
        <v>36</v>
      </c>
      <c r="C13" s="5" t="s">
        <v>31</v>
      </c>
      <c r="D13" s="5">
        <f>+E13*F13</f>
        <v>2.4041884586393077E-11</v>
      </c>
      <c r="E13" s="16">
        <v>0.24041884586393075</v>
      </c>
      <c r="F13">
        <v>1E-10</v>
      </c>
      <c r="G13"/>
      <c r="H13"/>
      <c r="I13"/>
      <c r="J13"/>
      <c r="K13"/>
      <c r="L13"/>
      <c r="M13"/>
      <c r="N13"/>
      <c r="O13"/>
      <c r="P13" s="104"/>
      <c r="Q13"/>
      <c r="R13"/>
    </row>
    <row r="14" spans="1:18" x14ac:dyDescent="0.2">
      <c r="A14" t="s">
        <v>41</v>
      </c>
      <c r="E14">
        <f>SUM(V21:V901)</f>
        <v>4.0146035896719608E-3</v>
      </c>
      <c r="G14"/>
      <c r="H14"/>
      <c r="I14"/>
      <c r="J14"/>
      <c r="K14"/>
      <c r="L14"/>
      <c r="M14"/>
      <c r="N14"/>
      <c r="O14"/>
      <c r="P14" s="104"/>
      <c r="Q14"/>
      <c r="R14"/>
    </row>
    <row r="15" spans="1:18" x14ac:dyDescent="0.2">
      <c r="A15" s="4" t="s">
        <v>35</v>
      </c>
      <c r="C15" s="17">
        <f ca="1">(C7+C11)+(C8+C12)*INT(MAX(F21:F3524))</f>
        <v>56408.463551300796</v>
      </c>
      <c r="D15" s="19">
        <f>+C7+INT(MAX(F21:F1579))*C8+D11+D12*INT(MAX(F21:F4014))+D13*INT(MAX(F21:F4041)^2)</f>
        <v>56408.463670396151</v>
      </c>
      <c r="E15" s="83" t="s">
        <v>178</v>
      </c>
      <c r="F15" s="82">
        <v>1</v>
      </c>
      <c r="G15"/>
      <c r="H15"/>
      <c r="I15"/>
      <c r="J15"/>
      <c r="K15"/>
      <c r="L15"/>
      <c r="M15"/>
      <c r="N15"/>
      <c r="O15"/>
      <c r="P15" s="104"/>
      <c r="Q15"/>
      <c r="R15"/>
    </row>
    <row r="16" spans="1:18" x14ac:dyDescent="0.2">
      <c r="A16" s="7" t="s">
        <v>22</v>
      </c>
      <c r="C16" s="18">
        <f ca="1">+C8+C12</f>
        <v>0.35006765956818442</v>
      </c>
      <c r="D16" s="19">
        <f>+C8+D12+2*D13*F95</f>
        <v>0.35006677109554635</v>
      </c>
      <c r="E16" s="83" t="s">
        <v>179</v>
      </c>
      <c r="F16" s="84">
        <f ca="1">NOW()+15018.5+$C$5/24</f>
        <v>60310.486301041667</v>
      </c>
      <c r="G16"/>
      <c r="H16"/>
      <c r="I16"/>
      <c r="J16"/>
      <c r="K16"/>
      <c r="L16"/>
      <c r="M16"/>
      <c r="N16"/>
      <c r="O16"/>
      <c r="P16" s="104"/>
      <c r="Q16"/>
      <c r="R16"/>
    </row>
    <row r="17" spans="1:24" ht="13.5" thickBot="1" x14ac:dyDescent="0.25">
      <c r="A17" s="23" t="s">
        <v>88</v>
      </c>
      <c r="C17">
        <f>COUNT(C21:C2182)</f>
        <v>157</v>
      </c>
      <c r="E17" s="83" t="s">
        <v>180</v>
      </c>
      <c r="F17" s="84">
        <f ca="1">ROUND(2*(F16-$C$7)/$C$8,0)/2+F15</f>
        <v>49855.5</v>
      </c>
      <c r="G17"/>
      <c r="H17"/>
      <c r="I17"/>
      <c r="J17"/>
      <c r="K17"/>
      <c r="L17"/>
      <c r="M17"/>
      <c r="N17"/>
      <c r="O17"/>
      <c r="P17" s="104"/>
      <c r="Q17"/>
      <c r="R17"/>
    </row>
    <row r="18" spans="1:24" ht="14.25" thickTop="1" thickBot="1" x14ac:dyDescent="0.25">
      <c r="A18" s="7" t="s">
        <v>183</v>
      </c>
      <c r="C18" s="40">
        <f ca="1">+C15</f>
        <v>56408.463551300796</v>
      </c>
      <c r="D18" s="41">
        <f ca="1">C16</f>
        <v>0.35006765956818442</v>
      </c>
      <c r="E18" s="83" t="s">
        <v>181</v>
      </c>
      <c r="F18" s="19">
        <f ca="1">ROUND(2*(F16-$C$15)/$C$16,0)/2+F15</f>
        <v>11147.5</v>
      </c>
      <c r="G18"/>
      <c r="H18"/>
      <c r="I18"/>
      <c r="J18"/>
      <c r="K18"/>
      <c r="L18"/>
      <c r="M18"/>
      <c r="N18"/>
      <c r="O18"/>
      <c r="P18" s="104"/>
      <c r="Q18"/>
      <c r="R18" s="114" t="s">
        <v>303</v>
      </c>
      <c r="S18" s="115"/>
      <c r="T18" s="115">
        <f>SQRT(E14/C17)</f>
        <v>5.0567502905616464E-3</v>
      </c>
      <c r="U18" s="116" t="s">
        <v>304</v>
      </c>
    </row>
    <row r="19" spans="1:24" ht="13.5" thickBot="1" x14ac:dyDescent="0.25">
      <c r="A19" s="7" t="s">
        <v>184</v>
      </c>
      <c r="B19">
        <f>COUNT(C21:C4730)</f>
        <v>157</v>
      </c>
      <c r="C19" s="20">
        <f>+D15</f>
        <v>56408.463670396151</v>
      </c>
      <c r="D19" s="21">
        <f>+D16</f>
        <v>0.35006677109554635</v>
      </c>
      <c r="E19" s="83" t="s">
        <v>182</v>
      </c>
      <c r="F19" s="85">
        <f ca="1">+$C$15+$C$16*F18-15018.5-$C$5/24</f>
        <v>45292.009453003797</v>
      </c>
      <c r="G19"/>
      <c r="H19"/>
      <c r="I19"/>
      <c r="J19"/>
      <c r="K19"/>
      <c r="L19"/>
      <c r="M19"/>
      <c r="N19"/>
      <c r="O19"/>
      <c r="P19" s="104"/>
      <c r="Q19"/>
      <c r="R19"/>
    </row>
    <row r="20" spans="1:24" ht="15" thickBot="1" x14ac:dyDescent="0.25">
      <c r="A20" s="6" t="s">
        <v>23</v>
      </c>
      <c r="B20" s="6" t="s">
        <v>24</v>
      </c>
      <c r="C20" s="6" t="s">
        <v>25</v>
      </c>
      <c r="D20" s="6" t="s">
        <v>30</v>
      </c>
      <c r="E20" s="6" t="s">
        <v>26</v>
      </c>
      <c r="F20" s="6" t="s">
        <v>27</v>
      </c>
      <c r="G20" s="6" t="s">
        <v>28</v>
      </c>
      <c r="H20" s="9" t="s">
        <v>293</v>
      </c>
      <c r="I20" s="9" t="s">
        <v>96</v>
      </c>
      <c r="J20" s="9" t="s">
        <v>294</v>
      </c>
      <c r="K20" s="9" t="s">
        <v>245</v>
      </c>
      <c r="L20" s="9" t="s">
        <v>299</v>
      </c>
      <c r="M20" s="9" t="s">
        <v>296</v>
      </c>
      <c r="N20" s="9" t="s">
        <v>90</v>
      </c>
      <c r="O20" s="9" t="s">
        <v>297</v>
      </c>
      <c r="P20" s="105" t="s">
        <v>40</v>
      </c>
      <c r="Q20" s="8" t="s">
        <v>39</v>
      </c>
      <c r="R20" s="6" t="s">
        <v>32</v>
      </c>
      <c r="S20" s="95" t="s">
        <v>102</v>
      </c>
      <c r="T20" s="8" t="s">
        <v>196</v>
      </c>
      <c r="U20" s="8" t="s">
        <v>198</v>
      </c>
      <c r="V20" s="8" t="s">
        <v>197</v>
      </c>
      <c r="W20" s="113" t="s">
        <v>298</v>
      </c>
      <c r="X20" s="19" t="s">
        <v>302</v>
      </c>
    </row>
    <row r="21" spans="1:24" s="24" customFormat="1" x14ac:dyDescent="0.2">
      <c r="A21" s="24" t="s">
        <v>191</v>
      </c>
      <c r="B21" s="29" t="s">
        <v>48</v>
      </c>
      <c r="C21" s="25">
        <v>38882.885699999999</v>
      </c>
      <c r="D21" s="25" t="s">
        <v>190</v>
      </c>
      <c r="E21" s="26">
        <f t="shared" ref="E21:E52" si="0">+(C21-C$7)/C$8</f>
        <v>-11355.53370822867</v>
      </c>
      <c r="F21" s="24">
        <f t="shared" ref="F21:F52" si="1">ROUND(2*E21,0)/2</f>
        <v>-11355.5</v>
      </c>
      <c r="G21" s="27">
        <f t="shared" ref="G21:G51" si="2">+C21-(C$7+F21*C$8)</f>
        <v>-1.1800095002399758E-2</v>
      </c>
      <c r="H21" s="27"/>
      <c r="I21" s="27"/>
      <c r="J21" s="27">
        <f>+G21</f>
        <v>-1.1800095002399758E-2</v>
      </c>
      <c r="K21" s="27"/>
      <c r="L21" s="31">
        <f t="shared" ref="L21:L31" si="3">G21</f>
        <v>-1.1800095002399758E-2</v>
      </c>
      <c r="M21" s="27"/>
      <c r="N21" s="27"/>
      <c r="O21" s="12"/>
      <c r="P21" s="106"/>
      <c r="Q21" s="27">
        <f t="shared" ref="Q21:Q52" si="4">+D$11+D$12*F21+D$13*F21^2</f>
        <v>-1.4396849284511364E-3</v>
      </c>
      <c r="R21" s="28">
        <f t="shared" ref="R21:R52" si="5">+C21-15018.5</f>
        <v>23864.385699999999</v>
      </c>
      <c r="T21" s="24">
        <f t="shared" ref="T21:T52" si="6">+(Q21-G21)^2</f>
        <v>1.0733809690037609E-4</v>
      </c>
      <c r="U21" s="24">
        <v>1</v>
      </c>
      <c r="V21" s="24">
        <f t="shared" ref="V21:V52" si="7">+U21*T21</f>
        <v>1.0733809690037609E-4</v>
      </c>
      <c r="W21" s="27">
        <f t="shared" ref="W21:W52" si="8">+G21-Q21</f>
        <v>-1.0360410073948622E-2</v>
      </c>
      <c r="X21" s="24" t="s">
        <v>190</v>
      </c>
    </row>
    <row r="22" spans="1:24" s="24" customFormat="1" x14ac:dyDescent="0.2">
      <c r="A22" s="24" t="s">
        <v>191</v>
      </c>
      <c r="B22" s="29" t="s">
        <v>53</v>
      </c>
      <c r="C22" s="25">
        <v>38883.760399999999</v>
      </c>
      <c r="D22" s="25" t="s">
        <v>190</v>
      </c>
      <c r="E22" s="26">
        <f t="shared" si="0"/>
        <v>-11353.035034479673</v>
      </c>
      <c r="F22" s="24">
        <f t="shared" si="1"/>
        <v>-11353</v>
      </c>
      <c r="G22" s="27">
        <f t="shared" si="2"/>
        <v>-1.2264370001503266E-2</v>
      </c>
      <c r="H22" s="27"/>
      <c r="I22" s="27"/>
      <c r="J22" s="27">
        <f>+G22</f>
        <v>-1.2264370001503266E-2</v>
      </c>
      <c r="K22" s="27"/>
      <c r="L22" s="31">
        <f t="shared" si="3"/>
        <v>-1.2264370001503266E-2</v>
      </c>
      <c r="M22" s="27"/>
      <c r="N22" s="27"/>
      <c r="O22" s="12"/>
      <c r="P22" s="106"/>
      <c r="Q22" s="27">
        <f t="shared" si="4"/>
        <v>-1.4400503176192092E-3</v>
      </c>
      <c r="R22" s="28">
        <f t="shared" si="5"/>
        <v>23865.260399999999</v>
      </c>
      <c r="T22" s="24">
        <f t="shared" si="6"/>
        <v>1.1716589661891986E-4</v>
      </c>
      <c r="U22" s="24">
        <v>1</v>
      </c>
      <c r="V22" s="24">
        <f t="shared" si="7"/>
        <v>1.1716589661891986E-4</v>
      </c>
      <c r="W22" s="27">
        <f t="shared" si="8"/>
        <v>-1.0824319683884058E-2</v>
      </c>
      <c r="X22" s="24" t="s">
        <v>190</v>
      </c>
    </row>
    <row r="23" spans="1:24" s="24" customFormat="1" x14ac:dyDescent="0.2">
      <c r="A23" s="24" t="s">
        <v>191</v>
      </c>
      <c r="B23" s="29" t="s">
        <v>53</v>
      </c>
      <c r="C23" s="25">
        <v>38884.810400000002</v>
      </c>
      <c r="D23" s="25" t="s">
        <v>190</v>
      </c>
      <c r="E23" s="26">
        <f t="shared" si="0"/>
        <v>-11350.035597602515</v>
      </c>
      <c r="F23" s="24">
        <f t="shared" si="1"/>
        <v>-11350</v>
      </c>
      <c r="G23" s="27">
        <f t="shared" si="2"/>
        <v>-1.2461499994969927E-2</v>
      </c>
      <c r="H23" s="27"/>
      <c r="I23" s="27"/>
      <c r="J23" s="27">
        <f>+G23</f>
        <v>-1.2461499994969927E-2</v>
      </c>
      <c r="K23" s="27"/>
      <c r="L23" s="31">
        <f t="shared" si="3"/>
        <v>-1.2461499994969927E-2</v>
      </c>
      <c r="M23" s="27"/>
      <c r="N23" s="27"/>
      <c r="O23" s="12"/>
      <c r="P23" s="106"/>
      <c r="Q23" s="27">
        <f t="shared" si="4"/>
        <v>-1.4404883879298009E-3</v>
      </c>
      <c r="R23" s="28">
        <f t="shared" si="5"/>
        <v>23866.310400000002</v>
      </c>
      <c r="T23" s="24">
        <f t="shared" si="6"/>
        <v>1.2146269684251317E-4</v>
      </c>
      <c r="U23" s="24">
        <v>1</v>
      </c>
      <c r="V23" s="24">
        <f t="shared" si="7"/>
        <v>1.2146269684251317E-4</v>
      </c>
      <c r="W23" s="27">
        <f t="shared" si="8"/>
        <v>-1.1021011607040125E-2</v>
      </c>
      <c r="X23" s="24" t="s">
        <v>190</v>
      </c>
    </row>
    <row r="24" spans="1:24" s="24" customFormat="1" x14ac:dyDescent="0.2">
      <c r="A24" s="24" t="s">
        <v>191</v>
      </c>
      <c r="B24" s="29" t="s">
        <v>48</v>
      </c>
      <c r="C24" s="25">
        <v>38941.696900000003</v>
      </c>
      <c r="D24" s="25" t="s">
        <v>190</v>
      </c>
      <c r="E24" s="26">
        <f t="shared" si="0"/>
        <v>-11187.533249114855</v>
      </c>
      <c r="F24" s="24">
        <f t="shared" si="1"/>
        <v>-11187.5</v>
      </c>
      <c r="G24" s="27">
        <f t="shared" si="2"/>
        <v>-1.1639374999504071E-2</v>
      </c>
      <c r="H24" s="27"/>
      <c r="I24" s="27"/>
      <c r="J24" s="27">
        <f>+G24</f>
        <v>-1.1639374999504071E-2</v>
      </c>
      <c r="K24" s="27"/>
      <c r="L24" s="31">
        <f t="shared" si="3"/>
        <v>-1.1639374999504071E-2</v>
      </c>
      <c r="M24" s="27"/>
      <c r="N24" s="27"/>
      <c r="O24" s="12"/>
      <c r="P24" s="106"/>
      <c r="Q24" s="27">
        <f t="shared" si="4"/>
        <v>-1.4635706199865785E-3</v>
      </c>
      <c r="R24" s="28">
        <f t="shared" si="5"/>
        <v>23923.196900000003</v>
      </c>
      <c r="S24" s="96"/>
      <c r="T24" s="24">
        <f t="shared" si="6"/>
        <v>1.0354699477020737E-4</v>
      </c>
      <c r="U24" s="24">
        <v>1</v>
      </c>
      <c r="V24" s="24">
        <f t="shared" si="7"/>
        <v>1.0354699477020737E-4</v>
      </c>
      <c r="W24" s="27">
        <f t="shared" si="8"/>
        <v>-1.0175804379517492E-2</v>
      </c>
      <c r="X24" s="24" t="s">
        <v>190</v>
      </c>
    </row>
    <row r="25" spans="1:24" s="24" customFormat="1" x14ac:dyDescent="0.2">
      <c r="A25" s="24" t="s">
        <v>61</v>
      </c>
      <c r="C25" s="25">
        <v>40362.788500000002</v>
      </c>
      <c r="D25" s="25"/>
      <c r="E25" s="26">
        <f t="shared" si="0"/>
        <v>-7128.0336768774023</v>
      </c>
      <c r="F25" s="24">
        <f t="shared" si="1"/>
        <v>-7128</v>
      </c>
      <c r="G25" s="27">
        <f t="shared" si="2"/>
        <v>-1.1789119998866227E-2</v>
      </c>
      <c r="H25" s="27"/>
      <c r="I25" s="27"/>
      <c r="J25" s="27"/>
      <c r="K25" s="27"/>
      <c r="L25" s="31">
        <f t="shared" si="3"/>
        <v>-1.1789119998866227E-2</v>
      </c>
      <c r="M25" s="27"/>
      <c r="N25" s="27"/>
      <c r="O25" s="27">
        <f>G25</f>
        <v>-1.1789119998866227E-2</v>
      </c>
      <c r="P25" s="106"/>
      <c r="Q25" s="27">
        <f t="shared" si="4"/>
        <v>-1.6281414032110614E-3</v>
      </c>
      <c r="R25" s="28">
        <f t="shared" si="5"/>
        <v>25344.288500000002</v>
      </c>
      <c r="S25" s="96"/>
      <c r="T25" s="24">
        <f t="shared" si="6"/>
        <v>1.0324548602136242E-4</v>
      </c>
      <c r="U25" s="24">
        <v>1</v>
      </c>
      <c r="V25" s="24">
        <f t="shared" si="7"/>
        <v>1.0324548602136242E-4</v>
      </c>
      <c r="W25" s="27">
        <f t="shared" si="8"/>
        <v>-1.0160978595655165E-2</v>
      </c>
      <c r="X25" s="24" t="s">
        <v>190</v>
      </c>
    </row>
    <row r="26" spans="1:24" s="24" customFormat="1" x14ac:dyDescent="0.2">
      <c r="A26" s="24" t="s">
        <v>62</v>
      </c>
      <c r="B26" s="29"/>
      <c r="C26" s="25">
        <v>42470.893100000001</v>
      </c>
      <c r="D26" s="25"/>
      <c r="E26" s="26">
        <f t="shared" si="0"/>
        <v>-1106.008269133242</v>
      </c>
      <c r="F26" s="24">
        <f t="shared" si="1"/>
        <v>-1106</v>
      </c>
      <c r="G26" s="27">
        <f t="shared" si="2"/>
        <v>-2.8947399987373501E-3</v>
      </c>
      <c r="H26" s="27"/>
      <c r="I26" s="27"/>
      <c r="J26" s="27"/>
      <c r="K26" s="27">
        <f>G26</f>
        <v>-2.8947399987373501E-3</v>
      </c>
      <c r="L26" s="31">
        <f t="shared" si="3"/>
        <v>-2.8947399987373501E-3</v>
      </c>
      <c r="M26" s="27"/>
      <c r="N26" s="27"/>
      <c r="O26" s="12"/>
      <c r="P26" s="106"/>
      <c r="Q26" s="27">
        <f t="shared" si="4"/>
        <v>-4.1266940690417491E-4</v>
      </c>
      <c r="R26" s="28">
        <f t="shared" si="5"/>
        <v>27452.393100000001</v>
      </c>
      <c r="S26" s="96"/>
      <c r="T26" s="24">
        <f t="shared" si="6"/>
        <v>6.1606744228430882E-6</v>
      </c>
      <c r="U26" s="24">
        <v>1</v>
      </c>
      <c r="V26" s="24">
        <f t="shared" si="7"/>
        <v>6.1606744228430882E-6</v>
      </c>
      <c r="W26" s="27">
        <f t="shared" si="8"/>
        <v>-2.4820705918331752E-3</v>
      </c>
      <c r="X26" s="24" t="s">
        <v>190</v>
      </c>
    </row>
    <row r="27" spans="1:24" s="24" customFormat="1" x14ac:dyDescent="0.2">
      <c r="A27" s="24" t="s">
        <v>62</v>
      </c>
      <c r="B27" s="29"/>
      <c r="C27" s="25">
        <v>42471.943200000002</v>
      </c>
      <c r="D27" s="25"/>
      <c r="E27" s="26">
        <f t="shared" si="0"/>
        <v>-1103.0085465954351</v>
      </c>
      <c r="F27" s="24">
        <f t="shared" si="1"/>
        <v>-1103</v>
      </c>
      <c r="G27" s="27">
        <f t="shared" si="2"/>
        <v>-2.9918700020061806E-3</v>
      </c>
      <c r="H27" s="27"/>
      <c r="I27" s="27"/>
      <c r="J27" s="27"/>
      <c r="K27" s="12"/>
      <c r="L27" s="31">
        <f t="shared" si="3"/>
        <v>-2.9918700020061806E-3</v>
      </c>
      <c r="M27" s="27"/>
      <c r="N27" s="27"/>
      <c r="O27" s="27">
        <f>G27</f>
        <v>-2.9918700020061806E-3</v>
      </c>
      <c r="P27" s="106"/>
      <c r="Q27" s="27">
        <f t="shared" si="4"/>
        <v>-4.1162933406662582E-4</v>
      </c>
      <c r="R27" s="28">
        <f t="shared" si="5"/>
        <v>27453.443200000002</v>
      </c>
      <c r="S27" s="96"/>
      <c r="T27" s="24">
        <f t="shared" si="6"/>
        <v>6.6576419044891606E-6</v>
      </c>
      <c r="U27" s="24">
        <v>1</v>
      </c>
      <c r="V27" s="24">
        <f t="shared" si="7"/>
        <v>6.6576419044891606E-6</v>
      </c>
      <c r="W27" s="27">
        <f t="shared" si="8"/>
        <v>-2.5802406679395549E-3</v>
      </c>
      <c r="X27" s="24" t="s">
        <v>190</v>
      </c>
    </row>
    <row r="28" spans="1:24" s="24" customFormat="1" x14ac:dyDescent="0.2">
      <c r="A28" s="24" t="s">
        <v>62</v>
      </c>
      <c r="B28" s="29"/>
      <c r="C28" s="25">
        <v>42472.992299999998</v>
      </c>
      <c r="D28" s="25"/>
      <c r="E28" s="26">
        <f t="shared" si="0"/>
        <v>-1100.0116806641888</v>
      </c>
      <c r="F28" s="24">
        <f t="shared" si="1"/>
        <v>-1100</v>
      </c>
      <c r="G28" s="27">
        <f t="shared" si="2"/>
        <v>-4.0890000018407591E-3</v>
      </c>
      <c r="H28" s="27"/>
      <c r="I28" s="27"/>
      <c r="J28" s="27"/>
      <c r="K28" s="12"/>
      <c r="L28" s="31">
        <f t="shared" si="3"/>
        <v>-4.0890000018407591E-3</v>
      </c>
      <c r="M28" s="27"/>
      <c r="N28" s="27"/>
      <c r="O28" s="27">
        <f>G28</f>
        <v>-4.0890000018407591E-3</v>
      </c>
      <c r="P28" s="106"/>
      <c r="Q28" s="27">
        <f t="shared" si="4"/>
        <v>-4.1058882847515413E-4</v>
      </c>
      <c r="R28" s="28">
        <f t="shared" si="5"/>
        <v>27454.492299999998</v>
      </c>
      <c r="S28" s="96"/>
      <c r="T28" s="24">
        <f t="shared" si="6"/>
        <v>1.3530708760340925E-5</v>
      </c>
      <c r="U28" s="24">
        <v>1</v>
      </c>
      <c r="V28" s="24">
        <f t="shared" si="7"/>
        <v>1.3530708760340925E-5</v>
      </c>
      <c r="W28" s="27">
        <f t="shared" si="8"/>
        <v>-3.6784111733656048E-3</v>
      </c>
      <c r="X28" s="24" t="s">
        <v>190</v>
      </c>
    </row>
    <row r="29" spans="1:24" s="24" customFormat="1" x14ac:dyDescent="0.2">
      <c r="A29" s="24" t="s">
        <v>63</v>
      </c>
      <c r="B29" s="29"/>
      <c r="C29" s="25">
        <v>42858.243699999999</v>
      </c>
      <c r="D29" s="25"/>
      <c r="E29" s="26">
        <f t="shared" si="0"/>
        <v>0.49999184438405736</v>
      </c>
      <c r="F29" s="24">
        <f t="shared" si="1"/>
        <v>0.5</v>
      </c>
      <c r="G29" s="27">
        <f t="shared" si="2"/>
        <v>-2.8549984563142061E-6</v>
      </c>
      <c r="H29" s="27"/>
      <c r="I29" s="27">
        <f>G29</f>
        <v>-2.8549984563142061E-6</v>
      </c>
      <c r="J29" s="27"/>
      <c r="K29" s="27"/>
      <c r="L29" s="31">
        <f t="shared" si="3"/>
        <v>-2.8549984563142061E-6</v>
      </c>
      <c r="M29" s="27"/>
      <c r="N29" s="27"/>
      <c r="P29" s="106"/>
      <c r="Q29" s="27">
        <f t="shared" si="4"/>
        <v>2.9981271138378001E-7</v>
      </c>
      <c r="R29" s="28">
        <f t="shared" si="5"/>
        <v>27839.743699999999</v>
      </c>
      <c r="S29" s="96"/>
      <c r="T29" s="24">
        <f t="shared" si="6"/>
        <v>9.9528335038319313E-12</v>
      </c>
      <c r="U29" s="24">
        <v>0.1</v>
      </c>
      <c r="V29" s="24">
        <f t="shared" si="7"/>
        <v>9.9528335038319313E-13</v>
      </c>
      <c r="W29" s="27">
        <f t="shared" si="8"/>
        <v>-3.1548111676979863E-6</v>
      </c>
      <c r="X29" s="24" t="s">
        <v>190</v>
      </c>
    </row>
    <row r="30" spans="1:24" s="24" customFormat="1" x14ac:dyDescent="0.2">
      <c r="A30" s="24" t="s">
        <v>64</v>
      </c>
      <c r="B30" s="29"/>
      <c r="C30" s="25">
        <v>42878.372000000003</v>
      </c>
      <c r="D30" s="25"/>
      <c r="E30" s="26">
        <f t="shared" si="0"/>
        <v>57.998625458067465</v>
      </c>
      <c r="F30" s="24">
        <f t="shared" si="1"/>
        <v>58</v>
      </c>
      <c r="G30" s="27">
        <f t="shared" si="2"/>
        <v>-4.8117999540409073E-4</v>
      </c>
      <c r="H30" s="27"/>
      <c r="I30" s="27"/>
      <c r="J30" s="27"/>
      <c r="K30" s="27"/>
      <c r="L30" s="31">
        <f t="shared" si="3"/>
        <v>-4.8117999540409073E-4</v>
      </c>
      <c r="M30" s="27"/>
      <c r="N30" s="27"/>
      <c r="O30" s="27">
        <f>G30</f>
        <v>-4.8117999540409073E-4</v>
      </c>
      <c r="P30" s="106"/>
      <c r="Q30" s="27">
        <f t="shared" si="4"/>
        <v>2.3369153062471473E-5</v>
      </c>
      <c r="R30" s="28">
        <f t="shared" si="5"/>
        <v>27859.872000000003</v>
      </c>
      <c r="S30" s="96"/>
      <c r="T30" s="24">
        <f t="shared" si="6"/>
        <v>2.5456984321833306E-7</v>
      </c>
      <c r="U30" s="24">
        <v>1</v>
      </c>
      <c r="V30" s="24">
        <f t="shared" si="7"/>
        <v>2.5456984321833306E-7</v>
      </c>
      <c r="W30" s="27">
        <f t="shared" si="8"/>
        <v>-5.0454914846656226E-4</v>
      </c>
      <c r="X30" s="24" t="s">
        <v>190</v>
      </c>
    </row>
    <row r="31" spans="1:24" s="24" customFormat="1" x14ac:dyDescent="0.2">
      <c r="A31" s="24" t="s">
        <v>64</v>
      </c>
      <c r="B31" s="29"/>
      <c r="C31" s="25">
        <v>42878.546999999999</v>
      </c>
      <c r="D31" s="25"/>
      <c r="E31" s="26">
        <f t="shared" si="0"/>
        <v>58.498531604246807</v>
      </c>
      <c r="F31" s="24">
        <f t="shared" si="1"/>
        <v>58.5</v>
      </c>
      <c r="G31" s="27">
        <f t="shared" si="2"/>
        <v>-5.1403500401647761E-4</v>
      </c>
      <c r="H31" s="27"/>
      <c r="I31" s="27"/>
      <c r="J31" s="27"/>
      <c r="K31" s="27"/>
      <c r="L31" s="31">
        <f t="shared" si="3"/>
        <v>-5.1403500401647761E-4</v>
      </c>
      <c r="M31" s="27"/>
      <c r="N31" s="27"/>
      <c r="O31" s="27">
        <f>G31</f>
        <v>-5.1403500401647761E-4</v>
      </c>
      <c r="P31" s="106"/>
      <c r="Q31" s="27">
        <f t="shared" si="4"/>
        <v>2.3570453236699151E-5</v>
      </c>
      <c r="R31" s="28">
        <f t="shared" si="5"/>
        <v>27860.046999999999</v>
      </c>
      <c r="S31" s="96"/>
      <c r="T31" s="24">
        <f t="shared" si="6"/>
        <v>2.8901962766839725E-7</v>
      </c>
      <c r="U31" s="24">
        <v>1</v>
      </c>
      <c r="V31" s="24">
        <f t="shared" si="7"/>
        <v>2.8901962766839725E-7</v>
      </c>
      <c r="W31" s="27">
        <f t="shared" si="8"/>
        <v>-5.3760545725317676E-4</v>
      </c>
      <c r="X31" s="24" t="s">
        <v>190</v>
      </c>
    </row>
    <row r="32" spans="1:24" s="24" customFormat="1" x14ac:dyDescent="0.2">
      <c r="A32" s="24" t="s">
        <v>65</v>
      </c>
      <c r="B32" s="29"/>
      <c r="C32" s="25">
        <v>42912.510999999999</v>
      </c>
      <c r="D32" s="25"/>
      <c r="E32" s="26">
        <f t="shared" si="0"/>
        <v>155.52031645715326</v>
      </c>
      <c r="F32" s="24">
        <f t="shared" si="1"/>
        <v>155.5</v>
      </c>
      <c r="G32" s="27">
        <f t="shared" si="2"/>
        <v>7.1120950015028939E-3</v>
      </c>
      <c r="H32" s="27"/>
      <c r="I32" s="27"/>
      <c r="J32" s="27"/>
      <c r="K32" s="27"/>
      <c r="L32" s="27"/>
      <c r="M32" s="27"/>
      <c r="N32" s="27"/>
      <c r="O32" s="12">
        <f>G32</f>
        <v>7.1120950015028939E-3</v>
      </c>
      <c r="P32" s="106"/>
      <c r="Q32" s="27">
        <f t="shared" si="4"/>
        <v>6.2850063160345074E-5</v>
      </c>
      <c r="R32" s="28">
        <f t="shared" si="5"/>
        <v>27894.010999999999</v>
      </c>
      <c r="S32" s="96"/>
      <c r="T32" s="24">
        <f t="shared" si="6"/>
        <v>4.9691854200748047E-5</v>
      </c>
      <c r="U32" s="24">
        <v>1</v>
      </c>
      <c r="V32" s="24">
        <f t="shared" si="7"/>
        <v>4.9691854200748047E-5</v>
      </c>
      <c r="W32" s="27">
        <f t="shared" si="8"/>
        <v>7.0492449383425491E-3</v>
      </c>
      <c r="X32" s="24" t="e">
        <v>#N/A</v>
      </c>
    </row>
    <row r="33" spans="1:32" s="24" customFormat="1" x14ac:dyDescent="0.2">
      <c r="A33" s="24" t="s">
        <v>65</v>
      </c>
      <c r="B33" s="29"/>
      <c r="C33" s="25">
        <v>42921.417999999998</v>
      </c>
      <c r="D33" s="25"/>
      <c r="E33" s="26">
        <f t="shared" si="0"/>
        <v>180.96411099503942</v>
      </c>
      <c r="F33" s="24">
        <f t="shared" si="1"/>
        <v>181</v>
      </c>
      <c r="G33" s="27">
        <f t="shared" si="2"/>
        <v>-1.2563510004838463E-2</v>
      </c>
      <c r="H33" s="27"/>
      <c r="I33" s="27"/>
      <c r="J33" s="27"/>
      <c r="K33" s="27"/>
      <c r="L33" s="27"/>
      <c r="M33" s="27"/>
      <c r="N33" s="27"/>
      <c r="O33" s="12">
        <f>G33</f>
        <v>-1.2563510004838463E-2</v>
      </c>
      <c r="P33" s="106"/>
      <c r="Q33" s="27">
        <f t="shared" si="4"/>
        <v>7.325124701848647E-5</v>
      </c>
      <c r="R33" s="28">
        <f t="shared" si="5"/>
        <v>27902.917999999998</v>
      </c>
      <c r="S33" s="96"/>
      <c r="T33" s="24">
        <f t="shared" si="6"/>
        <v>1.5968773493643324E-4</v>
      </c>
      <c r="U33" s="24">
        <v>1</v>
      </c>
      <c r="V33" s="24">
        <f t="shared" si="7"/>
        <v>1.5968773493643324E-4</v>
      </c>
      <c r="W33" s="27">
        <f t="shared" si="8"/>
        <v>-1.263676125185695E-2</v>
      </c>
      <c r="X33" s="24" t="e">
        <v>#N/A</v>
      </c>
    </row>
    <row r="34" spans="1:32" s="24" customFormat="1" x14ac:dyDescent="0.2">
      <c r="A34" s="24" t="s">
        <v>66</v>
      </c>
      <c r="B34" s="29"/>
      <c r="C34" s="25">
        <v>43014.36</v>
      </c>
      <c r="D34" s="25"/>
      <c r="E34" s="26">
        <f t="shared" si="0"/>
        <v>446.46283693424306</v>
      </c>
      <c r="F34" s="24">
        <f t="shared" si="1"/>
        <v>446.5</v>
      </c>
      <c r="G34" s="27">
        <f t="shared" si="2"/>
        <v>-1.3009515001613181E-2</v>
      </c>
      <c r="H34" s="27"/>
      <c r="I34" s="27"/>
      <c r="J34" s="27"/>
      <c r="K34" s="27"/>
      <c r="L34" s="27"/>
      <c r="M34" s="27"/>
      <c r="N34" s="27"/>
      <c r="O34" s="12">
        <f>G34</f>
        <v>-1.3009515001613181E-2</v>
      </c>
      <c r="P34" s="106"/>
      <c r="Q34" s="27">
        <f t="shared" si="4"/>
        <v>1.8340341403616327E-4</v>
      </c>
      <c r="R34" s="28">
        <f t="shared" si="5"/>
        <v>27995.86</v>
      </c>
      <c r="S34" s="96"/>
      <c r="T34" s="24">
        <f t="shared" si="6"/>
        <v>1.740530963219796E-4</v>
      </c>
      <c r="U34" s="24">
        <v>1</v>
      </c>
      <c r="V34" s="24">
        <f t="shared" si="7"/>
        <v>1.740530963219796E-4</v>
      </c>
      <c r="W34" s="27">
        <f t="shared" si="8"/>
        <v>-1.3192918415649344E-2</v>
      </c>
      <c r="X34" s="24" t="e">
        <v>#N/A</v>
      </c>
    </row>
    <row r="35" spans="1:32" s="24" customFormat="1" x14ac:dyDescent="0.2">
      <c r="A35" s="24" t="s">
        <v>63</v>
      </c>
      <c r="B35" s="29"/>
      <c r="C35" s="25">
        <v>43215.310400000002</v>
      </c>
      <c r="D35" s="25"/>
      <c r="E35" s="26">
        <f t="shared" si="0"/>
        <v>1020.4990657325494</v>
      </c>
      <c r="F35" s="24">
        <f t="shared" si="1"/>
        <v>1020.5</v>
      </c>
      <c r="G35" s="27">
        <f t="shared" si="2"/>
        <v>-3.2705500052543357E-4</v>
      </c>
      <c r="H35" s="27"/>
      <c r="I35" s="27">
        <f>G35</f>
        <v>-3.2705500052543357E-4</v>
      </c>
      <c r="J35" s="27"/>
      <c r="K35" s="27"/>
      <c r="L35" s="31">
        <f>G35</f>
        <v>-3.2705500052543357E-4</v>
      </c>
      <c r="M35" s="27"/>
      <c r="N35" s="27"/>
      <c r="P35" s="106"/>
      <c r="Q35" s="27">
        <f t="shared" si="4"/>
        <v>4.3313297043641333E-4</v>
      </c>
      <c r="R35" s="28">
        <f t="shared" si="5"/>
        <v>28196.810400000002</v>
      </c>
      <c r="S35" s="96"/>
      <c r="T35" s="24">
        <f t="shared" si="6"/>
        <v>5.7788575119508978E-7</v>
      </c>
      <c r="U35" s="24">
        <v>0.1</v>
      </c>
      <c r="V35" s="24">
        <f t="shared" si="7"/>
        <v>5.7788575119508979E-8</v>
      </c>
      <c r="W35" s="27">
        <f t="shared" si="8"/>
        <v>-7.601879709618469E-4</v>
      </c>
      <c r="X35" s="24" t="s">
        <v>190</v>
      </c>
    </row>
    <row r="36" spans="1:32" s="24" customFormat="1" x14ac:dyDescent="0.2">
      <c r="A36" s="24" t="s">
        <v>63</v>
      </c>
      <c r="B36" s="29"/>
      <c r="C36" s="25">
        <v>43244.190399999999</v>
      </c>
      <c r="D36" s="25"/>
      <c r="E36" s="26">
        <f t="shared" si="0"/>
        <v>1102.9978628869389</v>
      </c>
      <c r="F36" s="24">
        <f t="shared" si="1"/>
        <v>1103</v>
      </c>
      <c r="G36" s="27">
        <f t="shared" si="2"/>
        <v>-7.4812999810092151E-4</v>
      </c>
      <c r="H36" s="27"/>
      <c r="I36" s="27">
        <f>G36</f>
        <v>-7.4812999810092151E-4</v>
      </c>
      <c r="J36" s="27"/>
      <c r="K36" s="27"/>
      <c r="L36" s="31">
        <f>G36</f>
        <v>-7.4812999810092151E-4</v>
      </c>
      <c r="M36" s="27"/>
      <c r="N36" s="27"/>
      <c r="P36" s="106"/>
      <c r="Q36" s="27">
        <f t="shared" si="4"/>
        <v>4.7032829432908416E-4</v>
      </c>
      <c r="R36" s="28">
        <f t="shared" si="5"/>
        <v>28225.690399999999</v>
      </c>
      <c r="S36" s="96"/>
      <c r="T36" s="24">
        <f t="shared" si="6"/>
        <v>1.4846406103914453E-6</v>
      </c>
      <c r="U36" s="24">
        <v>0.1</v>
      </c>
      <c r="V36" s="24">
        <f t="shared" si="7"/>
        <v>1.4846406103914455E-7</v>
      </c>
      <c r="W36" s="27">
        <f t="shared" si="8"/>
        <v>-1.2184582924300057E-3</v>
      </c>
      <c r="X36" s="24" t="s">
        <v>190</v>
      </c>
      <c r="AB36" s="24">
        <v>11</v>
      </c>
      <c r="AD36" s="24" t="s">
        <v>44</v>
      </c>
      <c r="AF36" s="24" t="s">
        <v>46</v>
      </c>
    </row>
    <row r="37" spans="1:32" s="24" customFormat="1" x14ac:dyDescent="0.2">
      <c r="A37" s="24" t="s">
        <v>67</v>
      </c>
      <c r="B37" s="29"/>
      <c r="C37" s="25">
        <v>43248.389000000003</v>
      </c>
      <c r="D37" s="25"/>
      <c r="E37" s="26">
        <f t="shared" si="0"/>
        <v>1114.9916111463826</v>
      </c>
      <c r="F37" s="24">
        <f t="shared" si="1"/>
        <v>1115</v>
      </c>
      <c r="G37" s="27">
        <f t="shared" si="2"/>
        <v>-2.9366499948082492E-3</v>
      </c>
      <c r="H37" s="27"/>
      <c r="I37" s="27"/>
      <c r="J37" s="27"/>
      <c r="K37" s="27"/>
      <c r="L37" s="27"/>
      <c r="M37" s="27"/>
      <c r="N37" s="27"/>
      <c r="O37" s="27">
        <f>G37</f>
        <v>-2.9366499948082492E-3</v>
      </c>
      <c r="P37" s="106"/>
      <c r="Q37" s="27">
        <f t="shared" si="4"/>
        <v>4.7576578675604818E-4</v>
      </c>
      <c r="R37" s="28">
        <f t="shared" si="5"/>
        <v>28229.889000000003</v>
      </c>
      <c r="S37" s="96"/>
      <c r="T37" s="24">
        <f t="shared" si="6"/>
        <v>1.1644581466269076E-5</v>
      </c>
      <c r="U37" s="24">
        <v>1</v>
      </c>
      <c r="V37" s="24">
        <f t="shared" si="7"/>
        <v>1.1644581466269076E-5</v>
      </c>
      <c r="W37" s="27">
        <f t="shared" si="8"/>
        <v>-3.4124157815642975E-3</v>
      </c>
      <c r="X37" s="24" t="e">
        <v>#N/A</v>
      </c>
      <c r="AB37" s="24">
        <v>10</v>
      </c>
      <c r="AD37" s="24" t="s">
        <v>44</v>
      </c>
      <c r="AF37" s="24" t="s">
        <v>46</v>
      </c>
    </row>
    <row r="38" spans="1:32" s="24" customFormat="1" x14ac:dyDescent="0.2">
      <c r="A38" s="24" t="s">
        <v>67</v>
      </c>
      <c r="B38" s="29"/>
      <c r="C38" s="25">
        <v>43258.368000000002</v>
      </c>
      <c r="D38" s="25"/>
      <c r="E38" s="26">
        <f t="shared" si="0"/>
        <v>1143.4976879055125</v>
      </c>
      <c r="F38" s="24">
        <f t="shared" si="1"/>
        <v>1143.5</v>
      </c>
      <c r="G38" s="27">
        <f t="shared" si="2"/>
        <v>-8.0938499741023406E-4</v>
      </c>
      <c r="H38" s="27"/>
      <c r="I38" s="27"/>
      <c r="J38" s="27"/>
      <c r="K38" s="27"/>
      <c r="L38" s="27"/>
      <c r="M38" s="27"/>
      <c r="N38" s="27"/>
      <c r="O38" s="27">
        <f>G38</f>
        <v>-8.0938499741023406E-4</v>
      </c>
      <c r="P38" s="106"/>
      <c r="Q38" s="27">
        <f t="shared" si="4"/>
        <v>4.8870758161537154E-4</v>
      </c>
      <c r="R38" s="28">
        <f t="shared" si="5"/>
        <v>28239.868000000002</v>
      </c>
      <c r="S38" s="96"/>
      <c r="T38" s="24">
        <f t="shared" si="6"/>
        <v>1.6850443437213479E-6</v>
      </c>
      <c r="U38" s="24">
        <v>1</v>
      </c>
      <c r="V38" s="24">
        <f t="shared" si="7"/>
        <v>1.6850443437213479E-6</v>
      </c>
      <c r="W38" s="27">
        <f t="shared" si="8"/>
        <v>-1.2980925790256055E-3</v>
      </c>
      <c r="X38" s="24" t="e">
        <v>#N/A</v>
      </c>
    </row>
    <row r="39" spans="1:32" s="24" customFormat="1" x14ac:dyDescent="0.2">
      <c r="A39" s="24" t="s">
        <v>63</v>
      </c>
      <c r="B39" s="29"/>
      <c r="C39" s="25">
        <v>43277.097199999997</v>
      </c>
      <c r="D39" s="25"/>
      <c r="E39" s="26">
        <f t="shared" si="0"/>
        <v>1196.9996432955286</v>
      </c>
      <c r="F39" s="24">
        <f t="shared" si="1"/>
        <v>1197</v>
      </c>
      <c r="G39" s="27">
        <f t="shared" si="2"/>
        <v>-1.248700064024888E-4</v>
      </c>
      <c r="H39" s="27"/>
      <c r="I39" s="27">
        <f>G39</f>
        <v>-1.248700064024888E-4</v>
      </c>
      <c r="J39" s="27"/>
      <c r="K39" s="27"/>
      <c r="L39" s="31">
        <f>G39</f>
        <v>-1.248700064024888E-4</v>
      </c>
      <c r="M39" s="27"/>
      <c r="N39" s="27"/>
      <c r="P39" s="106"/>
      <c r="Q39" s="27">
        <f t="shared" si="4"/>
        <v>5.1310729985336084E-4</v>
      </c>
      <c r="R39" s="28">
        <f t="shared" si="5"/>
        <v>28258.597199999997</v>
      </c>
      <c r="S39" s="96"/>
      <c r="T39" s="24">
        <f t="shared" si="6"/>
        <v>4.0701504329747016E-7</v>
      </c>
      <c r="U39" s="24">
        <v>0.1</v>
      </c>
      <c r="V39" s="24">
        <f t="shared" si="7"/>
        <v>4.0701504329747018E-8</v>
      </c>
      <c r="W39" s="27">
        <f t="shared" si="8"/>
        <v>-6.3797730625584964E-4</v>
      </c>
      <c r="X39" s="24" t="s">
        <v>190</v>
      </c>
    </row>
    <row r="40" spans="1:32" s="24" customFormat="1" x14ac:dyDescent="0.2">
      <c r="A40" s="24" t="s">
        <v>63</v>
      </c>
      <c r="B40" s="29"/>
      <c r="C40" s="25">
        <v>43280.074200000003</v>
      </c>
      <c r="D40" s="25"/>
      <c r="E40" s="26">
        <f t="shared" si="0"/>
        <v>1205.5037609939066</v>
      </c>
      <c r="F40" s="24">
        <f t="shared" si="1"/>
        <v>1205.5</v>
      </c>
      <c r="G40" s="27">
        <f t="shared" si="2"/>
        <v>1.3165950003894977E-3</v>
      </c>
      <c r="H40" s="27"/>
      <c r="I40" s="27">
        <f>G40</f>
        <v>1.3165950003894977E-3</v>
      </c>
      <c r="J40" s="27"/>
      <c r="K40" s="27"/>
      <c r="L40" s="31">
        <f>G40</f>
        <v>1.3165950003894977E-3</v>
      </c>
      <c r="M40" s="27"/>
      <c r="N40" s="27"/>
      <c r="P40" s="106"/>
      <c r="Q40" s="27">
        <f t="shared" si="4"/>
        <v>5.1699656067462959E-4</v>
      </c>
      <c r="R40" s="28">
        <f t="shared" si="5"/>
        <v>28261.574200000003</v>
      </c>
      <c r="S40" s="96"/>
      <c r="T40" s="24">
        <f t="shared" si="6"/>
        <v>6.393576647944516E-7</v>
      </c>
      <c r="U40" s="24">
        <v>0.1</v>
      </c>
      <c r="V40" s="24">
        <f t="shared" si="7"/>
        <v>6.3935766479445168E-8</v>
      </c>
      <c r="W40" s="27">
        <f t="shared" si="8"/>
        <v>7.9959843971486814E-4</v>
      </c>
      <c r="X40" s="24" t="s">
        <v>190</v>
      </c>
    </row>
    <row r="41" spans="1:32" s="24" customFormat="1" x14ac:dyDescent="0.2">
      <c r="A41" s="24" t="s">
        <v>67</v>
      </c>
      <c r="B41" s="29"/>
      <c r="C41" s="25">
        <v>43292.508999999998</v>
      </c>
      <c r="D41" s="25"/>
      <c r="E41" s="26">
        <f t="shared" si="0"/>
        <v>1241.0250921176989</v>
      </c>
      <c r="F41" s="24">
        <f t="shared" si="1"/>
        <v>1241</v>
      </c>
      <c r="G41" s="27">
        <f t="shared" si="2"/>
        <v>8.7838899999042042E-3</v>
      </c>
      <c r="H41" s="27"/>
      <c r="I41" s="27"/>
      <c r="J41" s="27"/>
      <c r="K41" s="27"/>
      <c r="L41" s="27"/>
      <c r="M41" s="27"/>
      <c r="N41" s="27"/>
      <c r="O41" s="27">
        <f>G41</f>
        <v>8.7838899999042042E-3</v>
      </c>
      <c r="P41" s="106"/>
      <c r="Q41" s="27">
        <f t="shared" si="4"/>
        <v>5.3327749752835843E-4</v>
      </c>
      <c r="R41" s="28">
        <f t="shared" si="5"/>
        <v>28274.008999999998</v>
      </c>
      <c r="S41" s="96"/>
      <c r="T41" s="24">
        <f t="shared" si="6"/>
        <v>6.8072606664360601E-5</v>
      </c>
      <c r="U41" s="24">
        <v>1</v>
      </c>
      <c r="V41" s="24">
        <f t="shared" si="7"/>
        <v>6.8072606664360601E-5</v>
      </c>
      <c r="W41" s="27">
        <f t="shared" si="8"/>
        <v>8.250612502375845E-3</v>
      </c>
      <c r="X41" s="24" t="e">
        <v>#N/A</v>
      </c>
    </row>
    <row r="42" spans="1:32" s="24" customFormat="1" x14ac:dyDescent="0.2">
      <c r="A42" s="24" t="s">
        <v>67</v>
      </c>
      <c r="B42" s="29"/>
      <c r="C42" s="25">
        <v>43294.438999999998</v>
      </c>
      <c r="D42" s="25"/>
      <c r="E42" s="26">
        <f t="shared" si="0"/>
        <v>1246.538342758558</v>
      </c>
      <c r="F42" s="24">
        <f t="shared" si="1"/>
        <v>1246.5</v>
      </c>
      <c r="G42" s="27">
        <f t="shared" si="2"/>
        <v>1.3422484997136053E-2</v>
      </c>
      <c r="H42" s="27"/>
      <c r="I42" s="27"/>
      <c r="J42" s="27"/>
      <c r="K42" s="27"/>
      <c r="L42" s="27"/>
      <c r="M42" s="27"/>
      <c r="N42" s="27"/>
      <c r="O42" s="27">
        <f>G42</f>
        <v>1.3422484997136053E-2</v>
      </c>
      <c r="P42" s="106"/>
      <c r="Q42" s="27">
        <f t="shared" si="4"/>
        <v>5.3580531764081175E-4</v>
      </c>
      <c r="R42" s="28">
        <f t="shared" si="5"/>
        <v>28275.938999999998</v>
      </c>
      <c r="S42" s="96"/>
      <c r="T42" s="24">
        <f t="shared" si="6"/>
        <v>1.6606651316191558E-4</v>
      </c>
      <c r="U42" s="24">
        <v>1</v>
      </c>
      <c r="V42" s="24">
        <f t="shared" si="7"/>
        <v>1.6606651316191558E-4</v>
      </c>
      <c r="W42" s="27">
        <f t="shared" si="8"/>
        <v>1.2886679679495241E-2</v>
      </c>
      <c r="X42" s="24" t="e">
        <v>#N/A</v>
      </c>
    </row>
    <row r="43" spans="1:32" s="24" customFormat="1" x14ac:dyDescent="0.2">
      <c r="A43" s="24" t="s">
        <v>67</v>
      </c>
      <c r="B43" s="29"/>
      <c r="C43" s="25">
        <v>43296.540999999997</v>
      </c>
      <c r="D43" s="25"/>
      <c r="E43" s="26">
        <f t="shared" si="0"/>
        <v>1252.5429297259561</v>
      </c>
      <c r="F43" s="24">
        <f t="shared" si="1"/>
        <v>1252.5</v>
      </c>
      <c r="G43" s="27">
        <f t="shared" si="2"/>
        <v>1.502822499605827E-2</v>
      </c>
      <c r="H43" s="27"/>
      <c r="J43" s="27"/>
      <c r="K43" s="27"/>
      <c r="L43" s="27"/>
      <c r="M43" s="27"/>
      <c r="N43" s="27"/>
      <c r="O43" s="27">
        <f>G43</f>
        <v>1.502822499605827E-2</v>
      </c>
      <c r="P43" s="106"/>
      <c r="Q43" s="27">
        <f t="shared" si="4"/>
        <v>5.3856459847170649E-4</v>
      </c>
      <c r="R43" s="28">
        <f t="shared" si="5"/>
        <v>28278.040999999997</v>
      </c>
      <c r="S43" s="96"/>
      <c r="T43" s="24">
        <f t="shared" si="6"/>
        <v>2.0995025843738841E-4</v>
      </c>
      <c r="U43" s="24">
        <v>1</v>
      </c>
      <c r="V43" s="24">
        <f t="shared" si="7"/>
        <v>2.0995025843738841E-4</v>
      </c>
      <c r="W43" s="27">
        <f t="shared" si="8"/>
        <v>1.4489660397586564E-2</v>
      </c>
      <c r="X43" s="24" t="e">
        <v>#N/A</v>
      </c>
    </row>
    <row r="44" spans="1:32" s="24" customFormat="1" x14ac:dyDescent="0.2">
      <c r="A44" s="24" t="s">
        <v>68</v>
      </c>
      <c r="B44" s="29"/>
      <c r="C44" s="25">
        <v>43657.444000000003</v>
      </c>
      <c r="D44" s="25"/>
      <c r="E44" s="26">
        <f t="shared" si="0"/>
        <v>2283.5008033206186</v>
      </c>
      <c r="F44" s="24">
        <f t="shared" si="1"/>
        <v>2283.5</v>
      </c>
      <c r="G44" s="27">
        <f t="shared" si="2"/>
        <v>2.8121500508859754E-4</v>
      </c>
      <c r="H44" s="27"/>
      <c r="I44" s="27"/>
      <c r="J44" s="27"/>
      <c r="L44" s="27"/>
      <c r="M44" s="27"/>
      <c r="N44" s="27">
        <f>+G44</f>
        <v>2.8121500508859754E-4</v>
      </c>
      <c r="O44" s="12"/>
      <c r="P44" s="106"/>
      <c r="Q44" s="27">
        <f t="shared" si="4"/>
        <v>1.0384053300269941E-3</v>
      </c>
      <c r="R44" s="28">
        <f t="shared" si="5"/>
        <v>28638.944000000003</v>
      </c>
      <c r="S44" s="96"/>
      <c r="T44" s="24">
        <f t="shared" si="6"/>
        <v>5.7333718818031456E-7</v>
      </c>
      <c r="U44" s="24">
        <v>1</v>
      </c>
      <c r="V44" s="24">
        <f t="shared" si="7"/>
        <v>5.7333718818031456E-7</v>
      </c>
      <c r="W44" s="27">
        <f t="shared" si="8"/>
        <v>-7.5719032493839654E-4</v>
      </c>
      <c r="X44" s="24" t="e">
        <v>#N/A</v>
      </c>
    </row>
    <row r="45" spans="1:32" s="24" customFormat="1" x14ac:dyDescent="0.2">
      <c r="A45" s="24" t="s">
        <v>64</v>
      </c>
      <c r="B45" s="29"/>
      <c r="C45" s="25">
        <v>44053.543899999997</v>
      </c>
      <c r="D45" s="25"/>
      <c r="E45" s="26">
        <f t="shared" si="0"/>
        <v>3415.0023719832384</v>
      </c>
      <c r="F45" s="24">
        <f t="shared" si="1"/>
        <v>3415</v>
      </c>
      <c r="G45" s="27">
        <f t="shared" si="2"/>
        <v>8.303499998874031E-4</v>
      </c>
      <c r="H45" s="27"/>
      <c r="I45" s="27"/>
      <c r="J45" s="27"/>
      <c r="K45" s="27"/>
      <c r="L45" s="31">
        <f t="shared" ref="L45:L51" si="9">G45</f>
        <v>8.303499998874031E-4</v>
      </c>
      <c r="M45" s="27"/>
      <c r="N45" s="27"/>
      <c r="O45" s="27">
        <f>G45</f>
        <v>8.303499998874031E-4</v>
      </c>
      <c r="P45" s="106"/>
      <c r="Q45" s="27">
        <f t="shared" si="4"/>
        <v>1.645796960734086E-3</v>
      </c>
      <c r="R45" s="28">
        <f t="shared" si="5"/>
        <v>29035.043899999997</v>
      </c>
      <c r="S45" s="96"/>
      <c r="T45" s="24">
        <f t="shared" si="6"/>
        <v>6.6495374595409157E-7</v>
      </c>
      <c r="U45" s="24">
        <v>1</v>
      </c>
      <c r="V45" s="24">
        <f t="shared" si="7"/>
        <v>6.6495374595409157E-7</v>
      </c>
      <c r="W45" s="27">
        <f t="shared" si="8"/>
        <v>-8.1544696084668287E-4</v>
      </c>
      <c r="X45" s="24" t="s">
        <v>190</v>
      </c>
    </row>
    <row r="46" spans="1:32" s="24" customFormat="1" x14ac:dyDescent="0.2">
      <c r="A46" s="24" t="s">
        <v>64</v>
      </c>
      <c r="B46" s="29"/>
      <c r="C46" s="25">
        <v>44129.335299999999</v>
      </c>
      <c r="D46" s="25"/>
      <c r="E46" s="26">
        <f t="shared" si="0"/>
        <v>3631.5085816317123</v>
      </c>
      <c r="F46" s="24">
        <f t="shared" si="1"/>
        <v>3631.5</v>
      </c>
      <c r="G46" s="27">
        <f t="shared" si="2"/>
        <v>3.0041349964449182E-3</v>
      </c>
      <c r="H46" s="27"/>
      <c r="I46" s="27"/>
      <c r="J46" s="27"/>
      <c r="K46" s="27"/>
      <c r="L46" s="31">
        <f t="shared" si="9"/>
        <v>3.0041349964449182E-3</v>
      </c>
      <c r="M46" s="27"/>
      <c r="N46" s="27"/>
      <c r="O46" s="27">
        <f>G46</f>
        <v>3.0041349964449182E-3</v>
      </c>
      <c r="P46" s="106"/>
      <c r="Q46" s="27">
        <f t="shared" si="4"/>
        <v>1.7690310575044438E-3</v>
      </c>
      <c r="R46" s="28">
        <f t="shared" si="5"/>
        <v>29110.835299999999</v>
      </c>
      <c r="S46" s="96"/>
      <c r="T46" s="24">
        <f t="shared" si="6"/>
        <v>1.5254817399862752E-6</v>
      </c>
      <c r="U46" s="24">
        <v>1</v>
      </c>
      <c r="V46" s="24">
        <f t="shared" si="7"/>
        <v>1.5254817399862752E-6</v>
      </c>
      <c r="W46" s="27">
        <f t="shared" si="8"/>
        <v>1.2351039389404744E-3</v>
      </c>
      <c r="X46" s="24" t="s">
        <v>190</v>
      </c>
    </row>
    <row r="47" spans="1:32" s="24" customFormat="1" x14ac:dyDescent="0.2">
      <c r="A47" s="24" t="s">
        <v>64</v>
      </c>
      <c r="B47" s="29"/>
      <c r="C47" s="25">
        <v>44140.361100000002</v>
      </c>
      <c r="D47" s="25"/>
      <c r="E47" s="26">
        <f t="shared" si="0"/>
        <v>3663.004954127045</v>
      </c>
      <c r="F47" s="24">
        <f t="shared" si="1"/>
        <v>3663</v>
      </c>
      <c r="G47" s="27">
        <f t="shared" si="2"/>
        <v>1.7342700011795387E-3</v>
      </c>
      <c r="H47" s="27"/>
      <c r="I47" s="27"/>
      <c r="J47" s="27"/>
      <c r="K47" s="27"/>
      <c r="L47" s="31">
        <f t="shared" si="9"/>
        <v>1.7342700011795387E-3</v>
      </c>
      <c r="M47" s="27"/>
      <c r="N47" s="27"/>
      <c r="O47" s="27">
        <f>G47</f>
        <v>1.7342700011795387E-3</v>
      </c>
      <c r="P47" s="106"/>
      <c r="Q47" s="27">
        <f t="shared" si="4"/>
        <v>1.7871490068789634E-3</v>
      </c>
      <c r="R47" s="28">
        <f t="shared" si="5"/>
        <v>29121.861100000002</v>
      </c>
      <c r="S47" s="96"/>
      <c r="T47" s="24">
        <f t="shared" si="6"/>
        <v>2.796189243759789E-9</v>
      </c>
      <c r="U47" s="24">
        <v>1</v>
      </c>
      <c r="V47" s="24">
        <f t="shared" si="7"/>
        <v>2.796189243759789E-9</v>
      </c>
      <c r="W47" s="27">
        <f t="shared" si="8"/>
        <v>-5.287900569942469E-5</v>
      </c>
      <c r="X47" s="24" t="s">
        <v>190</v>
      </c>
    </row>
    <row r="48" spans="1:32" s="24" customFormat="1" x14ac:dyDescent="0.2">
      <c r="A48" s="24" t="s">
        <v>64</v>
      </c>
      <c r="B48" s="29"/>
      <c r="C48" s="25">
        <v>44344.448700000001</v>
      </c>
      <c r="D48" s="25"/>
      <c r="E48" s="26">
        <f t="shared" si="0"/>
        <v>4246.0029289929607</v>
      </c>
      <c r="F48" s="24">
        <f t="shared" si="1"/>
        <v>4246</v>
      </c>
      <c r="G48" s="27">
        <f t="shared" si="2"/>
        <v>1.0253400032524951E-3</v>
      </c>
      <c r="H48" s="27"/>
      <c r="I48" s="27"/>
      <c r="J48" s="27"/>
      <c r="K48" s="27"/>
      <c r="L48" s="31">
        <f t="shared" si="9"/>
        <v>1.0253400032524951E-3</v>
      </c>
      <c r="M48" s="27"/>
      <c r="N48" s="27"/>
      <c r="O48" s="27">
        <f>G48</f>
        <v>1.0253400032524951E-3</v>
      </c>
      <c r="P48" s="106"/>
      <c r="Q48" s="27">
        <f t="shared" si="4"/>
        <v>2.131087952856249E-3</v>
      </c>
      <c r="R48" s="28">
        <f t="shared" si="5"/>
        <v>29325.948700000001</v>
      </c>
      <c r="S48" s="96"/>
      <c r="T48" s="24">
        <f t="shared" si="6"/>
        <v>1.2226785280529059E-6</v>
      </c>
      <c r="U48" s="24">
        <v>1</v>
      </c>
      <c r="V48" s="24">
        <f t="shared" si="7"/>
        <v>1.2226785280529059E-6</v>
      </c>
      <c r="W48" s="27">
        <f t="shared" si="8"/>
        <v>-1.1057479496037539E-3</v>
      </c>
      <c r="X48" s="24" t="s">
        <v>190</v>
      </c>
    </row>
    <row r="49" spans="1:24" s="24" customFormat="1" x14ac:dyDescent="0.2">
      <c r="A49" s="24" t="s">
        <v>64</v>
      </c>
      <c r="B49" s="29"/>
      <c r="C49" s="25">
        <v>44345.500599999999</v>
      </c>
      <c r="D49" s="25"/>
      <c r="E49" s="26">
        <f t="shared" si="0"/>
        <v>4249.0077934225519</v>
      </c>
      <c r="F49" s="24">
        <f t="shared" si="1"/>
        <v>4249</v>
      </c>
      <c r="G49" s="27">
        <f t="shared" si="2"/>
        <v>2.7282099981675856E-3</v>
      </c>
      <c r="H49" s="27"/>
      <c r="I49" s="27"/>
      <c r="J49" s="27"/>
      <c r="K49" s="27"/>
      <c r="L49" s="31">
        <f t="shared" si="9"/>
        <v>2.7282099981675856E-3</v>
      </c>
      <c r="M49" s="27"/>
      <c r="N49" s="27"/>
      <c r="O49" s="27">
        <f>G49</f>
        <v>2.7282099981675856E-3</v>
      </c>
      <c r="P49" s="106"/>
      <c r="Q49" s="27">
        <f t="shared" si="4"/>
        <v>2.1329000586916367E-3</v>
      </c>
      <c r="R49" s="28">
        <f t="shared" si="5"/>
        <v>29327.000599999999</v>
      </c>
      <c r="S49" s="96"/>
      <c r="T49" s="24">
        <f t="shared" si="6"/>
        <v>3.5439392403885793E-7</v>
      </c>
      <c r="U49" s="24">
        <v>1</v>
      </c>
      <c r="V49" s="24">
        <f t="shared" si="7"/>
        <v>3.5439392403885793E-7</v>
      </c>
      <c r="W49" s="27">
        <f t="shared" si="8"/>
        <v>5.9530993947594889E-4</v>
      </c>
      <c r="X49" s="24" t="s">
        <v>190</v>
      </c>
    </row>
    <row r="50" spans="1:24" s="24" customFormat="1" x14ac:dyDescent="0.2">
      <c r="A50" s="24" t="s">
        <v>69</v>
      </c>
      <c r="B50" s="29"/>
      <c r="C50" s="25">
        <v>44473.451200000003</v>
      </c>
      <c r="D50" s="25"/>
      <c r="E50" s="26">
        <f t="shared" si="0"/>
        <v>4614.5123154164476</v>
      </c>
      <c r="F50" s="24">
        <f t="shared" si="1"/>
        <v>4614.5</v>
      </c>
      <c r="G50" s="27">
        <f t="shared" si="2"/>
        <v>4.3112050043419003E-3</v>
      </c>
      <c r="H50" s="27"/>
      <c r="I50" s="27"/>
      <c r="J50" s="12"/>
      <c r="K50" s="27">
        <f>G50</f>
        <v>4.3112050043419003E-3</v>
      </c>
      <c r="L50" s="31">
        <f t="shared" si="9"/>
        <v>4.3112050043419003E-3</v>
      </c>
      <c r="M50" s="27"/>
      <c r="N50" s="27"/>
      <c r="O50" s="12"/>
      <c r="P50" s="106"/>
      <c r="Q50" s="27">
        <f t="shared" si="4"/>
        <v>2.3569130762684807E-3</v>
      </c>
      <c r="R50" s="28">
        <f t="shared" si="5"/>
        <v>29454.951200000003</v>
      </c>
      <c r="S50" s="96"/>
      <c r="T50" s="24">
        <f t="shared" si="6"/>
        <v>3.8192569401329241E-6</v>
      </c>
      <c r="U50" s="24">
        <v>1</v>
      </c>
      <c r="V50" s="24">
        <f t="shared" si="7"/>
        <v>3.8192569401329241E-6</v>
      </c>
      <c r="W50" s="27">
        <f t="shared" si="8"/>
        <v>1.9542919280734197E-3</v>
      </c>
      <c r="X50" s="24" t="s">
        <v>190</v>
      </c>
    </row>
    <row r="51" spans="1:24" s="24" customFormat="1" x14ac:dyDescent="0.2">
      <c r="A51" s="24" t="s">
        <v>69</v>
      </c>
      <c r="B51" s="29"/>
      <c r="C51" s="25">
        <v>44474.326699999998</v>
      </c>
      <c r="D51" s="25"/>
      <c r="E51" s="26">
        <f t="shared" si="0"/>
        <v>4617.0132744506664</v>
      </c>
      <c r="F51" s="24">
        <f t="shared" si="1"/>
        <v>4617</v>
      </c>
      <c r="G51" s="27">
        <f t="shared" si="2"/>
        <v>4.6469299995806068E-3</v>
      </c>
      <c r="H51" s="27"/>
      <c r="I51" s="27"/>
      <c r="J51" s="12"/>
      <c r="K51" s="27">
        <f>G51</f>
        <v>4.6469299995806068E-3</v>
      </c>
      <c r="L51" s="31">
        <f t="shared" si="9"/>
        <v>4.6469299995806068E-3</v>
      </c>
      <c r="M51" s="27"/>
      <c r="N51" s="27"/>
      <c r="O51" s="12"/>
      <c r="P51" s="106"/>
      <c r="Q51" s="27">
        <f t="shared" si="4"/>
        <v>2.3584674315846317E-3</v>
      </c>
      <c r="R51" s="28">
        <f t="shared" si="5"/>
        <v>29455.826699999998</v>
      </c>
      <c r="S51" s="96"/>
      <c r="T51" s="24">
        <f t="shared" si="6"/>
        <v>5.2370609251187327E-6</v>
      </c>
      <c r="U51" s="24">
        <v>1</v>
      </c>
      <c r="V51" s="24">
        <f t="shared" si="7"/>
        <v>5.2370609251187327E-6</v>
      </c>
      <c r="W51" s="27">
        <f t="shared" si="8"/>
        <v>2.2884625679959751E-3</v>
      </c>
      <c r="X51" s="24" t="s">
        <v>190</v>
      </c>
    </row>
    <row r="52" spans="1:24" s="24" customFormat="1" x14ac:dyDescent="0.2">
      <c r="A52" s="24" t="s">
        <v>29</v>
      </c>
      <c r="B52" s="29"/>
      <c r="C52" s="25">
        <v>44474.326999999997</v>
      </c>
      <c r="D52" s="25" t="s">
        <v>31</v>
      </c>
      <c r="E52" s="26">
        <f t="shared" si="0"/>
        <v>4617.0141314326302</v>
      </c>
      <c r="F52" s="24">
        <f t="shared" si="1"/>
        <v>4617</v>
      </c>
      <c r="G52" s="27"/>
      <c r="H52" s="27">
        <f>+C52-(C$7+F52*C$8)</f>
        <v>4.946929999277927E-3</v>
      </c>
      <c r="I52" s="27"/>
      <c r="J52" s="27"/>
      <c r="K52" s="27"/>
      <c r="L52" s="27"/>
      <c r="M52" s="27"/>
      <c r="N52" s="27"/>
      <c r="O52" s="27"/>
      <c r="P52" s="106"/>
      <c r="Q52" s="27">
        <f t="shared" si="4"/>
        <v>2.3584674315846317E-3</v>
      </c>
      <c r="R52" s="28">
        <f t="shared" si="5"/>
        <v>29455.826999999997</v>
      </c>
      <c r="S52" s="96"/>
      <c r="T52" s="24">
        <f t="shared" si="6"/>
        <v>5.5623686258454095E-6</v>
      </c>
      <c r="U52" s="24">
        <v>0.1</v>
      </c>
      <c r="V52" s="24">
        <f t="shared" si="7"/>
        <v>5.5623686258454099E-7</v>
      </c>
      <c r="W52" s="27">
        <f t="shared" si="8"/>
        <v>-2.3584674315846317E-3</v>
      </c>
      <c r="X52" s="24" t="e">
        <v>#N/A</v>
      </c>
    </row>
    <row r="53" spans="1:24" s="24" customFormat="1" x14ac:dyDescent="0.2">
      <c r="A53" s="24" t="s">
        <v>69</v>
      </c>
      <c r="B53" s="29"/>
      <c r="C53" s="25">
        <v>44475.378100000002</v>
      </c>
      <c r="D53" s="25"/>
      <c r="E53" s="26">
        <f t="shared" ref="E53:E84" si="10">+(C53-C$7)/C$8</f>
        <v>4620.0167105769979</v>
      </c>
      <c r="F53" s="24">
        <f t="shared" ref="F53:F84" si="11">ROUND(2*E53,0)/2</f>
        <v>4620</v>
      </c>
      <c r="G53" s="27">
        <f t="shared" ref="G53:G84" si="12">+C53-(C$7+F53*C$8)</f>
        <v>5.8497999998508021E-3</v>
      </c>
      <c r="H53" s="27"/>
      <c r="I53" s="27"/>
      <c r="J53" s="12"/>
      <c r="K53" s="27">
        <f t="shared" ref="K53:K72" si="13">G53</f>
        <v>5.8497999998508021E-3</v>
      </c>
      <c r="L53" s="31">
        <f t="shared" ref="L53:L59" si="14">G53</f>
        <v>5.8497999998508021E-3</v>
      </c>
      <c r="M53" s="27"/>
      <c r="N53" s="27"/>
      <c r="O53" s="12"/>
      <c r="P53" s="106"/>
      <c r="Q53" s="27">
        <f t="shared" ref="Q53:Q84" si="15">+D$11+D$12*F53+D$13*F53^2</f>
        <v>2.3603330546551082E-3</v>
      </c>
      <c r="R53" s="28">
        <f t="shared" ref="R53:R84" si="16">+C53-15018.5</f>
        <v>29456.878100000002</v>
      </c>
      <c r="S53" s="96"/>
      <c r="T53" s="24">
        <f t="shared" ref="T53:T84" si="17">+(Q53-G53)^2</f>
        <v>1.2176379561613368E-5</v>
      </c>
      <c r="U53" s="24">
        <v>1</v>
      </c>
      <c r="V53" s="24">
        <f t="shared" ref="V53:V84" si="18">+U53*T53</f>
        <v>1.2176379561613368E-5</v>
      </c>
      <c r="W53" s="27">
        <f t="shared" ref="W53:W84" si="19">+G53-Q53</f>
        <v>3.4894669451956939E-3</v>
      </c>
      <c r="X53" s="24" t="s">
        <v>190</v>
      </c>
    </row>
    <row r="54" spans="1:24" s="24" customFormat="1" x14ac:dyDescent="0.2">
      <c r="A54" s="24" t="s">
        <v>69</v>
      </c>
      <c r="B54" s="29"/>
      <c r="C54" s="25">
        <v>44476.4283</v>
      </c>
      <c r="D54" s="25"/>
      <c r="E54" s="26">
        <f t="shared" si="10"/>
        <v>4623.0167187754523</v>
      </c>
      <c r="F54" s="24">
        <f t="shared" si="11"/>
        <v>4623</v>
      </c>
      <c r="G54" s="27">
        <f t="shared" si="12"/>
        <v>5.8526700013317168E-3</v>
      </c>
      <c r="H54" s="27"/>
      <c r="I54" s="27"/>
      <c r="J54" s="12"/>
      <c r="K54" s="27">
        <f t="shared" si="13"/>
        <v>5.8526700013317168E-3</v>
      </c>
      <c r="L54" s="31">
        <f t="shared" si="14"/>
        <v>5.8526700013317168E-3</v>
      </c>
      <c r="M54" s="27"/>
      <c r="N54" s="27"/>
      <c r="O54" s="12"/>
      <c r="P54" s="106"/>
      <c r="Q54" s="27">
        <f t="shared" si="15"/>
        <v>2.3621991104795076E-3</v>
      </c>
      <c r="R54" s="28">
        <f t="shared" si="16"/>
        <v>29457.9283</v>
      </c>
      <c r="S54" s="96"/>
      <c r="T54" s="24">
        <f t="shared" si="17"/>
        <v>1.2183387039886614E-5</v>
      </c>
      <c r="U54" s="24">
        <v>1</v>
      </c>
      <c r="V54" s="24">
        <f t="shared" si="18"/>
        <v>1.2183387039886614E-5</v>
      </c>
      <c r="W54" s="27">
        <f t="shared" si="19"/>
        <v>3.4904708908522091E-3</v>
      </c>
      <c r="X54" s="24" t="s">
        <v>190</v>
      </c>
    </row>
    <row r="55" spans="1:24" s="24" customFormat="1" x14ac:dyDescent="0.2">
      <c r="A55" s="24" t="s">
        <v>69</v>
      </c>
      <c r="B55" s="29"/>
      <c r="C55" s="25">
        <v>44478.352899999998</v>
      </c>
      <c r="D55" s="25"/>
      <c r="E55" s="26">
        <f t="shared" si="10"/>
        <v>4628.5145437409383</v>
      </c>
      <c r="F55" s="24">
        <f t="shared" si="11"/>
        <v>4628.5</v>
      </c>
      <c r="G55" s="27">
        <f t="shared" si="12"/>
        <v>5.0912649967358448E-3</v>
      </c>
      <c r="H55" s="27"/>
      <c r="I55" s="27"/>
      <c r="J55" s="12"/>
      <c r="K55" s="27">
        <f t="shared" si="13"/>
        <v>5.0912649967358448E-3</v>
      </c>
      <c r="L55" s="31">
        <f t="shared" si="14"/>
        <v>5.0912649967358448E-3</v>
      </c>
      <c r="M55" s="27"/>
      <c r="N55" s="27"/>
      <c r="O55" s="12"/>
      <c r="P55" s="106"/>
      <c r="Q55" s="27">
        <f t="shared" si="15"/>
        <v>2.3656213367823438E-3</v>
      </c>
      <c r="R55" s="28">
        <f t="shared" si="16"/>
        <v>29459.852899999998</v>
      </c>
      <c r="S55" s="96"/>
      <c r="T55" s="24">
        <f t="shared" si="17"/>
        <v>7.4291333610447157E-6</v>
      </c>
      <c r="U55" s="24">
        <v>1</v>
      </c>
      <c r="V55" s="24">
        <f t="shared" si="18"/>
        <v>7.4291333610447157E-6</v>
      </c>
      <c r="W55" s="27">
        <f t="shared" si="19"/>
        <v>2.725643659953501E-3</v>
      </c>
      <c r="X55" s="24" t="s">
        <v>190</v>
      </c>
    </row>
    <row r="56" spans="1:24" s="24" customFormat="1" x14ac:dyDescent="0.2">
      <c r="A56" s="24" t="s">
        <v>69</v>
      </c>
      <c r="B56" s="29"/>
      <c r="C56" s="25">
        <v>44480.277199999997</v>
      </c>
      <c r="D56" s="25"/>
      <c r="E56" s="26">
        <f t="shared" si="10"/>
        <v>4634.0115117244595</v>
      </c>
      <c r="F56" s="24">
        <f t="shared" si="11"/>
        <v>4634</v>
      </c>
      <c r="G56" s="27">
        <f t="shared" si="12"/>
        <v>4.0298599997186102E-3</v>
      </c>
      <c r="H56" s="27"/>
      <c r="I56" s="27"/>
      <c r="J56" s="12"/>
      <c r="K56" s="27">
        <f t="shared" si="13"/>
        <v>4.0298599997186102E-3</v>
      </c>
      <c r="L56" s="31">
        <f t="shared" si="14"/>
        <v>4.0298599997186102E-3</v>
      </c>
      <c r="M56" s="27"/>
      <c r="N56" s="27"/>
      <c r="O56" s="12"/>
      <c r="P56" s="106"/>
      <c r="Q56" s="27">
        <f t="shared" si="15"/>
        <v>2.3690450176191975E-3</v>
      </c>
      <c r="R56" s="28">
        <f t="shared" si="16"/>
        <v>29461.777199999997</v>
      </c>
      <c r="S56" s="96"/>
      <c r="T56" s="24">
        <f t="shared" si="17"/>
        <v>2.7583064047658726E-6</v>
      </c>
      <c r="U56" s="24">
        <v>1</v>
      </c>
      <c r="V56" s="24">
        <f t="shared" si="18"/>
        <v>2.7583064047658726E-6</v>
      </c>
      <c r="W56" s="27">
        <f t="shared" si="19"/>
        <v>1.6608149820994127E-3</v>
      </c>
      <c r="X56" s="24" t="s">
        <v>190</v>
      </c>
    </row>
    <row r="57" spans="1:24" s="24" customFormat="1" x14ac:dyDescent="0.2">
      <c r="A57" s="24" t="s">
        <v>69</v>
      </c>
      <c r="B57" s="29"/>
      <c r="C57" s="25">
        <v>44480.453099999999</v>
      </c>
      <c r="D57" s="25"/>
      <c r="E57" s="26">
        <f t="shared" si="10"/>
        <v>4634.5139888165522</v>
      </c>
      <c r="F57" s="24">
        <f t="shared" si="11"/>
        <v>4634.5</v>
      </c>
      <c r="G57" s="27">
        <f t="shared" si="12"/>
        <v>4.8970049974741414E-3</v>
      </c>
      <c r="H57" s="27"/>
      <c r="I57" s="27"/>
      <c r="J57" s="12"/>
      <c r="K57" s="27">
        <f t="shared" si="13"/>
        <v>4.8970049974741414E-3</v>
      </c>
      <c r="L57" s="31">
        <f t="shared" si="14"/>
        <v>4.8970049974741414E-3</v>
      </c>
      <c r="M57" s="27"/>
      <c r="N57" s="27"/>
      <c r="O57" s="12"/>
      <c r="P57" s="106"/>
      <c r="Q57" s="27">
        <f t="shared" si="15"/>
        <v>2.3693563334572926E-3</v>
      </c>
      <c r="R57" s="28">
        <f t="shared" si="16"/>
        <v>29461.953099999999</v>
      </c>
      <c r="S57" s="96"/>
      <c r="T57" s="24">
        <f t="shared" si="17"/>
        <v>6.3890077687061607E-6</v>
      </c>
      <c r="U57" s="24">
        <v>1</v>
      </c>
      <c r="V57" s="24">
        <f t="shared" si="18"/>
        <v>6.3890077687061607E-6</v>
      </c>
      <c r="W57" s="27">
        <f t="shared" si="19"/>
        <v>2.5276486640168488E-3</v>
      </c>
      <c r="X57" s="24" t="s">
        <v>190</v>
      </c>
    </row>
    <row r="58" spans="1:24" s="24" customFormat="1" x14ac:dyDescent="0.2">
      <c r="A58" s="24" t="s">
        <v>69</v>
      </c>
      <c r="B58" s="29"/>
      <c r="C58" s="25">
        <v>44500.405100000004</v>
      </c>
      <c r="D58" s="25"/>
      <c r="E58" s="26">
        <f t="shared" si="10"/>
        <v>4691.5090026955313</v>
      </c>
      <c r="F58" s="24">
        <f t="shared" si="11"/>
        <v>4691.5</v>
      </c>
      <c r="G58" s="27">
        <f t="shared" si="12"/>
        <v>3.151535005599726E-3</v>
      </c>
      <c r="H58" s="27"/>
      <c r="I58" s="27"/>
      <c r="J58" s="12"/>
      <c r="K58" s="27">
        <f t="shared" si="13"/>
        <v>3.151535005599726E-3</v>
      </c>
      <c r="L58" s="31">
        <f t="shared" si="14"/>
        <v>3.151535005599726E-3</v>
      </c>
      <c r="M58" s="27"/>
      <c r="N58" s="27"/>
      <c r="O58" s="12"/>
      <c r="P58" s="106"/>
      <c r="Q58" s="27">
        <f t="shared" si="15"/>
        <v>2.4049251362768566E-3</v>
      </c>
      <c r="R58" s="28">
        <f t="shared" si="16"/>
        <v>29481.905100000004</v>
      </c>
      <c r="S58" s="96"/>
      <c r="T58" s="24">
        <f t="shared" si="17"/>
        <v>5.5742629697031218E-7</v>
      </c>
      <c r="U58" s="24">
        <v>1</v>
      </c>
      <c r="V58" s="24">
        <f t="shared" si="18"/>
        <v>5.5742629697031218E-7</v>
      </c>
      <c r="W58" s="27">
        <f t="shared" si="19"/>
        <v>7.4660986932286941E-4</v>
      </c>
      <c r="X58" s="24" t="s">
        <v>190</v>
      </c>
    </row>
    <row r="59" spans="1:24" s="24" customFormat="1" x14ac:dyDescent="0.2">
      <c r="A59" s="24" t="s">
        <v>69</v>
      </c>
      <c r="B59" s="29"/>
      <c r="C59" s="25">
        <v>44506.357799999998</v>
      </c>
      <c r="D59" s="25"/>
      <c r="E59" s="26">
        <f t="shared" si="10"/>
        <v>4708.5135245037209</v>
      </c>
      <c r="F59" s="24">
        <f t="shared" si="11"/>
        <v>4708.5</v>
      </c>
      <c r="G59" s="27">
        <f t="shared" si="12"/>
        <v>4.7344649938168004E-3</v>
      </c>
      <c r="H59" s="27"/>
      <c r="I59" s="27"/>
      <c r="J59" s="12"/>
      <c r="K59" s="27">
        <f t="shared" si="13"/>
        <v>4.7344649938168004E-3</v>
      </c>
      <c r="L59" s="31">
        <f t="shared" si="14"/>
        <v>4.7344649938168004E-3</v>
      </c>
      <c r="M59" s="27"/>
      <c r="N59" s="27"/>
      <c r="O59" s="12"/>
      <c r="P59" s="106"/>
      <c r="Q59" s="27">
        <f t="shared" si="15"/>
        <v>2.4155636204050797E-3</v>
      </c>
      <c r="R59" s="28">
        <f t="shared" si="16"/>
        <v>29487.857799999998</v>
      </c>
      <c r="S59" s="96"/>
      <c r="T59" s="24">
        <f t="shared" si="17"/>
        <v>5.3773035796107647E-6</v>
      </c>
      <c r="U59" s="24">
        <v>1</v>
      </c>
      <c r="V59" s="24">
        <f t="shared" si="18"/>
        <v>5.3773035796107647E-6</v>
      </c>
      <c r="W59" s="27">
        <f t="shared" si="19"/>
        <v>2.3189013734117208E-3</v>
      </c>
      <c r="X59" s="24" t="s">
        <v>190</v>
      </c>
    </row>
    <row r="60" spans="1:24" s="24" customFormat="1" x14ac:dyDescent="0.2">
      <c r="A60" s="24" t="s">
        <v>70</v>
      </c>
      <c r="B60" s="29"/>
      <c r="C60" s="25">
        <v>44707.453000000001</v>
      </c>
      <c r="D60" s="25"/>
      <c r="E60" s="26">
        <f t="shared" si="10"/>
        <v>5282.9633899304245</v>
      </c>
      <c r="F60" s="24">
        <f t="shared" si="11"/>
        <v>5283</v>
      </c>
      <c r="G60" s="27">
        <f t="shared" si="12"/>
        <v>-1.2815930000215303E-2</v>
      </c>
      <c r="H60" s="27"/>
      <c r="I60" s="27"/>
      <c r="J60" s="27"/>
      <c r="K60" s="27">
        <f t="shared" si="13"/>
        <v>-1.2815930000215303E-2</v>
      </c>
      <c r="L60" s="27"/>
      <c r="M60" s="27"/>
      <c r="N60" s="27"/>
      <c r="O60" s="12"/>
      <c r="P60" s="106"/>
      <c r="Q60" s="27">
        <f t="shared" si="15"/>
        <v>2.783251639704653E-3</v>
      </c>
      <c r="R60" s="28">
        <f t="shared" si="16"/>
        <v>29688.953000000001</v>
      </c>
      <c r="S60" s="96"/>
      <c r="T60" s="24">
        <f t="shared" si="17"/>
        <v>2.4333446783521585E-4</v>
      </c>
      <c r="U60" s="24">
        <v>1</v>
      </c>
      <c r="V60" s="24">
        <f t="shared" si="18"/>
        <v>2.4333446783521585E-4</v>
      </c>
      <c r="W60" s="27">
        <f t="shared" si="19"/>
        <v>-1.5599181639919956E-2</v>
      </c>
      <c r="X60" s="24" t="e">
        <v>#N/A</v>
      </c>
    </row>
    <row r="61" spans="1:24" s="24" customFormat="1" x14ac:dyDescent="0.2">
      <c r="A61" s="24" t="s">
        <v>69</v>
      </c>
      <c r="B61" s="29"/>
      <c r="C61" s="25">
        <v>44752.457900000001</v>
      </c>
      <c r="D61" s="25"/>
      <c r="E61" s="26">
        <f t="shared" si="10"/>
        <v>5411.5246820375551</v>
      </c>
      <c r="F61" s="24">
        <f t="shared" si="11"/>
        <v>5411.5</v>
      </c>
      <c r="G61" s="27">
        <f t="shared" si="12"/>
        <v>8.6403349996544421E-3</v>
      </c>
      <c r="H61" s="27"/>
      <c r="I61" s="27"/>
      <c r="J61" s="12"/>
      <c r="K61" s="27">
        <f t="shared" si="13"/>
        <v>8.6403349996544421E-3</v>
      </c>
      <c r="L61" s="31">
        <f t="shared" ref="L61:L75" si="20">G61</f>
        <v>8.6403349996544421E-3</v>
      </c>
      <c r="M61" s="27"/>
      <c r="N61" s="27"/>
      <c r="O61" s="12"/>
      <c r="P61" s="106"/>
      <c r="Q61" s="27">
        <f t="shared" si="15"/>
        <v>2.8676652690685671E-3</v>
      </c>
      <c r="R61" s="28">
        <f t="shared" si="16"/>
        <v>29733.957900000001</v>
      </c>
      <c r="S61" s="96"/>
      <c r="T61" s="24">
        <f t="shared" si="17"/>
        <v>3.3323715818422399E-5</v>
      </c>
      <c r="U61" s="24">
        <v>1</v>
      </c>
      <c r="V61" s="24">
        <f t="shared" si="18"/>
        <v>3.3323715818422399E-5</v>
      </c>
      <c r="W61" s="27">
        <f t="shared" si="19"/>
        <v>5.772669730585875E-3</v>
      </c>
      <c r="X61" s="24" t="s">
        <v>190</v>
      </c>
    </row>
    <row r="62" spans="1:24" s="24" customFormat="1" x14ac:dyDescent="0.2">
      <c r="A62" s="24" t="s">
        <v>71</v>
      </c>
      <c r="B62" s="29"/>
      <c r="C62" s="25">
        <v>45739.289700000001</v>
      </c>
      <c r="D62" s="25"/>
      <c r="E62" s="26">
        <f t="shared" si="10"/>
        <v>8230.5148653377128</v>
      </c>
      <c r="F62" s="24">
        <f t="shared" si="11"/>
        <v>8230.5</v>
      </c>
      <c r="G62" s="27">
        <f t="shared" si="12"/>
        <v>5.203845001233276E-3</v>
      </c>
      <c r="H62" s="27"/>
      <c r="I62" s="27"/>
      <c r="J62" s="12"/>
      <c r="K62" s="27">
        <f t="shared" si="13"/>
        <v>5.203845001233276E-3</v>
      </c>
      <c r="L62" s="31">
        <f t="shared" si="20"/>
        <v>5.203845001233276E-3</v>
      </c>
      <c r="M62" s="27"/>
      <c r="N62" s="27"/>
      <c r="O62" s="12"/>
      <c r="P62" s="106"/>
      <c r="Q62" s="27">
        <f t="shared" si="15"/>
        <v>4.9192738709788516E-3</v>
      </c>
      <c r="R62" s="28">
        <f t="shared" si="16"/>
        <v>30720.789700000001</v>
      </c>
      <c r="S62" s="96"/>
      <c r="T62" s="24">
        <f t="shared" si="17"/>
        <v>8.0980728174280571E-8</v>
      </c>
      <c r="U62" s="24">
        <v>1</v>
      </c>
      <c r="V62" s="24">
        <f t="shared" si="18"/>
        <v>8.0980728174280571E-8</v>
      </c>
      <c r="W62" s="27">
        <f t="shared" si="19"/>
        <v>2.8457113025442439E-4</v>
      </c>
      <c r="X62" s="24" t="s">
        <v>190</v>
      </c>
    </row>
    <row r="63" spans="1:24" s="24" customFormat="1" x14ac:dyDescent="0.2">
      <c r="A63" s="24" t="s">
        <v>71</v>
      </c>
      <c r="B63" s="29"/>
      <c r="C63" s="25">
        <v>45740.339399999997</v>
      </c>
      <c r="D63" s="25"/>
      <c r="E63" s="26">
        <f t="shared" si="10"/>
        <v>8233.5134452328875</v>
      </c>
      <c r="F63" s="24">
        <f t="shared" si="11"/>
        <v>8233.5</v>
      </c>
      <c r="G63" s="27">
        <f t="shared" si="12"/>
        <v>4.7067149935173802E-3</v>
      </c>
      <c r="H63" s="27"/>
      <c r="I63" s="27"/>
      <c r="J63" s="12"/>
      <c r="K63" s="27">
        <f t="shared" si="13"/>
        <v>4.7067149935173802E-3</v>
      </c>
      <c r="L63" s="31">
        <f t="shared" si="20"/>
        <v>4.7067149935173802E-3</v>
      </c>
      <c r="M63" s="27"/>
      <c r="N63" s="27"/>
      <c r="O63" s="12"/>
      <c r="P63" s="106"/>
      <c r="Q63" s="27">
        <f t="shared" si="15"/>
        <v>4.9216607461490449E-3</v>
      </c>
      <c r="R63" s="28">
        <f t="shared" si="16"/>
        <v>30721.839399999997</v>
      </c>
      <c r="S63" s="96"/>
      <c r="T63" s="24">
        <f t="shared" si="17"/>
        <v>4.620167657439279E-8</v>
      </c>
      <c r="U63" s="24">
        <v>1</v>
      </c>
      <c r="V63" s="24">
        <f t="shared" si="18"/>
        <v>4.620167657439279E-8</v>
      </c>
      <c r="W63" s="27">
        <f t="shared" si="19"/>
        <v>-2.149457526316647E-4</v>
      </c>
      <c r="X63" s="24" t="s">
        <v>190</v>
      </c>
    </row>
    <row r="64" spans="1:24" s="24" customFormat="1" x14ac:dyDescent="0.2">
      <c r="A64" s="24" t="s">
        <v>71</v>
      </c>
      <c r="B64" s="29"/>
      <c r="C64" s="25">
        <v>45740.513099999996</v>
      </c>
      <c r="D64" s="25"/>
      <c r="E64" s="26">
        <f t="shared" si="10"/>
        <v>8234.0096377905629</v>
      </c>
      <c r="F64" s="24">
        <f t="shared" si="11"/>
        <v>8234</v>
      </c>
      <c r="G64" s="27">
        <f t="shared" si="12"/>
        <v>3.3738599959178828E-3</v>
      </c>
      <c r="H64" s="27"/>
      <c r="I64" s="27"/>
      <c r="J64" s="12"/>
      <c r="K64" s="27">
        <f t="shared" si="13"/>
        <v>3.3738599959178828E-3</v>
      </c>
      <c r="L64" s="31">
        <f t="shared" si="20"/>
        <v>3.3738599959178828E-3</v>
      </c>
      <c r="M64" s="27"/>
      <c r="N64" s="27"/>
      <c r="O64" s="12"/>
      <c r="P64" s="106"/>
      <c r="Q64" s="27">
        <f t="shared" si="15"/>
        <v>4.9220586007507096E-3</v>
      </c>
      <c r="R64" s="28">
        <f t="shared" si="16"/>
        <v>30722.013099999996</v>
      </c>
      <c r="S64" s="96"/>
      <c r="T64" s="24">
        <f t="shared" si="17"/>
        <v>2.3969189200063116E-6</v>
      </c>
      <c r="U64" s="24">
        <v>1</v>
      </c>
      <c r="V64" s="24">
        <f t="shared" si="18"/>
        <v>2.3969189200063116E-6</v>
      </c>
      <c r="W64" s="27">
        <f t="shared" si="19"/>
        <v>-1.5481986048328268E-3</v>
      </c>
      <c r="X64" s="24" t="s">
        <v>190</v>
      </c>
    </row>
    <row r="65" spans="1:26" s="24" customFormat="1" x14ac:dyDescent="0.2">
      <c r="A65" s="24" t="s">
        <v>71</v>
      </c>
      <c r="B65" s="29"/>
      <c r="C65" s="25">
        <v>45753.292000000001</v>
      </c>
      <c r="D65" s="25"/>
      <c r="E65" s="26">
        <f t="shared" si="10"/>
        <v>8270.5139272281231</v>
      </c>
      <c r="F65" s="24">
        <f t="shared" si="11"/>
        <v>8270.5</v>
      </c>
      <c r="G65" s="27">
        <f t="shared" si="12"/>
        <v>4.8754450035630725E-3</v>
      </c>
      <c r="H65" s="27"/>
      <c r="I65" s="27"/>
      <c r="J65" s="12"/>
      <c r="K65" s="27">
        <f t="shared" si="13"/>
        <v>4.8754450035630725E-3</v>
      </c>
      <c r="L65" s="31">
        <f t="shared" si="20"/>
        <v>4.8754450035630725E-3</v>
      </c>
      <c r="M65" s="27"/>
      <c r="N65" s="27"/>
      <c r="O65" s="12"/>
      <c r="P65" s="106"/>
      <c r="Q65" s="27">
        <f t="shared" si="15"/>
        <v>4.951134455237296E-3</v>
      </c>
      <c r="R65" s="28">
        <f t="shared" si="16"/>
        <v>30734.792000000001</v>
      </c>
      <c r="S65" s="96"/>
      <c r="T65" s="24">
        <f t="shared" si="17"/>
        <v>5.7288930947446157E-9</v>
      </c>
      <c r="U65" s="24">
        <v>1</v>
      </c>
      <c r="V65" s="24">
        <f t="shared" si="18"/>
        <v>5.7288930947446157E-9</v>
      </c>
      <c r="W65" s="27">
        <f t="shared" si="19"/>
        <v>-7.5689451674223508E-5</v>
      </c>
      <c r="X65" s="24" t="s">
        <v>190</v>
      </c>
    </row>
    <row r="66" spans="1:26" s="24" customFormat="1" x14ac:dyDescent="0.2">
      <c r="A66" s="24" t="s">
        <v>71</v>
      </c>
      <c r="B66" s="29"/>
      <c r="C66" s="25">
        <v>45761.519099999998</v>
      </c>
      <c r="D66" s="25"/>
      <c r="E66" s="26">
        <f t="shared" si="10"/>
        <v>8294.0155149728816</v>
      </c>
      <c r="F66" s="24">
        <f t="shared" si="11"/>
        <v>8294</v>
      </c>
      <c r="G66" s="27">
        <f t="shared" si="12"/>
        <v>5.431259996839799E-3</v>
      </c>
      <c r="H66" s="27"/>
      <c r="I66" s="27"/>
      <c r="J66" s="12"/>
      <c r="K66" s="27">
        <f t="shared" si="13"/>
        <v>5.431259996839799E-3</v>
      </c>
      <c r="L66" s="31">
        <f t="shared" si="20"/>
        <v>5.431259996839799E-3</v>
      </c>
      <c r="M66" s="27"/>
      <c r="N66" s="27"/>
      <c r="O66" s="12"/>
      <c r="P66" s="106"/>
      <c r="Q66" s="27">
        <f t="shared" si="15"/>
        <v>4.9698884249914062E-3</v>
      </c>
      <c r="R66" s="28">
        <f t="shared" si="16"/>
        <v>30743.019099999998</v>
      </c>
      <c r="S66" s="96"/>
      <c r="T66" s="24">
        <f t="shared" si="17"/>
        <v>2.1286372730985665E-7</v>
      </c>
      <c r="U66" s="24">
        <v>1</v>
      </c>
      <c r="V66" s="24">
        <f t="shared" si="18"/>
        <v>2.1286372730985665E-7</v>
      </c>
      <c r="W66" s="27">
        <f t="shared" si="19"/>
        <v>4.6137157184839277E-4</v>
      </c>
      <c r="X66" s="24" t="s">
        <v>190</v>
      </c>
    </row>
    <row r="67" spans="1:26" s="24" customFormat="1" x14ac:dyDescent="0.2">
      <c r="A67" s="24" t="s">
        <v>71</v>
      </c>
      <c r="B67" s="29"/>
      <c r="C67" s="25">
        <v>45762.2192</v>
      </c>
      <c r="D67" s="25"/>
      <c r="E67" s="26">
        <f t="shared" si="10"/>
        <v>8296.0154252183092</v>
      </c>
      <c r="F67" s="24">
        <f t="shared" si="11"/>
        <v>8296</v>
      </c>
      <c r="G67" s="27">
        <f t="shared" si="12"/>
        <v>5.399839996243827E-3</v>
      </c>
      <c r="H67" s="27"/>
      <c r="I67" s="27"/>
      <c r="J67" s="12"/>
      <c r="K67" s="27">
        <f t="shared" si="13"/>
        <v>5.399839996243827E-3</v>
      </c>
      <c r="L67" s="31">
        <f t="shared" si="20"/>
        <v>5.399839996243827E-3</v>
      </c>
      <c r="M67" s="27"/>
      <c r="N67" s="27"/>
      <c r="O67" s="12"/>
      <c r="P67" s="106"/>
      <c r="Q67" s="27">
        <f t="shared" si="15"/>
        <v>4.9714857336597851E-3</v>
      </c>
      <c r="R67" s="28">
        <f t="shared" si="16"/>
        <v>30743.7192</v>
      </c>
      <c r="S67" s="96"/>
      <c r="T67" s="24">
        <f t="shared" si="17"/>
        <v>1.8348737427391832E-7</v>
      </c>
      <c r="U67" s="24">
        <v>1</v>
      </c>
      <c r="V67" s="24">
        <f t="shared" si="18"/>
        <v>1.8348737427391832E-7</v>
      </c>
      <c r="W67" s="27">
        <f t="shared" si="19"/>
        <v>4.283542625840419E-4</v>
      </c>
      <c r="X67" s="24" t="s">
        <v>190</v>
      </c>
    </row>
    <row r="68" spans="1:26" s="24" customFormat="1" x14ac:dyDescent="0.2">
      <c r="A68" s="24" t="s">
        <v>71</v>
      </c>
      <c r="B68" s="29"/>
      <c r="C68" s="25">
        <v>45762.393700000001</v>
      </c>
      <c r="D68" s="25"/>
      <c r="E68" s="26">
        <f t="shared" si="10"/>
        <v>8296.5139030612281</v>
      </c>
      <c r="F68" s="24">
        <f t="shared" si="11"/>
        <v>8296.5</v>
      </c>
      <c r="G68" s="27">
        <f t="shared" si="12"/>
        <v>4.8669850002625026E-3</v>
      </c>
      <c r="H68" s="27"/>
      <c r="I68" s="27"/>
      <c r="J68" s="12"/>
      <c r="K68" s="27">
        <f t="shared" si="13"/>
        <v>4.8669850002625026E-3</v>
      </c>
      <c r="L68" s="31">
        <f t="shared" si="20"/>
        <v>4.8669850002625026E-3</v>
      </c>
      <c r="M68" s="27"/>
      <c r="N68" s="27"/>
      <c r="O68" s="12"/>
      <c r="P68" s="106"/>
      <c r="Q68" s="27">
        <f t="shared" si="15"/>
        <v>4.9718850908792352E-3</v>
      </c>
      <c r="R68" s="28">
        <f t="shared" si="16"/>
        <v>30743.893700000001</v>
      </c>
      <c r="S68" s="96"/>
      <c r="T68" s="24">
        <f t="shared" si="17"/>
        <v>1.1004029011398722E-8</v>
      </c>
      <c r="U68" s="24">
        <v>1</v>
      </c>
      <c r="V68" s="24">
        <f t="shared" si="18"/>
        <v>1.1004029011398722E-8</v>
      </c>
      <c r="W68" s="27">
        <f t="shared" si="19"/>
        <v>-1.0490009061673265E-4</v>
      </c>
      <c r="X68" s="24" t="s">
        <v>190</v>
      </c>
    </row>
    <row r="69" spans="1:26" s="24" customFormat="1" x14ac:dyDescent="0.2">
      <c r="A69" s="24" t="s">
        <v>71</v>
      </c>
      <c r="B69" s="29"/>
      <c r="C69" s="25">
        <v>45763.273099999999</v>
      </c>
      <c r="D69" s="25"/>
      <c r="E69" s="26">
        <f t="shared" si="10"/>
        <v>8299.026002861001</v>
      </c>
      <c r="F69" s="24">
        <f t="shared" si="11"/>
        <v>8299</v>
      </c>
      <c r="G69" s="27">
        <f t="shared" si="12"/>
        <v>9.1027099988423288E-3</v>
      </c>
      <c r="H69" s="27"/>
      <c r="I69" s="27"/>
      <c r="J69" s="12"/>
      <c r="K69" s="27">
        <f t="shared" si="13"/>
        <v>9.1027099988423288E-3</v>
      </c>
      <c r="L69" s="31">
        <f t="shared" si="20"/>
        <v>9.1027099988423288E-3</v>
      </c>
      <c r="M69" s="27"/>
      <c r="N69" s="27"/>
      <c r="O69" s="12"/>
      <c r="P69" s="106"/>
      <c r="Q69" s="27">
        <f t="shared" si="15"/>
        <v>4.9738820572906217E-3</v>
      </c>
      <c r="R69" s="28">
        <f t="shared" si="16"/>
        <v>30744.773099999999</v>
      </c>
      <c r="S69" s="96"/>
      <c r="T69" s="24">
        <f t="shared" si="17"/>
        <v>1.7047220170938106E-5</v>
      </c>
      <c r="U69" s="24">
        <v>1</v>
      </c>
      <c r="V69" s="24">
        <f t="shared" si="18"/>
        <v>1.7047220170938106E-5</v>
      </c>
      <c r="W69" s="27">
        <f t="shared" si="19"/>
        <v>4.1288279415517071E-3</v>
      </c>
      <c r="X69" s="24" t="s">
        <v>190</v>
      </c>
    </row>
    <row r="70" spans="1:26" s="24" customFormat="1" x14ac:dyDescent="0.2">
      <c r="A70" s="24" t="s">
        <v>71</v>
      </c>
      <c r="B70" s="29"/>
      <c r="C70" s="25">
        <v>45802.302600000003</v>
      </c>
      <c r="D70" s="25"/>
      <c r="E70" s="26">
        <f t="shared" si="10"/>
        <v>8410.5179281912606</v>
      </c>
      <c r="F70" s="24">
        <f t="shared" si="11"/>
        <v>8410.5</v>
      </c>
      <c r="G70" s="27">
        <f t="shared" si="12"/>
        <v>6.2760450018686242E-3</v>
      </c>
      <c r="H70" s="27"/>
      <c r="I70" s="27"/>
      <c r="J70" s="12"/>
      <c r="K70" s="27">
        <f t="shared" si="13"/>
        <v>6.2760450018686242E-3</v>
      </c>
      <c r="L70" s="31">
        <f t="shared" si="20"/>
        <v>6.2760450018686242E-3</v>
      </c>
      <c r="M70" s="27"/>
      <c r="N70" s="27"/>
      <c r="O70" s="12"/>
      <c r="P70" s="106"/>
      <c r="Q70" s="27">
        <f t="shared" si="15"/>
        <v>5.0632523556334297E-3</v>
      </c>
      <c r="R70" s="28">
        <f t="shared" si="16"/>
        <v>30783.802600000003</v>
      </c>
      <c r="S70" s="96"/>
      <c r="T70" s="24">
        <f t="shared" si="17"/>
        <v>1.4708660027621658E-6</v>
      </c>
      <c r="U70" s="24">
        <v>1</v>
      </c>
      <c r="V70" s="24">
        <f t="shared" si="18"/>
        <v>1.4708660027621658E-6</v>
      </c>
      <c r="W70" s="27">
        <f t="shared" si="19"/>
        <v>1.2127926462351946E-3</v>
      </c>
      <c r="X70" s="24" t="s">
        <v>190</v>
      </c>
    </row>
    <row r="71" spans="1:26" s="24" customFormat="1" x14ac:dyDescent="0.2">
      <c r="A71" s="24" t="s">
        <v>71</v>
      </c>
      <c r="B71" s="29"/>
      <c r="C71" s="25">
        <v>45813.329100000003</v>
      </c>
      <c r="D71" s="25"/>
      <c r="E71" s="26">
        <f t="shared" si="10"/>
        <v>8442.0163003111684</v>
      </c>
      <c r="F71" s="24">
        <f t="shared" si="11"/>
        <v>8442</v>
      </c>
      <c r="G71" s="27">
        <f t="shared" si="12"/>
        <v>5.7061800034716725E-3</v>
      </c>
      <c r="H71" s="27"/>
      <c r="I71" s="27"/>
      <c r="J71" s="12"/>
      <c r="K71" s="27">
        <f t="shared" si="13"/>
        <v>5.7061800034716725E-3</v>
      </c>
      <c r="L71" s="31">
        <f t="shared" si="20"/>
        <v>5.7061800034716725E-3</v>
      </c>
      <c r="M71" s="27"/>
      <c r="N71" s="27"/>
      <c r="O71" s="12"/>
      <c r="P71" s="106"/>
      <c r="Q71" s="27">
        <f t="shared" si="15"/>
        <v>5.0886087634935667E-3</v>
      </c>
      <c r="R71" s="28">
        <f t="shared" si="16"/>
        <v>30794.829100000003</v>
      </c>
      <c r="S71" s="96"/>
      <c r="T71" s="24">
        <f t="shared" si="17"/>
        <v>3.8139423644809527E-7</v>
      </c>
      <c r="U71" s="24">
        <v>1</v>
      </c>
      <c r="V71" s="24">
        <f t="shared" si="18"/>
        <v>3.8139423644809527E-7</v>
      </c>
      <c r="W71" s="27">
        <f t="shared" si="19"/>
        <v>6.1757123997810588E-4</v>
      </c>
      <c r="X71" s="24" t="s">
        <v>190</v>
      </c>
    </row>
    <row r="72" spans="1:26" s="24" customFormat="1" x14ac:dyDescent="0.2">
      <c r="A72" s="24" t="s">
        <v>71</v>
      </c>
      <c r="B72" s="29"/>
      <c r="C72" s="25">
        <v>45814.379200000003</v>
      </c>
      <c r="D72" s="25"/>
      <c r="E72" s="26">
        <f t="shared" si="10"/>
        <v>8445.0160228489749</v>
      </c>
      <c r="F72" s="24">
        <f t="shared" si="11"/>
        <v>8445</v>
      </c>
      <c r="G72" s="27">
        <f t="shared" si="12"/>
        <v>5.6090500002028421E-3</v>
      </c>
      <c r="H72" s="27"/>
      <c r="I72" s="27"/>
      <c r="J72" s="12"/>
      <c r="K72" s="27">
        <f t="shared" si="13"/>
        <v>5.6090500002028421E-3</v>
      </c>
      <c r="L72" s="31">
        <f t="shared" si="20"/>
        <v>5.6090500002028421E-3</v>
      </c>
      <c r="M72" s="27"/>
      <c r="N72" s="27"/>
      <c r="O72" s="12"/>
      <c r="P72" s="106"/>
      <c r="Q72" s="27">
        <f t="shared" si="15"/>
        <v>5.091026147815301E-3</v>
      </c>
      <c r="R72" s="28">
        <f t="shared" si="16"/>
        <v>30795.879200000003</v>
      </c>
      <c r="S72" s="96"/>
      <c r="T72" s="24">
        <f t="shared" si="17"/>
        <v>2.6834871164242888E-7</v>
      </c>
      <c r="U72" s="24">
        <v>1</v>
      </c>
      <c r="V72" s="24">
        <f t="shared" si="18"/>
        <v>2.6834871164242888E-7</v>
      </c>
      <c r="W72" s="27">
        <f t="shared" si="19"/>
        <v>5.1802385238754103E-4</v>
      </c>
      <c r="X72" s="24" t="s">
        <v>190</v>
      </c>
    </row>
    <row r="73" spans="1:26" s="24" customFormat="1" x14ac:dyDescent="0.2">
      <c r="A73" s="24" t="s">
        <v>72</v>
      </c>
      <c r="B73" s="29"/>
      <c r="C73" s="25">
        <v>45857.262199999997</v>
      </c>
      <c r="D73" s="25"/>
      <c r="E73" s="26">
        <f t="shared" si="10"/>
        <v>8567.5158815183495</v>
      </c>
      <c r="F73" s="24">
        <f t="shared" si="11"/>
        <v>8567.5</v>
      </c>
      <c r="G73" s="27">
        <f t="shared" si="12"/>
        <v>5.5595749945496209E-3</v>
      </c>
      <c r="H73" s="27"/>
      <c r="I73" s="27"/>
      <c r="J73" s="27">
        <f>G73</f>
        <v>5.5595749945496209E-3</v>
      </c>
      <c r="K73" s="27"/>
      <c r="L73" s="31">
        <f t="shared" si="20"/>
        <v>5.5595749945496209E-3</v>
      </c>
      <c r="M73" s="27"/>
      <c r="N73" s="27"/>
      <c r="O73" s="12"/>
      <c r="P73" s="106"/>
      <c r="Q73" s="27">
        <f t="shared" si="15"/>
        <v>5.1901056215426164E-3</v>
      </c>
      <c r="R73" s="28">
        <f t="shared" si="16"/>
        <v>30838.762199999997</v>
      </c>
      <c r="S73" s="96"/>
      <c r="T73" s="24">
        <f t="shared" si="17"/>
        <v>1.3650761759018903E-7</v>
      </c>
      <c r="U73" s="24">
        <v>1</v>
      </c>
      <c r="V73" s="24">
        <f t="shared" si="18"/>
        <v>1.3650761759018903E-7</v>
      </c>
      <c r="W73" s="27">
        <f t="shared" si="19"/>
        <v>3.694693730070045E-4</v>
      </c>
      <c r="X73" s="24" t="s">
        <v>190</v>
      </c>
    </row>
    <row r="74" spans="1:26" s="24" customFormat="1" x14ac:dyDescent="0.2">
      <c r="A74" s="24" t="s">
        <v>72</v>
      </c>
      <c r="B74" s="29"/>
      <c r="C74" s="25">
        <v>45860.239200000004</v>
      </c>
      <c r="D74" s="25"/>
      <c r="E74" s="26">
        <f t="shared" si="10"/>
        <v>8576.0199992167272</v>
      </c>
      <c r="F74" s="24">
        <f t="shared" si="11"/>
        <v>8576</v>
      </c>
      <c r="G74" s="27">
        <f t="shared" si="12"/>
        <v>7.0010400013416074E-3</v>
      </c>
      <c r="H74" s="27"/>
      <c r="I74" s="27"/>
      <c r="J74" s="27">
        <f>G74</f>
        <v>7.0010400013416074E-3</v>
      </c>
      <c r="K74" s="27"/>
      <c r="L74" s="31">
        <f t="shared" si="20"/>
        <v>7.0010400013416074E-3</v>
      </c>
      <c r="M74" s="27"/>
      <c r="N74" s="27"/>
      <c r="O74" s="12"/>
      <c r="P74" s="106"/>
      <c r="Q74" s="27">
        <f t="shared" si="15"/>
        <v>5.197007294439733E-3</v>
      </c>
      <c r="R74" s="28">
        <f t="shared" si="16"/>
        <v>30841.739200000004</v>
      </c>
      <c r="S74" s="96"/>
      <c r="T74" s="24">
        <f t="shared" si="17"/>
        <v>3.2545340075717042E-6</v>
      </c>
      <c r="U74" s="24">
        <v>1</v>
      </c>
      <c r="V74" s="24">
        <f t="shared" si="18"/>
        <v>3.2545340075717042E-6</v>
      </c>
      <c r="W74" s="27">
        <f t="shared" si="19"/>
        <v>1.8040327069018744E-3</v>
      </c>
      <c r="X74" s="24" t="s">
        <v>190</v>
      </c>
    </row>
    <row r="75" spans="1:26" s="24" customFormat="1" x14ac:dyDescent="0.2">
      <c r="A75" s="24" t="s">
        <v>194</v>
      </c>
      <c r="B75" s="29"/>
      <c r="C75" s="25">
        <v>46127.688800000004</v>
      </c>
      <c r="D75" s="25"/>
      <c r="E75" s="26">
        <f t="shared" si="10"/>
        <v>9340.0182782826778</v>
      </c>
      <c r="F75" s="24">
        <f t="shared" si="11"/>
        <v>9340</v>
      </c>
      <c r="G75" s="27">
        <f t="shared" si="12"/>
        <v>6.3986000022850931E-3</v>
      </c>
      <c r="H75" s="27"/>
      <c r="I75" s="27"/>
      <c r="J75" s="27">
        <f>G75</f>
        <v>6.3986000022850931E-3</v>
      </c>
      <c r="K75" s="27"/>
      <c r="L75" s="31">
        <f t="shared" si="20"/>
        <v>6.3986000022850931E-3</v>
      </c>
      <c r="M75" s="27"/>
      <c r="N75" s="27"/>
      <c r="O75" s="27"/>
      <c r="P75" s="106"/>
      <c r="Q75" s="27">
        <f t="shared" si="15"/>
        <v>5.8315351735269937E-3</v>
      </c>
      <c r="R75" s="28">
        <f t="shared" si="16"/>
        <v>31109.188800000004</v>
      </c>
      <c r="S75" s="96"/>
      <c r="T75" s="24">
        <f t="shared" si="17"/>
        <v>3.2156252001445262E-7</v>
      </c>
      <c r="U75" s="24">
        <v>1</v>
      </c>
      <c r="V75" s="24">
        <f t="shared" si="18"/>
        <v>3.2156252001445262E-7</v>
      </c>
      <c r="W75" s="27">
        <f t="shared" si="19"/>
        <v>5.6706482875809941E-4</v>
      </c>
      <c r="X75" s="24" t="s">
        <v>232</v>
      </c>
      <c r="Z75" s="24" t="s">
        <v>195</v>
      </c>
    </row>
    <row r="76" spans="1:26" s="24" customFormat="1" x14ac:dyDescent="0.2">
      <c r="A76" s="24" t="s">
        <v>73</v>
      </c>
      <c r="B76" s="29"/>
      <c r="C76" s="25">
        <v>46649.440000000002</v>
      </c>
      <c r="D76" s="25"/>
      <c r="E76" s="26">
        <f t="shared" si="10"/>
        <v>10830.456173499546</v>
      </c>
      <c r="F76" s="24">
        <f t="shared" si="11"/>
        <v>10830.5</v>
      </c>
      <c r="G76" s="27">
        <f t="shared" si="12"/>
        <v>-1.5342154998506885E-2</v>
      </c>
      <c r="H76" s="27"/>
      <c r="I76" s="27">
        <f>G76</f>
        <v>-1.5342154998506885E-2</v>
      </c>
      <c r="J76" s="27"/>
      <c r="K76" s="12"/>
      <c r="L76" s="27"/>
      <c r="M76" s="27"/>
      <c r="N76" s="27"/>
      <c r="O76" s="12"/>
      <c r="P76" s="106"/>
      <c r="Q76" s="27">
        <f t="shared" si="15"/>
        <v>7.1502346315847932E-3</v>
      </c>
      <c r="R76" s="28">
        <f t="shared" si="16"/>
        <v>31630.940000000002</v>
      </c>
      <c r="S76" s="96"/>
      <c r="T76" s="24">
        <f t="shared" si="17"/>
        <v>5.0590759127185569E-4</v>
      </c>
      <c r="U76" s="24">
        <v>0.1</v>
      </c>
      <c r="V76" s="24">
        <f t="shared" si="18"/>
        <v>5.0590759127185573E-5</v>
      </c>
      <c r="W76" s="27">
        <f t="shared" si="19"/>
        <v>-2.2492389630091678E-2</v>
      </c>
      <c r="X76" s="24" t="e">
        <v>#N/A</v>
      </c>
    </row>
    <row r="77" spans="1:26" s="24" customFormat="1" x14ac:dyDescent="0.2">
      <c r="A77" s="24" t="s">
        <v>74</v>
      </c>
      <c r="B77" s="29"/>
      <c r="C77" s="25">
        <v>46649.445</v>
      </c>
      <c r="D77" s="25"/>
      <c r="E77" s="26">
        <f t="shared" si="10"/>
        <v>10830.470456532288</v>
      </c>
      <c r="F77" s="24">
        <f t="shared" si="11"/>
        <v>10830.5</v>
      </c>
      <c r="G77" s="27">
        <f t="shared" si="12"/>
        <v>-1.034215500112623E-2</v>
      </c>
      <c r="H77" s="27"/>
      <c r="I77" s="27"/>
      <c r="J77" s="27"/>
      <c r="K77" s="27">
        <f>G77</f>
        <v>-1.034215500112623E-2</v>
      </c>
      <c r="L77" s="27"/>
      <c r="M77" s="27"/>
      <c r="N77" s="27"/>
      <c r="O77" s="12"/>
      <c r="P77" s="106"/>
      <c r="Q77" s="27">
        <f t="shared" si="15"/>
        <v>7.1502346315847932E-3</v>
      </c>
      <c r="R77" s="28">
        <f t="shared" si="16"/>
        <v>31630.945</v>
      </c>
      <c r="S77" s="96"/>
      <c r="T77" s="24">
        <f t="shared" si="17"/>
        <v>3.0598369506257609E-4</v>
      </c>
      <c r="U77" s="24">
        <v>1</v>
      </c>
      <c r="V77" s="24">
        <f t="shared" si="18"/>
        <v>3.0598369506257609E-4</v>
      </c>
      <c r="W77" s="27">
        <f t="shared" si="19"/>
        <v>-1.7492389632711023E-2</v>
      </c>
      <c r="X77" s="24" t="e">
        <v>#N/A</v>
      </c>
    </row>
    <row r="78" spans="1:26" s="24" customFormat="1" x14ac:dyDescent="0.2">
      <c r="A78" s="24" t="s">
        <v>75</v>
      </c>
      <c r="B78" s="29"/>
      <c r="C78" s="25">
        <v>46649.449000000001</v>
      </c>
      <c r="D78" s="25"/>
      <c r="E78" s="26">
        <f t="shared" si="10"/>
        <v>10830.481882958489</v>
      </c>
      <c r="F78" s="24">
        <f t="shared" si="11"/>
        <v>10830.5</v>
      </c>
      <c r="G78" s="27">
        <f t="shared" si="12"/>
        <v>-6.3421550003113225E-3</v>
      </c>
      <c r="H78" s="27"/>
      <c r="I78" s="27">
        <f>G78</f>
        <v>-6.3421550003113225E-3</v>
      </c>
      <c r="J78" s="27"/>
      <c r="L78" s="27"/>
      <c r="M78" s="27"/>
      <c r="N78" s="27"/>
      <c r="O78" s="27"/>
      <c r="P78" s="106"/>
      <c r="Q78" s="27">
        <f t="shared" si="15"/>
        <v>7.1502346315847932E-3</v>
      </c>
      <c r="R78" s="28">
        <f t="shared" si="16"/>
        <v>31630.949000000001</v>
      </c>
      <c r="S78" s="96"/>
      <c r="T78" s="24">
        <f t="shared" si="17"/>
        <v>1.8204457797889781E-4</v>
      </c>
      <c r="U78" s="24">
        <v>0.1</v>
      </c>
      <c r="V78" s="24">
        <f t="shared" si="18"/>
        <v>1.820445779788978E-5</v>
      </c>
      <c r="W78" s="27">
        <f t="shared" si="19"/>
        <v>-1.3492389631896116E-2</v>
      </c>
      <c r="X78" s="24" t="e">
        <v>#N/A</v>
      </c>
    </row>
    <row r="79" spans="1:26" s="24" customFormat="1" x14ac:dyDescent="0.2">
      <c r="A79" s="24" t="s">
        <v>76</v>
      </c>
      <c r="B79" s="29"/>
      <c r="C79" s="25">
        <v>46649.451000000001</v>
      </c>
      <c r="D79" s="25"/>
      <c r="E79" s="26">
        <f t="shared" si="10"/>
        <v>10830.48759617159</v>
      </c>
      <c r="F79" s="24">
        <f t="shared" si="11"/>
        <v>10830.5</v>
      </c>
      <c r="G79" s="27">
        <f t="shared" si="12"/>
        <v>-4.3421549999038689E-3</v>
      </c>
      <c r="H79" s="27"/>
      <c r="I79" s="27"/>
      <c r="J79" s="27"/>
      <c r="K79" s="27">
        <f>G79</f>
        <v>-4.3421549999038689E-3</v>
      </c>
      <c r="L79" s="27"/>
      <c r="M79" s="27"/>
      <c r="N79" s="27"/>
      <c r="O79" s="12"/>
      <c r="P79" s="106"/>
      <c r="Q79" s="27">
        <f t="shared" si="15"/>
        <v>7.1502346315847932E-3</v>
      </c>
      <c r="R79" s="28">
        <f t="shared" si="16"/>
        <v>31630.951000000001</v>
      </c>
      <c r="S79" s="96"/>
      <c r="T79" s="24">
        <f t="shared" si="17"/>
        <v>1.320750194419481E-4</v>
      </c>
      <c r="U79" s="24">
        <v>1</v>
      </c>
      <c r="V79" s="24">
        <f t="shared" si="18"/>
        <v>1.320750194419481E-4</v>
      </c>
      <c r="W79" s="27">
        <f t="shared" si="19"/>
        <v>-1.1492389631488662E-2</v>
      </c>
      <c r="X79" s="24" t="e">
        <v>#N/A</v>
      </c>
    </row>
    <row r="80" spans="1:26" s="24" customFormat="1" x14ac:dyDescent="0.2">
      <c r="A80" s="24" t="s">
        <v>77</v>
      </c>
      <c r="B80" s="29"/>
      <c r="C80" s="25">
        <v>46649.453999999998</v>
      </c>
      <c r="D80" s="25"/>
      <c r="E80" s="26">
        <f t="shared" si="10"/>
        <v>10830.49616599123</v>
      </c>
      <c r="F80" s="24">
        <f t="shared" si="11"/>
        <v>10830.5</v>
      </c>
      <c r="G80" s="27">
        <f t="shared" si="12"/>
        <v>-1.3421550029306673E-3</v>
      </c>
      <c r="H80" s="27"/>
      <c r="I80" s="27"/>
      <c r="J80" s="27"/>
      <c r="K80" s="27">
        <f>G80</f>
        <v>-1.3421550029306673E-3</v>
      </c>
      <c r="L80" s="27"/>
      <c r="M80" s="27"/>
      <c r="N80" s="27"/>
      <c r="O80" s="12"/>
      <c r="P80" s="106"/>
      <c r="Q80" s="27">
        <f t="shared" si="15"/>
        <v>7.1502346315847932E-3</v>
      </c>
      <c r="R80" s="28">
        <f t="shared" si="16"/>
        <v>31630.953999999998</v>
      </c>
      <c r="S80" s="96"/>
      <c r="T80" s="24">
        <f t="shared" si="17"/>
        <v>7.2120681704425637E-5</v>
      </c>
      <c r="U80" s="24">
        <v>1</v>
      </c>
      <c r="V80" s="24">
        <f t="shared" si="18"/>
        <v>7.2120681704425637E-5</v>
      </c>
      <c r="W80" s="27">
        <f t="shared" si="19"/>
        <v>-8.4923896345154605E-3</v>
      </c>
      <c r="X80" s="24" t="e">
        <v>#N/A</v>
      </c>
    </row>
    <row r="81" spans="1:24" s="24" customFormat="1" x14ac:dyDescent="0.2">
      <c r="A81" s="24" t="s">
        <v>78</v>
      </c>
      <c r="B81" s="29"/>
      <c r="C81" s="25">
        <v>46650.491999999998</v>
      </c>
      <c r="D81" s="25"/>
      <c r="E81" s="26">
        <f t="shared" si="10"/>
        <v>10833.461323589785</v>
      </c>
      <c r="F81" s="24">
        <f t="shared" si="11"/>
        <v>10833.5</v>
      </c>
      <c r="G81" s="27">
        <f t="shared" si="12"/>
        <v>-1.3539284998842049E-2</v>
      </c>
      <c r="H81" s="27"/>
      <c r="I81" s="27">
        <f>G81</f>
        <v>-1.3539284998842049E-2</v>
      </c>
      <c r="J81" s="27"/>
      <c r="K81" s="12"/>
      <c r="L81" s="27"/>
      <c r="M81" s="27"/>
      <c r="N81" s="27"/>
      <c r="O81" s="12"/>
      <c r="P81" s="106"/>
      <c r="Q81" s="27">
        <f t="shared" si="15"/>
        <v>7.1529965601545356E-3</v>
      </c>
      <c r="R81" s="28">
        <f t="shared" si="16"/>
        <v>31631.991999999998</v>
      </c>
      <c r="S81" s="96"/>
      <c r="T81" s="24">
        <f t="shared" si="17"/>
        <v>4.2817051611679016E-4</v>
      </c>
      <c r="U81" s="24">
        <v>0.1</v>
      </c>
      <c r="V81" s="24">
        <f t="shared" si="18"/>
        <v>4.2817051611679022E-5</v>
      </c>
      <c r="W81" s="27">
        <f t="shared" si="19"/>
        <v>-2.0692281558996585E-2</v>
      </c>
      <c r="X81" s="24" t="e">
        <v>#N/A</v>
      </c>
    </row>
    <row r="82" spans="1:24" s="24" customFormat="1" x14ac:dyDescent="0.2">
      <c r="A82" s="24" t="s">
        <v>77</v>
      </c>
      <c r="B82" s="29"/>
      <c r="C82" s="25">
        <v>46650.500999999997</v>
      </c>
      <c r="D82" s="25"/>
      <c r="E82" s="26">
        <f t="shared" si="10"/>
        <v>10833.487033048728</v>
      </c>
      <c r="F82" s="24">
        <f t="shared" si="11"/>
        <v>10833.5</v>
      </c>
      <c r="G82" s="27">
        <f t="shared" si="12"/>
        <v>-4.5392850006464869E-3</v>
      </c>
      <c r="H82" s="27"/>
      <c r="I82" s="27"/>
      <c r="J82" s="27"/>
      <c r="K82" s="27">
        <f>G82</f>
        <v>-4.5392850006464869E-3</v>
      </c>
      <c r="L82" s="27"/>
      <c r="M82" s="27"/>
      <c r="N82" s="27"/>
      <c r="O82" s="12"/>
      <c r="P82" s="106"/>
      <c r="Q82" s="27">
        <f t="shared" si="15"/>
        <v>7.1529965601545356E-3</v>
      </c>
      <c r="R82" s="28">
        <f t="shared" si="16"/>
        <v>31632.000999999997</v>
      </c>
      <c r="S82" s="96"/>
      <c r="T82" s="24">
        <f t="shared" si="17"/>
        <v>1.3670944809704761E-4</v>
      </c>
      <c r="U82" s="24">
        <v>1</v>
      </c>
      <c r="V82" s="24">
        <f t="shared" si="18"/>
        <v>1.3670944809704761E-4</v>
      </c>
      <c r="W82" s="27">
        <f t="shared" si="19"/>
        <v>-1.1692281560801022E-2</v>
      </c>
      <c r="X82" s="24" t="e">
        <v>#N/A</v>
      </c>
    </row>
    <row r="83" spans="1:24" s="24" customFormat="1" x14ac:dyDescent="0.2">
      <c r="A83" s="24" t="s">
        <v>76</v>
      </c>
      <c r="B83" s="29"/>
      <c r="C83" s="25">
        <v>46650.502</v>
      </c>
      <c r="D83" s="25"/>
      <c r="E83" s="26">
        <f t="shared" si="10"/>
        <v>10833.489889655288</v>
      </c>
      <c r="F83" s="24">
        <f t="shared" si="11"/>
        <v>10833.5</v>
      </c>
      <c r="G83" s="27">
        <f t="shared" si="12"/>
        <v>-3.5392849968047813E-3</v>
      </c>
      <c r="H83" s="27"/>
      <c r="I83" s="27"/>
      <c r="J83" s="27"/>
      <c r="K83" s="27">
        <f>G83</f>
        <v>-3.5392849968047813E-3</v>
      </c>
      <c r="L83" s="27"/>
      <c r="M83" s="27"/>
      <c r="N83" s="27"/>
      <c r="O83" s="12"/>
      <c r="P83" s="106"/>
      <c r="Q83" s="27">
        <f t="shared" si="15"/>
        <v>7.1529965601545356E-3</v>
      </c>
      <c r="R83" s="28">
        <f t="shared" si="16"/>
        <v>31632.002</v>
      </c>
      <c r="S83" s="96"/>
      <c r="T83" s="24">
        <f t="shared" si="17"/>
        <v>1.1432488489329235E-4</v>
      </c>
      <c r="U83" s="24">
        <v>1</v>
      </c>
      <c r="V83" s="24">
        <f t="shared" si="18"/>
        <v>1.1432488489329235E-4</v>
      </c>
      <c r="W83" s="27">
        <f t="shared" si="19"/>
        <v>-1.0692281556959317E-2</v>
      </c>
      <c r="X83" s="24" t="e">
        <v>#N/A</v>
      </c>
    </row>
    <row r="84" spans="1:24" s="24" customFormat="1" x14ac:dyDescent="0.2">
      <c r="A84" s="24" t="s">
        <v>74</v>
      </c>
      <c r="B84" s="29"/>
      <c r="C84" s="25">
        <v>46650.502999999997</v>
      </c>
      <c r="D84" s="25"/>
      <c r="E84" s="26">
        <f t="shared" si="10"/>
        <v>10833.492746261829</v>
      </c>
      <c r="F84" s="24">
        <f t="shared" si="11"/>
        <v>10833.5</v>
      </c>
      <c r="G84" s="27">
        <f t="shared" si="12"/>
        <v>-2.5392850002390333E-3</v>
      </c>
      <c r="H84" s="27"/>
      <c r="I84" s="27"/>
      <c r="J84" s="27"/>
      <c r="K84" s="27">
        <f>G84</f>
        <v>-2.5392850002390333E-3</v>
      </c>
      <c r="L84" s="27"/>
      <c r="M84" s="27"/>
      <c r="N84" s="27"/>
      <c r="O84" s="12"/>
      <c r="P84" s="106"/>
      <c r="Q84" s="27">
        <f t="shared" si="15"/>
        <v>7.1529965601545356E-3</v>
      </c>
      <c r="R84" s="28">
        <f t="shared" si="16"/>
        <v>31632.002999999997</v>
      </c>
      <c r="S84" s="96"/>
      <c r="T84" s="24">
        <f t="shared" si="17"/>
        <v>9.3940321845945198E-5</v>
      </c>
      <c r="U84" s="24">
        <v>1</v>
      </c>
      <c r="V84" s="24">
        <f t="shared" si="18"/>
        <v>9.3940321845945198E-5</v>
      </c>
      <c r="W84" s="27">
        <f t="shared" si="19"/>
        <v>-9.6922815603935689E-3</v>
      </c>
      <c r="X84" s="24" t="e">
        <v>#N/A</v>
      </c>
    </row>
    <row r="85" spans="1:24" s="24" customFormat="1" x14ac:dyDescent="0.2">
      <c r="A85" s="24" t="s">
        <v>79</v>
      </c>
      <c r="B85" s="29"/>
      <c r="C85" s="25">
        <v>47240.364999999998</v>
      </c>
      <c r="D85" s="25"/>
      <c r="E85" s="26">
        <f t="shared" ref="E85:E116" si="21">+(C85-C$7)/C$8</f>
        <v>12518.496398861796</v>
      </c>
      <c r="F85" s="24">
        <f t="shared" ref="F85:F116" si="22">ROUND(2*E85,0)/2</f>
        <v>12518.5</v>
      </c>
      <c r="G85" s="27">
        <f t="shared" ref="G85:G116" si="23">+C85-(C$7+F85*C$8)</f>
        <v>-1.2606349991983734E-3</v>
      </c>
      <c r="H85" s="27"/>
      <c r="I85" s="27">
        <f>G85</f>
        <v>-1.2606349991983734E-3</v>
      </c>
      <c r="J85" s="27"/>
      <c r="L85" s="27"/>
      <c r="M85" s="27"/>
      <c r="N85" s="27"/>
      <c r="O85" s="27"/>
      <c r="P85" s="106"/>
      <c r="Q85" s="27">
        <f t="shared" ref="Q85:Q116" si="24">+D$11+D$12*F85+D$13*F85^2</f>
        <v>8.7726616249843448E-3</v>
      </c>
      <c r="R85" s="28">
        <f t="shared" ref="R85:R116" si="25">+C85-15018.5</f>
        <v>32221.864999999998</v>
      </c>
      <c r="S85" s="96"/>
      <c r="T85" s="24">
        <f t="shared" ref="T85:T116" si="26">+(Q85-G85)^2</f>
        <v>1.0066704114883634E-4</v>
      </c>
      <c r="U85" s="24">
        <v>0.1</v>
      </c>
      <c r="V85" s="24">
        <f t="shared" ref="V85:V116" si="27">+U85*T85</f>
        <v>1.0066704114883635E-5</v>
      </c>
      <c r="W85" s="27">
        <f t="shared" ref="W85:W117" si="28">+G85-Q85</f>
        <v>-1.0033296624182718E-2</v>
      </c>
      <c r="X85" s="24" t="e">
        <v>#N/A</v>
      </c>
    </row>
    <row r="86" spans="1:24" s="24" customFormat="1" x14ac:dyDescent="0.2">
      <c r="A86" s="24" t="s">
        <v>80</v>
      </c>
      <c r="B86" s="29"/>
      <c r="C86" s="25">
        <v>47349.425000000003</v>
      </c>
      <c r="D86" s="25"/>
      <c r="E86" s="26">
        <f t="shared" si="21"/>
        <v>12830.037909168546</v>
      </c>
      <c r="F86" s="24">
        <f t="shared" si="22"/>
        <v>12830</v>
      </c>
      <c r="G86" s="27">
        <f t="shared" si="23"/>
        <v>1.327070000115782E-2</v>
      </c>
      <c r="H86" s="27"/>
      <c r="I86" s="27">
        <f>G86</f>
        <v>1.327070000115782E-2</v>
      </c>
      <c r="J86" s="27"/>
      <c r="L86" s="27"/>
      <c r="M86" s="27"/>
      <c r="N86" s="27"/>
      <c r="O86" s="27"/>
      <c r="P86" s="106"/>
      <c r="Q86" s="27">
        <f t="shared" si="24"/>
        <v>9.0870352686600146E-3</v>
      </c>
      <c r="R86" s="28">
        <f t="shared" si="25"/>
        <v>32330.925000000003</v>
      </c>
      <c r="S86" s="96"/>
      <c r="T86" s="24">
        <f t="shared" si="26"/>
        <v>1.7503050593945935E-5</v>
      </c>
      <c r="U86" s="24">
        <v>0.1</v>
      </c>
      <c r="V86" s="24">
        <f t="shared" si="27"/>
        <v>1.7503050593945935E-6</v>
      </c>
      <c r="W86" s="27">
        <f t="shared" si="28"/>
        <v>4.1836647324978056E-3</v>
      </c>
      <c r="X86" s="24" t="e">
        <v>#N/A</v>
      </c>
    </row>
    <row r="87" spans="1:24" s="24" customFormat="1" x14ac:dyDescent="0.2">
      <c r="A87" s="24" t="s">
        <v>81</v>
      </c>
      <c r="B87" s="29"/>
      <c r="C87" s="25">
        <v>47349.436000000002</v>
      </c>
      <c r="D87" s="25"/>
      <c r="E87" s="26">
        <f t="shared" si="21"/>
        <v>12830.069331840588</v>
      </c>
      <c r="F87" s="24">
        <f t="shared" si="22"/>
        <v>12830</v>
      </c>
      <c r="G87" s="27">
        <f t="shared" si="23"/>
        <v>2.4270699999760836E-2</v>
      </c>
      <c r="H87" s="27"/>
      <c r="I87" s="27"/>
      <c r="J87" s="27"/>
      <c r="K87" s="27">
        <f>G87</f>
        <v>2.4270699999760836E-2</v>
      </c>
      <c r="L87" s="27"/>
      <c r="M87" s="27"/>
      <c r="N87" s="27"/>
      <c r="O87" s="12"/>
      <c r="P87" s="106"/>
      <c r="Q87" s="27">
        <f t="shared" si="24"/>
        <v>9.0870352686600146E-3</v>
      </c>
      <c r="R87" s="28">
        <f t="shared" si="25"/>
        <v>32330.936000000002</v>
      </c>
      <c r="S87" s="96"/>
      <c r="T87" s="24">
        <f t="shared" si="26"/>
        <v>2.3054367466647499E-4</v>
      </c>
      <c r="U87" s="24">
        <v>1</v>
      </c>
      <c r="V87" s="24">
        <f t="shared" si="27"/>
        <v>2.3054367466647499E-4</v>
      </c>
      <c r="W87" s="27">
        <f t="shared" si="28"/>
        <v>1.5183664731100822E-2</v>
      </c>
      <c r="X87" s="24" t="e">
        <v>#N/A</v>
      </c>
    </row>
    <row r="88" spans="1:24" s="24" customFormat="1" x14ac:dyDescent="0.2">
      <c r="A88" s="24" t="s">
        <v>52</v>
      </c>
      <c r="B88" s="29"/>
      <c r="C88" s="25">
        <v>47398.423999999999</v>
      </c>
      <c r="D88" s="25"/>
      <c r="E88" s="26">
        <f t="shared" si="21"/>
        <v>12970.008773495692</v>
      </c>
      <c r="F88" s="24">
        <f t="shared" si="22"/>
        <v>12970</v>
      </c>
      <c r="G88" s="27">
        <f t="shared" si="23"/>
        <v>3.0713000014657155E-3</v>
      </c>
      <c r="H88" s="27"/>
      <c r="I88" s="27"/>
      <c r="K88" s="27">
        <f>+G88</f>
        <v>3.0713000014657155E-3</v>
      </c>
      <c r="L88" s="27"/>
      <c r="M88" s="27"/>
      <c r="N88" s="27"/>
      <c r="O88" s="12"/>
      <c r="P88" s="106"/>
      <c r="Q88" s="27">
        <f t="shared" si="24"/>
        <v>9.2298464814322134E-3</v>
      </c>
      <c r="R88" s="28">
        <f t="shared" si="25"/>
        <v>32379.923999999999</v>
      </c>
      <c r="S88" s="96"/>
      <c r="T88" s="24">
        <f t="shared" si="26"/>
        <v>3.792769474590774E-5</v>
      </c>
      <c r="U88" s="24">
        <v>1</v>
      </c>
      <c r="V88" s="24">
        <f t="shared" si="27"/>
        <v>3.792769474590774E-5</v>
      </c>
      <c r="W88" s="27">
        <f t="shared" si="28"/>
        <v>-6.158546479966498E-3</v>
      </c>
      <c r="X88" s="24" t="e">
        <v>#N/A</v>
      </c>
    </row>
    <row r="89" spans="1:24" s="24" customFormat="1" x14ac:dyDescent="0.2">
      <c r="A89" s="101" t="s">
        <v>283</v>
      </c>
      <c r="B89" s="102" t="s">
        <v>53</v>
      </c>
      <c r="C89" s="101">
        <v>47398.424700000003</v>
      </c>
      <c r="D89" s="101" t="s">
        <v>190</v>
      </c>
      <c r="E89" s="98">
        <f t="shared" si="21"/>
        <v>12970.01077312029</v>
      </c>
      <c r="F89" s="24">
        <f t="shared" si="22"/>
        <v>12970</v>
      </c>
      <c r="G89" s="27">
        <f t="shared" si="23"/>
        <v>3.7713000056101009E-3</v>
      </c>
      <c r="H89" s="27"/>
      <c r="I89" s="27"/>
      <c r="J89" s="27">
        <f>+G89</f>
        <v>3.7713000056101009E-3</v>
      </c>
      <c r="K89" s="27"/>
      <c r="L89" s="31">
        <f>G89</f>
        <v>3.7713000056101009E-3</v>
      </c>
      <c r="N89" s="12"/>
      <c r="O89" s="12"/>
      <c r="P89" s="106">
        <f ca="1">+C$11+C$12*$F89</f>
        <v>1.2006348671328541E-3</v>
      </c>
      <c r="Q89" s="27">
        <f t="shared" si="24"/>
        <v>9.2298464814322134E-3</v>
      </c>
      <c r="R89" s="28">
        <f t="shared" si="25"/>
        <v>32379.924700000003</v>
      </c>
      <c r="S89" s="96"/>
      <c r="T89" s="24">
        <f t="shared" si="26"/>
        <v>2.9795729628710005E-5</v>
      </c>
      <c r="U89">
        <v>1</v>
      </c>
      <c r="V89" s="24">
        <f t="shared" si="27"/>
        <v>2.9795729628710005E-5</v>
      </c>
      <c r="W89" s="27">
        <f t="shared" si="28"/>
        <v>-5.4585464758221125E-3</v>
      </c>
      <c r="X89" s="24" t="s">
        <v>190</v>
      </c>
    </row>
    <row r="90" spans="1:24" s="24" customFormat="1" x14ac:dyDescent="0.2">
      <c r="A90" s="24" t="s">
        <v>52</v>
      </c>
      <c r="B90" s="29"/>
      <c r="C90" s="25">
        <v>47398.4254</v>
      </c>
      <c r="D90" s="25"/>
      <c r="E90" s="26">
        <f t="shared" si="21"/>
        <v>12970.012772744865</v>
      </c>
      <c r="F90" s="24">
        <f t="shared" si="22"/>
        <v>12970</v>
      </c>
      <c r="G90" s="27">
        <f t="shared" si="23"/>
        <v>4.4713000024785288E-3</v>
      </c>
      <c r="H90" s="27"/>
      <c r="I90" s="27"/>
      <c r="K90" s="27">
        <f>+G90</f>
        <v>4.4713000024785288E-3</v>
      </c>
      <c r="L90" s="27"/>
      <c r="M90" s="27"/>
      <c r="N90" s="27"/>
      <c r="O90" s="12"/>
      <c r="P90" s="106"/>
      <c r="Q90" s="27">
        <f t="shared" si="24"/>
        <v>9.2298464814322134E-3</v>
      </c>
      <c r="R90" s="28">
        <f t="shared" si="25"/>
        <v>32379.9254</v>
      </c>
      <c r="S90" s="96"/>
      <c r="T90" s="24">
        <f t="shared" si="26"/>
        <v>2.264376459236251E-5</v>
      </c>
      <c r="U90" s="24">
        <v>1</v>
      </c>
      <c r="V90" s="24">
        <f t="shared" si="27"/>
        <v>2.264376459236251E-5</v>
      </c>
      <c r="W90" s="27">
        <f t="shared" si="28"/>
        <v>-4.7585464789536847E-3</v>
      </c>
      <c r="X90" s="24" t="e">
        <v>#N/A</v>
      </c>
    </row>
    <row r="91" spans="1:24" s="24" customFormat="1" x14ac:dyDescent="0.2">
      <c r="A91" s="24" t="s">
        <v>55</v>
      </c>
      <c r="B91" s="29" t="s">
        <v>48</v>
      </c>
      <c r="C91" s="25">
        <v>47668.506300000008</v>
      </c>
      <c r="D91" s="25"/>
      <c r="E91" s="26">
        <f t="shared" si="21"/>
        <v>13741.527640624978</v>
      </c>
      <c r="F91" s="24">
        <f t="shared" si="22"/>
        <v>13741.5</v>
      </c>
      <c r="G91" s="27">
        <f t="shared" si="23"/>
        <v>9.6760350061231293E-3</v>
      </c>
      <c r="H91" s="27"/>
      <c r="I91" s="27"/>
      <c r="K91" s="27">
        <f>+G91</f>
        <v>9.6760350061231293E-3</v>
      </c>
      <c r="L91" s="27"/>
      <c r="M91" s="27"/>
      <c r="N91" s="27"/>
      <c r="O91" s="12"/>
      <c r="P91" s="106"/>
      <c r="Q91" s="27">
        <f t="shared" si="24"/>
        <v>1.0033745059989234E-2</v>
      </c>
      <c r="R91" s="28">
        <f t="shared" si="25"/>
        <v>32650.006300000008</v>
      </c>
      <c r="S91" s="96"/>
      <c r="T91" s="24">
        <f t="shared" si="26"/>
        <v>1.2795648263689171E-7</v>
      </c>
      <c r="U91" s="24">
        <v>1</v>
      </c>
      <c r="V91" s="24">
        <f t="shared" si="27"/>
        <v>1.2795648263689171E-7</v>
      </c>
      <c r="W91" s="27">
        <f t="shared" si="28"/>
        <v>-3.5771005386610495E-4</v>
      </c>
      <c r="X91" s="24" t="e">
        <v>#N/A</v>
      </c>
    </row>
    <row r="92" spans="1:24" s="24" customFormat="1" x14ac:dyDescent="0.2">
      <c r="A92" s="101" t="s">
        <v>284</v>
      </c>
      <c r="B92" s="102" t="s">
        <v>48</v>
      </c>
      <c r="C92" s="101">
        <v>47668.506600000001</v>
      </c>
      <c r="D92" s="101" t="s">
        <v>190</v>
      </c>
      <c r="E92" s="98">
        <f t="shared" si="21"/>
        <v>13741.528497606922</v>
      </c>
      <c r="F92" s="24">
        <f t="shared" si="22"/>
        <v>13741.5</v>
      </c>
      <c r="G92" s="27">
        <f t="shared" si="23"/>
        <v>9.9760349985444918E-3</v>
      </c>
      <c r="H92" s="27"/>
      <c r="I92" s="27"/>
      <c r="J92" s="27">
        <f>+G92</f>
        <v>9.9760349985444918E-3</v>
      </c>
      <c r="K92" s="27"/>
      <c r="L92" s="31">
        <f>G92</f>
        <v>9.9760349985444918E-3</v>
      </c>
      <c r="N92" s="12"/>
      <c r="O92" s="12"/>
      <c r="P92" s="106">
        <f ca="1">+C$11+C$12*$F92</f>
        <v>2.7047267214451651E-3</v>
      </c>
      <c r="Q92" s="27">
        <f t="shared" si="24"/>
        <v>1.0033745059989234E-2</v>
      </c>
      <c r="R92" s="28">
        <f t="shared" si="25"/>
        <v>32650.006600000001</v>
      </c>
      <c r="S92" s="96"/>
      <c r="T92" s="24">
        <f t="shared" si="26"/>
        <v>3.3304511919559438E-9</v>
      </c>
      <c r="U92" s="24">
        <v>1</v>
      </c>
      <c r="V92" s="24">
        <f t="shared" si="27"/>
        <v>3.3304511919559438E-9</v>
      </c>
      <c r="W92" s="27">
        <f t="shared" si="28"/>
        <v>-5.7710061444742403E-5</v>
      </c>
      <c r="X92" s="24" t="s">
        <v>190</v>
      </c>
    </row>
    <row r="93" spans="1:24" s="24" customFormat="1" x14ac:dyDescent="0.2">
      <c r="A93" s="101" t="s">
        <v>284</v>
      </c>
      <c r="B93" s="102" t="s">
        <v>48</v>
      </c>
      <c r="C93" s="101">
        <v>47672.356099999997</v>
      </c>
      <c r="D93" s="101" t="s">
        <v>190</v>
      </c>
      <c r="E93" s="98">
        <f t="shared" si="21"/>
        <v>13752.525004519857</v>
      </c>
      <c r="F93" s="24">
        <f t="shared" si="22"/>
        <v>13752.5</v>
      </c>
      <c r="G93" s="27">
        <f t="shared" si="23"/>
        <v>8.7532249963260256E-3</v>
      </c>
      <c r="H93" s="27"/>
      <c r="I93" s="27"/>
      <c r="J93" s="27">
        <f>+G93</f>
        <v>8.7532249963260256E-3</v>
      </c>
      <c r="K93" s="27"/>
      <c r="L93" s="31">
        <f>G93</f>
        <v>8.7532249963260256E-3</v>
      </c>
      <c r="N93" s="12"/>
      <c r="O93" s="12"/>
      <c r="P93" s="106">
        <f ca="1">+C$11+C$12*$F93</f>
        <v>2.7261719714742477E-3</v>
      </c>
      <c r="Q93" s="27">
        <f t="shared" si="24"/>
        <v>1.0045413937470146E-2</v>
      </c>
      <c r="R93" s="28">
        <f t="shared" si="25"/>
        <v>32653.856099999997</v>
      </c>
      <c r="S93" s="96"/>
      <c r="T93" s="24">
        <f t="shared" si="26"/>
        <v>1.6697522596151636E-6</v>
      </c>
      <c r="U93" s="24">
        <v>1</v>
      </c>
      <c r="V93" s="24">
        <f t="shared" si="27"/>
        <v>1.6697522596151636E-6</v>
      </c>
      <c r="W93" s="27">
        <f t="shared" si="28"/>
        <v>-1.2921889411441206E-3</v>
      </c>
      <c r="X93" s="24" t="s">
        <v>190</v>
      </c>
    </row>
    <row r="94" spans="1:24" s="24" customFormat="1" x14ac:dyDescent="0.2">
      <c r="A94" s="24" t="s">
        <v>55</v>
      </c>
      <c r="B94" s="29" t="s">
        <v>48</v>
      </c>
      <c r="C94" s="25">
        <v>47672.3572999998</v>
      </c>
      <c r="D94" s="25"/>
      <c r="E94" s="26">
        <f t="shared" si="21"/>
        <v>13752.528432447152</v>
      </c>
      <c r="F94" s="24">
        <f t="shared" si="22"/>
        <v>13752.5</v>
      </c>
      <c r="G94" s="27">
        <f t="shared" si="23"/>
        <v>9.9532247986644506E-3</v>
      </c>
      <c r="H94" s="27"/>
      <c r="I94" s="27"/>
      <c r="K94" s="27">
        <f>+G94</f>
        <v>9.9532247986644506E-3</v>
      </c>
      <c r="L94" s="27"/>
      <c r="M94" s="27"/>
      <c r="N94" s="27"/>
      <c r="O94" s="12"/>
      <c r="P94" s="106"/>
      <c r="Q94" s="27">
        <f t="shared" si="24"/>
        <v>1.0045413937470146E-2</v>
      </c>
      <c r="R94" s="28">
        <f t="shared" si="25"/>
        <v>32653.8572999998</v>
      </c>
      <c r="S94" s="96"/>
      <c r="T94" s="24">
        <f t="shared" si="26"/>
        <v>8.4988373137358055E-9</v>
      </c>
      <c r="U94" s="24">
        <v>1</v>
      </c>
      <c r="V94" s="24">
        <f t="shared" si="27"/>
        <v>8.4988373137358055E-9</v>
      </c>
      <c r="W94" s="27">
        <f t="shared" si="28"/>
        <v>-9.218913880569557E-5</v>
      </c>
      <c r="X94" s="24" t="e">
        <v>#N/A</v>
      </c>
    </row>
    <row r="95" spans="1:24" s="24" customFormat="1" x14ac:dyDescent="0.2">
      <c r="A95" s="24" t="s">
        <v>55</v>
      </c>
      <c r="B95" s="29" t="s">
        <v>53</v>
      </c>
      <c r="C95" s="25">
        <v>47672.531599999871</v>
      </c>
      <c r="D95" s="25"/>
      <c r="E95" s="26">
        <f t="shared" si="21"/>
        <v>13753.026338968964</v>
      </c>
      <c r="F95" s="24">
        <f t="shared" si="22"/>
        <v>13753</v>
      </c>
      <c r="G95" s="27">
        <f t="shared" si="23"/>
        <v>9.2203698732191697E-3</v>
      </c>
      <c r="H95" s="27"/>
      <c r="I95" s="27"/>
      <c r="K95" s="27">
        <f>+G95</f>
        <v>9.2203698732191697E-3</v>
      </c>
      <c r="L95" s="27"/>
      <c r="M95" s="27"/>
      <c r="N95" s="27"/>
      <c r="O95" s="12"/>
      <c r="P95" s="106"/>
      <c r="Q95" s="27">
        <f t="shared" si="24"/>
        <v>1.0045944479232842E-2</v>
      </c>
      <c r="R95" s="28">
        <f t="shared" si="25"/>
        <v>32654.031599999871</v>
      </c>
      <c r="S95" s="96"/>
      <c r="T95" s="24">
        <f t="shared" si="26"/>
        <v>6.8157343009463034E-7</v>
      </c>
      <c r="U95" s="24">
        <v>1</v>
      </c>
      <c r="V95" s="24">
        <f t="shared" si="27"/>
        <v>6.8157343009463034E-7</v>
      </c>
      <c r="W95" s="27">
        <f t="shared" si="28"/>
        <v>-8.2557460601367233E-4</v>
      </c>
      <c r="X95" s="24" t="e">
        <v>#N/A</v>
      </c>
    </row>
    <row r="96" spans="1:24" s="24" customFormat="1" x14ac:dyDescent="0.2">
      <c r="A96" s="101" t="s">
        <v>284</v>
      </c>
      <c r="B96" s="102" t="s">
        <v>53</v>
      </c>
      <c r="C96" s="101">
        <v>47672.532700000003</v>
      </c>
      <c r="D96" s="101" t="s">
        <v>190</v>
      </c>
      <c r="E96" s="98">
        <f t="shared" si="21"/>
        <v>13753.029481236546</v>
      </c>
      <c r="F96" s="24">
        <f t="shared" si="22"/>
        <v>13753</v>
      </c>
      <c r="G96" s="27">
        <f t="shared" si="23"/>
        <v>1.03203700055019E-2</v>
      </c>
      <c r="H96" s="27"/>
      <c r="I96" s="27"/>
      <c r="J96" s="27">
        <f>+G96</f>
        <v>1.03203700055019E-2</v>
      </c>
      <c r="K96" s="27"/>
      <c r="L96" s="31">
        <f>G96</f>
        <v>1.03203700055019E-2</v>
      </c>
      <c r="N96" s="12"/>
      <c r="O96" s="12"/>
      <c r="P96" s="106">
        <f ca="1">+C$11+C$12*$F96</f>
        <v>2.7271467555664772E-3</v>
      </c>
      <c r="Q96" s="27">
        <f t="shared" si="24"/>
        <v>1.0045944479232842E-2</v>
      </c>
      <c r="R96" s="28">
        <f t="shared" si="25"/>
        <v>32654.032700000003</v>
      </c>
      <c r="S96" s="96"/>
      <c r="T96" s="24">
        <f t="shared" si="26"/>
        <v>7.5309369468049368E-8</v>
      </c>
      <c r="U96" s="24">
        <v>1</v>
      </c>
      <c r="V96" s="24">
        <f t="shared" si="27"/>
        <v>7.5309369468049368E-8</v>
      </c>
      <c r="W96" s="27">
        <f t="shared" si="28"/>
        <v>2.7442552626905786E-4</v>
      </c>
      <c r="X96" s="24" t="s">
        <v>190</v>
      </c>
    </row>
    <row r="97" spans="1:24" s="24" customFormat="1" x14ac:dyDescent="0.2">
      <c r="A97" s="101" t="s">
        <v>284</v>
      </c>
      <c r="B97" s="102" t="s">
        <v>53</v>
      </c>
      <c r="C97" s="101">
        <v>47676.3799</v>
      </c>
      <c r="D97" s="101" t="s">
        <v>190</v>
      </c>
      <c r="E97" s="98">
        <f t="shared" si="21"/>
        <v>13764.019417954416</v>
      </c>
      <c r="F97" s="24">
        <f t="shared" si="22"/>
        <v>13764</v>
      </c>
      <c r="G97" s="27">
        <f t="shared" si="23"/>
        <v>6.7975599959027022E-3</v>
      </c>
      <c r="H97" s="27"/>
      <c r="I97" s="27"/>
      <c r="J97" s="27">
        <f>+G97</f>
        <v>6.7975599959027022E-3</v>
      </c>
      <c r="K97" s="27"/>
      <c r="L97" s="31">
        <f>G97</f>
        <v>6.7975599959027022E-3</v>
      </c>
      <c r="N97" s="12"/>
      <c r="O97" s="12"/>
      <c r="P97" s="106">
        <f ca="1">+C$11+C$12*$F97</f>
        <v>2.7485920055955564E-3</v>
      </c>
      <c r="Q97" s="27">
        <f t="shared" si="24"/>
        <v>1.0057619439310555E-2</v>
      </c>
      <c r="R97" s="28">
        <f t="shared" si="25"/>
        <v>32657.8799</v>
      </c>
      <c r="S97" s="96"/>
      <c r="T97" s="24">
        <f t="shared" si="26"/>
        <v>1.0627987574552721E-5</v>
      </c>
      <c r="U97" s="24">
        <v>1</v>
      </c>
      <c r="V97" s="24">
        <f t="shared" si="27"/>
        <v>1.0627987574552721E-5</v>
      </c>
      <c r="W97" s="27">
        <f t="shared" si="28"/>
        <v>-3.260059443407853E-3</v>
      </c>
      <c r="X97" s="24" t="s">
        <v>190</v>
      </c>
    </row>
    <row r="98" spans="1:24" s="24" customFormat="1" x14ac:dyDescent="0.2">
      <c r="A98" s="24" t="s">
        <v>55</v>
      </c>
      <c r="B98" s="29" t="s">
        <v>53</v>
      </c>
      <c r="C98" s="25">
        <v>47676.379900000058</v>
      </c>
      <c r="D98" s="25"/>
      <c r="E98" s="26">
        <f t="shared" si="21"/>
        <v>13764.019417954583</v>
      </c>
      <c r="F98" s="24">
        <f t="shared" si="22"/>
        <v>13764</v>
      </c>
      <c r="G98" s="27">
        <f t="shared" si="23"/>
        <v>6.7975600541103631E-3</v>
      </c>
      <c r="H98" s="27"/>
      <c r="I98" s="27"/>
      <c r="K98" s="27">
        <f>+G98</f>
        <v>6.7975600541103631E-3</v>
      </c>
      <c r="L98" s="27"/>
      <c r="M98" s="27"/>
      <c r="N98" s="27"/>
      <c r="O98" s="12"/>
      <c r="P98" s="106"/>
      <c r="Q98" s="27">
        <f t="shared" si="24"/>
        <v>1.0057619439310555E-2</v>
      </c>
      <c r="R98" s="28">
        <f t="shared" si="25"/>
        <v>32657.879900000058</v>
      </c>
      <c r="S98" s="96"/>
      <c r="T98" s="24">
        <f t="shared" si="26"/>
        <v>1.0627987195031855E-5</v>
      </c>
      <c r="U98" s="24">
        <v>1</v>
      </c>
      <c r="V98" s="24">
        <f t="shared" si="27"/>
        <v>1.0627987195031855E-5</v>
      </c>
      <c r="W98" s="27">
        <f t="shared" si="28"/>
        <v>-3.2600593852001921E-3</v>
      </c>
      <c r="X98" s="24" t="e">
        <v>#N/A</v>
      </c>
    </row>
    <row r="99" spans="1:24" s="24" customFormat="1" x14ac:dyDescent="0.2">
      <c r="A99" s="24" t="s">
        <v>59</v>
      </c>
      <c r="B99" s="29" t="s">
        <v>53</v>
      </c>
      <c r="C99" s="25">
        <v>47868.916799999999</v>
      </c>
      <c r="D99" s="25"/>
      <c r="E99" s="26">
        <f t="shared" si="21"/>
        <v>14314.021587547089</v>
      </c>
      <c r="F99" s="24">
        <f t="shared" si="22"/>
        <v>14314</v>
      </c>
      <c r="G99" s="27">
        <f t="shared" si="23"/>
        <v>7.5570600020000711E-3</v>
      </c>
      <c r="H99" s="27">
        <f>+G99</f>
        <v>7.5570600020000711E-3</v>
      </c>
      <c r="I99" s="27"/>
      <c r="K99" s="27"/>
      <c r="L99" s="27"/>
      <c r="N99" s="27"/>
      <c r="O99" s="12"/>
      <c r="P99" s="106"/>
      <c r="Q99" s="27">
        <f t="shared" si="24"/>
        <v>1.0648785566685342E-2</v>
      </c>
      <c r="R99" s="28">
        <f t="shared" si="25"/>
        <v>32850.416799999999</v>
      </c>
      <c r="S99" s="96"/>
      <c r="T99" s="24">
        <f t="shared" si="26"/>
        <v>9.5587669673284573E-6</v>
      </c>
      <c r="U99" s="24">
        <v>0.1</v>
      </c>
      <c r="V99" s="24">
        <f t="shared" si="27"/>
        <v>9.5587669673284569E-7</v>
      </c>
      <c r="W99" s="27">
        <f t="shared" si="28"/>
        <v>-3.0917255646852708E-3</v>
      </c>
      <c r="X99" s="24" t="e">
        <v>#N/A</v>
      </c>
    </row>
    <row r="100" spans="1:24" s="24" customFormat="1" x14ac:dyDescent="0.2">
      <c r="A100" s="101" t="s">
        <v>285</v>
      </c>
      <c r="B100" s="102" t="s">
        <v>48</v>
      </c>
      <c r="C100" s="101">
        <v>48028.374400000001</v>
      </c>
      <c r="D100" s="101" t="s">
        <v>190</v>
      </c>
      <c r="E100" s="98">
        <f t="shared" si="21"/>
        <v>14769.529212101352</v>
      </c>
      <c r="F100" s="24">
        <f t="shared" si="22"/>
        <v>14769.5</v>
      </c>
      <c r="G100" s="27">
        <f t="shared" si="23"/>
        <v>1.022615499823587E-2</v>
      </c>
      <c r="H100" s="27"/>
      <c r="I100" s="27"/>
      <c r="J100" s="27">
        <f>+G100</f>
        <v>1.022615499823587E-2</v>
      </c>
      <c r="K100" s="27"/>
      <c r="L100" s="31">
        <f>G100</f>
        <v>1.022615499823587E-2</v>
      </c>
      <c r="N100" s="12"/>
      <c r="O100" s="12"/>
      <c r="P100" s="106">
        <f ca="1">+C$11+C$12*$F100</f>
        <v>4.708882815071945E-3</v>
      </c>
      <c r="Q100" s="27">
        <f t="shared" si="24"/>
        <v>1.1149389914262557E-2</v>
      </c>
      <c r="R100" s="28">
        <f t="shared" si="25"/>
        <v>33009.874400000001</v>
      </c>
      <c r="S100" s="96"/>
      <c r="T100" s="24">
        <f t="shared" si="26"/>
        <v>8.523627101708038E-7</v>
      </c>
      <c r="U100" s="24">
        <v>1</v>
      </c>
      <c r="V100" s="24">
        <f t="shared" si="27"/>
        <v>8.523627101708038E-7</v>
      </c>
      <c r="W100" s="27">
        <f t="shared" si="28"/>
        <v>-9.23234916026687E-4</v>
      </c>
      <c r="X100" s="24" t="s">
        <v>190</v>
      </c>
    </row>
    <row r="101" spans="1:24" s="24" customFormat="1" x14ac:dyDescent="0.2">
      <c r="A101" s="24" t="s">
        <v>54</v>
      </c>
      <c r="B101" s="29" t="s">
        <v>48</v>
      </c>
      <c r="C101" s="25">
        <v>48028.374499999918</v>
      </c>
      <c r="D101" s="25"/>
      <c r="E101" s="26">
        <f t="shared" si="21"/>
        <v>14769.52949776177</v>
      </c>
      <c r="F101" s="24">
        <f t="shared" si="22"/>
        <v>14769.5</v>
      </c>
      <c r="G101" s="27">
        <f t="shared" si="23"/>
        <v>1.0326154915674124E-2</v>
      </c>
      <c r="H101" s="27"/>
      <c r="I101" s="27"/>
      <c r="K101" s="27">
        <f>+G101</f>
        <v>1.0326154915674124E-2</v>
      </c>
      <c r="L101" s="27"/>
      <c r="M101" s="27"/>
      <c r="N101" s="27"/>
      <c r="O101" s="12"/>
      <c r="P101" s="106"/>
      <c r="Q101" s="27">
        <f t="shared" si="24"/>
        <v>1.1149389914262557E-2</v>
      </c>
      <c r="R101" s="28">
        <f t="shared" si="25"/>
        <v>33009.874499999918</v>
      </c>
      <c r="S101" s="96"/>
      <c r="T101" s="24">
        <f t="shared" si="26"/>
        <v>6.7771586290089771E-7</v>
      </c>
      <c r="U101" s="24">
        <v>1</v>
      </c>
      <c r="V101" s="24">
        <f t="shared" si="27"/>
        <v>6.7771586290089771E-7</v>
      </c>
      <c r="W101" s="27">
        <f t="shared" si="28"/>
        <v>-8.2323499858843324E-4</v>
      </c>
      <c r="X101" s="24" t="e">
        <v>#N/A</v>
      </c>
    </row>
    <row r="102" spans="1:24" s="24" customFormat="1" x14ac:dyDescent="0.2">
      <c r="A102" s="24" t="s">
        <v>54</v>
      </c>
      <c r="B102" s="29" t="s">
        <v>53</v>
      </c>
      <c r="C102" s="25">
        <v>48028.54889999982</v>
      </c>
      <c r="D102" s="25"/>
      <c r="E102" s="26">
        <f t="shared" si="21"/>
        <v>14770.027689943752</v>
      </c>
      <c r="F102" s="24">
        <f t="shared" si="22"/>
        <v>14770</v>
      </c>
      <c r="G102" s="27">
        <f t="shared" si="23"/>
        <v>9.6932998203556053E-3</v>
      </c>
      <c r="H102" s="27"/>
      <c r="I102" s="27"/>
      <c r="K102" s="27">
        <f>+G102</f>
        <v>9.6932998203556053E-3</v>
      </c>
      <c r="L102" s="27"/>
      <c r="M102" s="27"/>
      <c r="N102" s="27"/>
      <c r="O102" s="12"/>
      <c r="P102" s="106"/>
      <c r="Q102" s="27">
        <f t="shared" si="24"/>
        <v>1.1149944906621877E-2</v>
      </c>
      <c r="R102" s="28">
        <f t="shared" si="25"/>
        <v>33010.04889999982</v>
      </c>
      <c r="S102" s="96"/>
      <c r="T102" s="24">
        <f t="shared" si="26"/>
        <v>2.1218149073436732E-6</v>
      </c>
      <c r="U102" s="24">
        <v>1</v>
      </c>
      <c r="V102" s="24">
        <f t="shared" si="27"/>
        <v>2.1218149073436732E-6</v>
      </c>
      <c r="W102" s="27">
        <f t="shared" si="28"/>
        <v>-1.4566450862662714E-3</v>
      </c>
      <c r="X102" s="24" t="e">
        <v>#N/A</v>
      </c>
    </row>
    <row r="103" spans="1:24" s="24" customFormat="1" x14ac:dyDescent="0.2">
      <c r="A103" s="101" t="s">
        <v>285</v>
      </c>
      <c r="B103" s="102" t="s">
        <v>53</v>
      </c>
      <c r="C103" s="101">
        <v>48028.548999999999</v>
      </c>
      <c r="D103" s="101" t="s">
        <v>190</v>
      </c>
      <c r="E103" s="98">
        <f t="shared" si="21"/>
        <v>14770.02797560492</v>
      </c>
      <c r="F103" s="24">
        <f t="shared" si="22"/>
        <v>14770</v>
      </c>
      <c r="G103" s="27">
        <f t="shared" si="23"/>
        <v>9.7932999997283332E-3</v>
      </c>
      <c r="H103" s="27"/>
      <c r="I103" s="27"/>
      <c r="J103" s="27">
        <f>+G103</f>
        <v>9.7932999997283332E-3</v>
      </c>
      <c r="K103" s="27"/>
      <c r="L103" s="31">
        <f>G103</f>
        <v>9.7932999997283332E-3</v>
      </c>
      <c r="N103" s="12"/>
      <c r="O103" s="12"/>
      <c r="P103" s="106">
        <f ca="1">+C$11+C$12*$F103</f>
        <v>4.7098575991641745E-3</v>
      </c>
      <c r="Q103" s="27">
        <f t="shared" si="24"/>
        <v>1.1149944906621877E-2</v>
      </c>
      <c r="R103" s="28">
        <f t="shared" si="25"/>
        <v>33010.048999999999</v>
      </c>
      <c r="S103" s="96"/>
      <c r="T103" s="24">
        <f t="shared" si="26"/>
        <v>1.8404854034001914E-6</v>
      </c>
      <c r="U103" s="24">
        <v>1</v>
      </c>
      <c r="V103" s="24">
        <f t="shared" si="27"/>
        <v>1.8404854034001914E-6</v>
      </c>
      <c r="W103" s="27">
        <f t="shared" si="28"/>
        <v>-1.3566449068935435E-3</v>
      </c>
      <c r="X103" s="24" t="s">
        <v>190</v>
      </c>
    </row>
    <row r="104" spans="1:24" s="24" customFormat="1" x14ac:dyDescent="0.2">
      <c r="A104" s="101" t="s">
        <v>285</v>
      </c>
      <c r="B104" s="102" t="s">
        <v>48</v>
      </c>
      <c r="C104" s="101">
        <v>48030.475400000003</v>
      </c>
      <c r="D104" s="101" t="s">
        <v>190</v>
      </c>
      <c r="E104" s="98">
        <f t="shared" si="21"/>
        <v>14775.53094246221</v>
      </c>
      <c r="F104" s="24">
        <f t="shared" si="22"/>
        <v>14775.5</v>
      </c>
      <c r="G104" s="27">
        <f t="shared" si="23"/>
        <v>1.083189500059234E-2</v>
      </c>
      <c r="H104" s="27"/>
      <c r="I104" s="27"/>
      <c r="J104" s="27">
        <f>+G104</f>
        <v>1.083189500059234E-2</v>
      </c>
      <c r="K104" s="27"/>
      <c r="L104" s="31">
        <f>G104</f>
        <v>1.083189500059234E-2</v>
      </c>
      <c r="N104" s="12"/>
      <c r="O104" s="12"/>
      <c r="P104" s="106">
        <f ca="1">+C$11+C$12*$F104</f>
        <v>4.7205802241787158E-3</v>
      </c>
      <c r="Q104" s="27">
        <f t="shared" si="24"/>
        <v>1.1156050615956595E-2</v>
      </c>
      <c r="R104" s="28">
        <f t="shared" si="25"/>
        <v>33011.975400000003</v>
      </c>
      <c r="S104" s="96"/>
      <c r="T104" s="24">
        <f t="shared" si="26"/>
        <v>1.0507686297217926E-7</v>
      </c>
      <c r="U104" s="24">
        <v>1</v>
      </c>
      <c r="V104" s="24">
        <f t="shared" si="27"/>
        <v>1.0507686297217926E-7</v>
      </c>
      <c r="W104" s="27">
        <f t="shared" si="28"/>
        <v>-3.2415561536425566E-4</v>
      </c>
      <c r="X104" s="24" t="s">
        <v>190</v>
      </c>
    </row>
    <row r="105" spans="1:24" s="24" customFormat="1" x14ac:dyDescent="0.2">
      <c r="A105" s="24" t="s">
        <v>54</v>
      </c>
      <c r="B105" s="29" t="s">
        <v>48</v>
      </c>
      <c r="C105" s="25">
        <v>48030.475600000005</v>
      </c>
      <c r="D105" s="25"/>
      <c r="E105" s="26">
        <f t="shared" si="21"/>
        <v>14775.531513783526</v>
      </c>
      <c r="F105" s="24">
        <f t="shared" si="22"/>
        <v>14775.5</v>
      </c>
      <c r="G105" s="27">
        <f t="shared" si="23"/>
        <v>1.1031895002815872E-2</v>
      </c>
      <c r="H105" s="27"/>
      <c r="I105" s="27"/>
      <c r="K105" s="27">
        <f>+G105</f>
        <v>1.1031895002815872E-2</v>
      </c>
      <c r="L105" s="27"/>
      <c r="M105" s="27"/>
      <c r="N105" s="27"/>
      <c r="O105" s="12"/>
      <c r="P105" s="106"/>
      <c r="Q105" s="27">
        <f t="shared" si="24"/>
        <v>1.1156050615956595E-2</v>
      </c>
      <c r="R105" s="28">
        <f t="shared" si="25"/>
        <v>33011.975600000005</v>
      </c>
      <c r="S105" s="96"/>
      <c r="T105" s="24">
        <f t="shared" si="26"/>
        <v>1.5414616274348872E-8</v>
      </c>
      <c r="U105" s="24">
        <v>1</v>
      </c>
      <c r="V105" s="24">
        <f t="shared" si="27"/>
        <v>1.5414616274348872E-8</v>
      </c>
      <c r="W105" s="27">
        <f t="shared" si="28"/>
        <v>-1.2415561314072301E-4</v>
      </c>
      <c r="X105" s="24" t="e">
        <v>#N/A</v>
      </c>
    </row>
    <row r="106" spans="1:24" s="24" customFormat="1" x14ac:dyDescent="0.2">
      <c r="A106" s="24" t="s">
        <v>54</v>
      </c>
      <c r="B106" s="29" t="s">
        <v>48</v>
      </c>
      <c r="C106" s="25">
        <v>48035.375800000038</v>
      </c>
      <c r="D106" s="25"/>
      <c r="E106" s="26">
        <f t="shared" si="21"/>
        <v>14789.529457198301</v>
      </c>
      <c r="F106" s="24">
        <f t="shared" si="22"/>
        <v>14789.5</v>
      </c>
      <c r="G106" s="27">
        <f t="shared" si="23"/>
        <v>1.0311955040378962E-2</v>
      </c>
      <c r="H106" s="27"/>
      <c r="I106" s="27"/>
      <c r="K106" s="27">
        <f>+G106</f>
        <v>1.0311955040378962E-2</v>
      </c>
      <c r="L106" s="27"/>
      <c r="M106" s="27"/>
      <c r="N106" s="27"/>
      <c r="O106" s="12"/>
      <c r="P106" s="106"/>
      <c r="Q106" s="27">
        <f t="shared" si="24"/>
        <v>1.1171598984970364E-2</v>
      </c>
      <c r="R106" s="28">
        <f t="shared" si="25"/>
        <v>33016.875800000038</v>
      </c>
      <c r="S106" s="96"/>
      <c r="T106" s="24">
        <f t="shared" si="26"/>
        <v>7.3898771147266517E-7</v>
      </c>
      <c r="U106" s="24">
        <v>1</v>
      </c>
      <c r="V106" s="24">
        <f t="shared" si="27"/>
        <v>7.3898771147266517E-7</v>
      </c>
      <c r="W106" s="27">
        <f t="shared" si="28"/>
        <v>-8.5964394459140184E-4</v>
      </c>
      <c r="X106" s="24" t="e">
        <v>#N/A</v>
      </c>
    </row>
    <row r="107" spans="1:24" x14ac:dyDescent="0.2">
      <c r="A107" s="101" t="s">
        <v>285</v>
      </c>
      <c r="B107" s="102" t="s">
        <v>48</v>
      </c>
      <c r="C107" s="101">
        <v>48035.375899999999</v>
      </c>
      <c r="D107" s="101" t="s">
        <v>190</v>
      </c>
      <c r="E107" s="98">
        <f t="shared" si="21"/>
        <v>14789.529742858846</v>
      </c>
      <c r="F107" s="24">
        <f t="shared" si="22"/>
        <v>14789.5</v>
      </c>
      <c r="G107" s="27">
        <f t="shared" si="23"/>
        <v>1.0411955001472961E-2</v>
      </c>
      <c r="H107" s="27"/>
      <c r="I107" s="27"/>
      <c r="J107" s="27">
        <f>+G107</f>
        <v>1.0411955001472961E-2</v>
      </c>
      <c r="K107" s="27"/>
      <c r="L107" s="31">
        <f>G107</f>
        <v>1.0411955001472961E-2</v>
      </c>
      <c r="M107" s="24"/>
      <c r="P107" s="106">
        <f ca="1">+C$11+C$12*$F107</f>
        <v>4.7478741787611821E-3</v>
      </c>
      <c r="Q107" s="27">
        <f t="shared" si="24"/>
        <v>1.1171598984970364E-2</v>
      </c>
      <c r="R107" s="28">
        <f t="shared" si="25"/>
        <v>33016.875899999999</v>
      </c>
      <c r="S107" s="96"/>
      <c r="T107" s="24">
        <f t="shared" si="26"/>
        <v>5.7705898166380174E-7</v>
      </c>
      <c r="U107" s="24">
        <v>1</v>
      </c>
      <c r="V107" s="24">
        <f t="shared" si="27"/>
        <v>5.7705898166380174E-7</v>
      </c>
      <c r="W107" s="27">
        <f t="shared" si="28"/>
        <v>-7.5964398349740239E-4</v>
      </c>
      <c r="X107" s="24" t="s">
        <v>190</v>
      </c>
    </row>
    <row r="108" spans="1:24" x14ac:dyDescent="0.2">
      <c r="A108" s="24" t="s">
        <v>82</v>
      </c>
      <c r="B108" s="29"/>
      <c r="C108" s="25">
        <v>48396.468399999998</v>
      </c>
      <c r="D108" s="25"/>
      <c r="E108" s="26">
        <f t="shared" si="21"/>
        <v>15821.028943394649</v>
      </c>
      <c r="F108" s="24">
        <f t="shared" si="22"/>
        <v>15821</v>
      </c>
      <c r="G108" s="27">
        <f t="shared" si="23"/>
        <v>1.0132089999387972E-2</v>
      </c>
      <c r="H108" s="27"/>
      <c r="I108" s="27"/>
      <c r="J108" s="27">
        <f>G108</f>
        <v>1.0132089999387972E-2</v>
      </c>
      <c r="K108" s="27"/>
      <c r="L108" s="31">
        <f>G108</f>
        <v>1.0132089999387972E-2</v>
      </c>
      <c r="M108" s="27"/>
      <c r="N108" s="27"/>
      <c r="O108" s="27"/>
      <c r="P108" s="106"/>
      <c r="Q108" s="27">
        <f t="shared" si="24"/>
        <v>1.2343108169679729E-2</v>
      </c>
      <c r="R108" s="28">
        <f t="shared" si="25"/>
        <v>33377.968399999998</v>
      </c>
      <c r="S108" s="96"/>
      <c r="T108" s="24">
        <f t="shared" si="26"/>
        <v>4.8886013493603081E-6</v>
      </c>
      <c r="U108" s="24">
        <v>1</v>
      </c>
      <c r="V108" s="24">
        <f t="shared" si="27"/>
        <v>4.8886013493603081E-6</v>
      </c>
      <c r="W108" s="27">
        <f t="shared" si="28"/>
        <v>-2.2110181702917567E-3</v>
      </c>
      <c r="X108" s="24" t="s">
        <v>190</v>
      </c>
    </row>
    <row r="109" spans="1:24" x14ac:dyDescent="0.2">
      <c r="A109" s="24" t="s">
        <v>82</v>
      </c>
      <c r="B109" s="29"/>
      <c r="C109" s="25">
        <v>48397.3439</v>
      </c>
      <c r="D109" s="25"/>
      <c r="E109" s="26">
        <f t="shared" si="21"/>
        <v>15823.529902428889</v>
      </c>
      <c r="F109" s="24">
        <f t="shared" si="22"/>
        <v>15823.5</v>
      </c>
      <c r="G109" s="27">
        <f t="shared" si="23"/>
        <v>1.0467815001902636E-2</v>
      </c>
      <c r="H109" s="27"/>
      <c r="I109" s="27"/>
      <c r="J109" s="27">
        <f>G109</f>
        <v>1.0467815001902636E-2</v>
      </c>
      <c r="K109" s="27"/>
      <c r="L109" s="27"/>
      <c r="M109" s="27"/>
      <c r="N109" s="27"/>
      <c r="O109" s="27"/>
      <c r="P109" s="106"/>
      <c r="Q109" s="27">
        <f t="shared" si="24"/>
        <v>1.2346009651893967E-2</v>
      </c>
      <c r="R109" s="28">
        <f t="shared" si="25"/>
        <v>33378.8439</v>
      </c>
      <c r="S109" s="96"/>
      <c r="T109" s="24">
        <f t="shared" si="26"/>
        <v>3.5276151432560596E-6</v>
      </c>
      <c r="U109" s="24">
        <v>1</v>
      </c>
      <c r="V109" s="24">
        <f t="shared" si="27"/>
        <v>3.5276151432560596E-6</v>
      </c>
      <c r="W109" s="27">
        <f t="shared" si="28"/>
        <v>-1.8781946499913313E-3</v>
      </c>
      <c r="X109" s="24" t="e">
        <v>#N/A</v>
      </c>
    </row>
    <row r="110" spans="1:24" x14ac:dyDescent="0.2">
      <c r="A110" s="101" t="s">
        <v>286</v>
      </c>
      <c r="B110" s="102" t="s">
        <v>48</v>
      </c>
      <c r="C110" s="101">
        <v>48397.344299999997</v>
      </c>
      <c r="D110" s="101" t="s">
        <v>190</v>
      </c>
      <c r="E110" s="98">
        <f t="shared" si="21"/>
        <v>15823.531045071501</v>
      </c>
      <c r="F110" s="24">
        <f t="shared" si="22"/>
        <v>15823.5</v>
      </c>
      <c r="G110" s="27">
        <f t="shared" si="23"/>
        <v>1.0867814999073744E-2</v>
      </c>
      <c r="H110" s="27"/>
      <c r="I110" s="27"/>
      <c r="J110" s="27">
        <f>+G110</f>
        <v>1.0867814999073744E-2</v>
      </c>
      <c r="K110" s="27"/>
      <c r="L110" s="31">
        <f>G110</f>
        <v>1.0867814999073744E-2</v>
      </c>
      <c r="M110" s="24"/>
      <c r="P110" s="106">
        <f ca="1">+C$11+C$12*$F110</f>
        <v>6.7637276814947293E-3</v>
      </c>
      <c r="Q110" s="27">
        <f t="shared" si="24"/>
        <v>1.2346009651893967E-2</v>
      </c>
      <c r="R110" s="28">
        <f t="shared" si="25"/>
        <v>33378.844299999997</v>
      </c>
      <c r="S110" s="96"/>
      <c r="T110" s="24">
        <f t="shared" si="26"/>
        <v>2.1850594316263016E-6</v>
      </c>
      <c r="U110" s="24">
        <v>1</v>
      </c>
      <c r="V110" s="24">
        <f t="shared" si="27"/>
        <v>2.1850594316263016E-6</v>
      </c>
      <c r="W110" s="27">
        <f t="shared" si="28"/>
        <v>-1.4781946528202236E-3</v>
      </c>
      <c r="X110" s="24" t="s">
        <v>190</v>
      </c>
    </row>
    <row r="111" spans="1:24" x14ac:dyDescent="0.2">
      <c r="A111" s="24" t="s">
        <v>82</v>
      </c>
      <c r="B111" s="29"/>
      <c r="C111" s="25">
        <v>48397.344700000001</v>
      </c>
      <c r="D111" s="25"/>
      <c r="E111" s="26">
        <f t="shared" si="21"/>
        <v>15823.532187714132</v>
      </c>
      <c r="F111" s="24">
        <f t="shared" si="22"/>
        <v>15823.5</v>
      </c>
      <c r="G111" s="27">
        <f t="shared" si="23"/>
        <v>1.1267815003520809E-2</v>
      </c>
      <c r="H111" s="27"/>
      <c r="I111" s="27"/>
      <c r="J111" s="27">
        <f>G111</f>
        <v>1.1267815003520809E-2</v>
      </c>
      <c r="K111" s="27"/>
      <c r="L111" s="27"/>
      <c r="M111" s="27"/>
      <c r="N111" s="27"/>
      <c r="O111" s="27"/>
      <c r="P111" s="106"/>
      <c r="Q111" s="27">
        <f t="shared" si="24"/>
        <v>1.2346009651893967E-2</v>
      </c>
      <c r="R111" s="28">
        <f t="shared" si="25"/>
        <v>33378.844700000001</v>
      </c>
      <c r="S111" s="96"/>
      <c r="T111" s="24">
        <f t="shared" si="26"/>
        <v>1.1625036997805185E-6</v>
      </c>
      <c r="U111" s="24">
        <v>1</v>
      </c>
      <c r="V111" s="24">
        <f t="shared" si="27"/>
        <v>1.1625036997805185E-6</v>
      </c>
      <c r="W111" s="27">
        <f t="shared" si="28"/>
        <v>-1.0781946483731583E-3</v>
      </c>
      <c r="X111" s="24" t="e">
        <v>#N/A</v>
      </c>
    </row>
    <row r="112" spans="1:24" s="24" customFormat="1" x14ac:dyDescent="0.2">
      <c r="A112" s="24" t="s">
        <v>82</v>
      </c>
      <c r="B112" s="29"/>
      <c r="C112" s="25">
        <v>48397.518700000001</v>
      </c>
      <c r="D112" s="25"/>
      <c r="E112" s="26">
        <f t="shared" si="21"/>
        <v>15824.029237253773</v>
      </c>
      <c r="F112" s="24">
        <f t="shared" si="22"/>
        <v>15824</v>
      </c>
      <c r="G112" s="27">
        <f t="shared" si="23"/>
        <v>1.0234959998342674E-2</v>
      </c>
      <c r="H112" s="27"/>
      <c r="I112" s="27"/>
      <c r="J112" s="27">
        <f>G112</f>
        <v>1.0234959998342674E-2</v>
      </c>
      <c r="K112" s="27"/>
      <c r="L112" s="31">
        <f>G112</f>
        <v>1.0234959998342674E-2</v>
      </c>
      <c r="M112" s="27"/>
      <c r="N112" s="27"/>
      <c r="O112" s="27"/>
      <c r="P112" s="106"/>
      <c r="Q112" s="27">
        <f t="shared" si="24"/>
        <v>1.2346589984399641E-2</v>
      </c>
      <c r="R112" s="28">
        <f t="shared" si="25"/>
        <v>33379.018700000001</v>
      </c>
      <c r="S112" s="96"/>
      <c r="T112" s="24">
        <f t="shared" si="26"/>
        <v>4.4589811980149474E-6</v>
      </c>
      <c r="U112" s="24">
        <v>1</v>
      </c>
      <c r="V112" s="24">
        <f t="shared" si="27"/>
        <v>4.4589811980149474E-6</v>
      </c>
      <c r="W112" s="27">
        <f t="shared" si="28"/>
        <v>-2.1116299860569673E-3</v>
      </c>
      <c r="X112" s="24" t="s">
        <v>190</v>
      </c>
    </row>
    <row r="113" spans="1:27" x14ac:dyDescent="0.2">
      <c r="A113" s="24" t="s">
        <v>82</v>
      </c>
      <c r="B113" s="29"/>
      <c r="C113" s="25">
        <v>48398.394800000002</v>
      </c>
      <c r="D113" s="25"/>
      <c r="E113" s="26">
        <f t="shared" si="21"/>
        <v>15826.531910251941</v>
      </c>
      <c r="F113" s="24">
        <f t="shared" si="22"/>
        <v>15826.5</v>
      </c>
      <c r="G113" s="27">
        <f t="shared" si="23"/>
        <v>1.1170685000251979E-2</v>
      </c>
      <c r="H113" s="27"/>
      <c r="I113" s="27"/>
      <c r="J113" s="27">
        <f>G113</f>
        <v>1.1170685000251979E-2</v>
      </c>
      <c r="K113" s="27"/>
      <c r="L113" s="27"/>
      <c r="M113" s="27"/>
      <c r="N113" s="27"/>
      <c r="O113" s="27"/>
      <c r="P113" s="106"/>
      <c r="Q113" s="27">
        <f t="shared" si="24"/>
        <v>1.2349491827242147E-2</v>
      </c>
      <c r="R113" s="28">
        <f t="shared" si="25"/>
        <v>33379.894800000002</v>
      </c>
      <c r="S113" s="96"/>
      <c r="T113" s="24">
        <f t="shared" si="26"/>
        <v>1.3895855353586286E-6</v>
      </c>
      <c r="U113" s="24">
        <v>1</v>
      </c>
      <c r="V113" s="24">
        <f t="shared" si="27"/>
        <v>1.3895855353586286E-6</v>
      </c>
      <c r="W113" s="27">
        <f t="shared" si="28"/>
        <v>-1.1788068269901683E-3</v>
      </c>
      <c r="X113" s="24" t="e">
        <v>#N/A</v>
      </c>
    </row>
    <row r="114" spans="1:27" s="24" customFormat="1" x14ac:dyDescent="0.2">
      <c r="A114" s="101" t="s">
        <v>286</v>
      </c>
      <c r="B114" s="102" t="s">
        <v>48</v>
      </c>
      <c r="C114" s="101">
        <v>48398.394999999997</v>
      </c>
      <c r="D114" s="101" t="s">
        <v>190</v>
      </c>
      <c r="E114" s="98">
        <f t="shared" si="21"/>
        <v>15826.532481573237</v>
      </c>
      <c r="F114" s="24">
        <f t="shared" si="22"/>
        <v>15826.5</v>
      </c>
      <c r="G114" s="27">
        <f t="shared" si="23"/>
        <v>1.1370684995199554E-2</v>
      </c>
      <c r="H114" s="27"/>
      <c r="I114" s="27"/>
      <c r="J114" s="27">
        <f>+G114</f>
        <v>1.1370684995199554E-2</v>
      </c>
      <c r="K114" s="27"/>
      <c r="L114" s="31">
        <f>G114</f>
        <v>1.1370684995199554E-2</v>
      </c>
      <c r="N114" s="12"/>
      <c r="O114" s="12"/>
      <c r="P114" s="106">
        <f ca="1">+C$11+C$12*$F114</f>
        <v>6.769576386048113E-3</v>
      </c>
      <c r="Q114" s="27">
        <f t="shared" si="24"/>
        <v>1.2349491827242147E-2</v>
      </c>
      <c r="R114" s="28">
        <f t="shared" si="25"/>
        <v>33379.894999999997</v>
      </c>
      <c r="S114" s="96"/>
      <c r="T114" s="24">
        <f t="shared" si="26"/>
        <v>9.5806281445325748E-7</v>
      </c>
      <c r="U114" s="24">
        <v>1</v>
      </c>
      <c r="V114" s="24">
        <f t="shared" si="27"/>
        <v>9.5806281445325748E-7</v>
      </c>
      <c r="W114" s="27">
        <f t="shared" si="28"/>
        <v>-9.7880683204259328E-4</v>
      </c>
      <c r="X114" s="24" t="s">
        <v>190</v>
      </c>
    </row>
    <row r="115" spans="1:27" x14ac:dyDescent="0.2">
      <c r="A115" s="24" t="s">
        <v>82</v>
      </c>
      <c r="B115" s="29"/>
      <c r="C115" s="25">
        <v>48398.395299999996</v>
      </c>
      <c r="D115" s="25"/>
      <c r="E115" s="26">
        <f t="shared" si="21"/>
        <v>15826.5333385552</v>
      </c>
      <c r="F115" s="24">
        <f t="shared" si="22"/>
        <v>15826.5</v>
      </c>
      <c r="G115" s="27">
        <f t="shared" si="23"/>
        <v>1.1670684994896874E-2</v>
      </c>
      <c r="H115" s="27"/>
      <c r="I115" s="27"/>
      <c r="J115" s="27">
        <f>G115</f>
        <v>1.1670684994896874E-2</v>
      </c>
      <c r="K115" s="27"/>
      <c r="L115" s="27"/>
      <c r="M115" s="27"/>
      <c r="N115" s="27"/>
      <c r="O115" s="27"/>
      <c r="P115" s="106"/>
      <c r="Q115" s="27">
        <f t="shared" si="24"/>
        <v>1.2349491827242147E-2</v>
      </c>
      <c r="R115" s="28">
        <f t="shared" si="25"/>
        <v>33379.895299999996</v>
      </c>
      <c r="S115" s="96"/>
      <c r="T115" s="24">
        <f t="shared" si="26"/>
        <v>4.6077871563862374E-7</v>
      </c>
      <c r="U115" s="24">
        <v>1</v>
      </c>
      <c r="V115" s="24">
        <f t="shared" si="27"/>
        <v>4.6077871563862374E-7</v>
      </c>
      <c r="W115" s="27">
        <f t="shared" si="28"/>
        <v>-6.7880683234527311E-4</v>
      </c>
      <c r="X115" s="24" t="e">
        <v>#N/A</v>
      </c>
    </row>
    <row r="116" spans="1:27" s="24" customFormat="1" x14ac:dyDescent="0.2">
      <c r="A116" s="24" t="s">
        <v>45</v>
      </c>
      <c r="B116" s="29"/>
      <c r="C116" s="25">
        <v>48801.500999999997</v>
      </c>
      <c r="D116" s="25">
        <v>3.0000000000000001E-3</v>
      </c>
      <c r="E116" s="26">
        <f t="shared" si="21"/>
        <v>16978.047721383497</v>
      </c>
      <c r="F116" s="24">
        <f t="shared" si="22"/>
        <v>16978</v>
      </c>
      <c r="G116" s="27">
        <f t="shared" si="23"/>
        <v>1.6705619993444998E-2</v>
      </c>
      <c r="H116" s="27"/>
      <c r="J116" s="27"/>
      <c r="K116" s="27">
        <f>+G116</f>
        <v>1.6705619993444998E-2</v>
      </c>
      <c r="L116" s="27"/>
      <c r="M116" s="27"/>
      <c r="N116" s="27"/>
      <c r="O116" s="27"/>
      <c r="P116" s="106"/>
      <c r="Q116" s="27">
        <f t="shared" si="24"/>
        <v>1.3718028242037557E-2</v>
      </c>
      <c r="R116" s="28">
        <f t="shared" si="25"/>
        <v>33783.000999999997</v>
      </c>
      <c r="S116" s="96"/>
      <c r="T116" s="24">
        <f t="shared" si="26"/>
        <v>8.92570447307778E-6</v>
      </c>
      <c r="U116" s="24">
        <v>1</v>
      </c>
      <c r="V116" s="24">
        <f t="shared" si="27"/>
        <v>8.92570447307778E-6</v>
      </c>
      <c r="W116" s="27">
        <f t="shared" si="28"/>
        <v>2.987591751407441E-3</v>
      </c>
      <c r="X116" s="24" t="e">
        <v>#N/A</v>
      </c>
    </row>
    <row r="117" spans="1:27" s="24" customFormat="1" x14ac:dyDescent="0.2">
      <c r="A117" s="36" t="s">
        <v>47</v>
      </c>
      <c r="B117" s="77" t="s">
        <v>48</v>
      </c>
      <c r="C117" s="32">
        <v>49480.442000000003</v>
      </c>
      <c r="D117" s="25">
        <v>5.0000000000000001E-3</v>
      </c>
      <c r="E117" s="26">
        <f t="shared" ref="E117:E148" si="29">+(C117-C$7)/C$8</f>
        <v>18917.515028821312</v>
      </c>
      <c r="F117" s="24">
        <f t="shared" ref="F117:F148" si="30">ROUND(2*E117,0)/2</f>
        <v>18917.5</v>
      </c>
      <c r="G117" s="27">
        <f>+C117-(C$7+F117*C$8)</f>
        <v>5.2610750062740408E-3</v>
      </c>
      <c r="H117" s="27"/>
      <c r="J117" s="27"/>
      <c r="K117" s="27">
        <f>+G117</f>
        <v>5.2610750062740408E-3</v>
      </c>
      <c r="L117" s="27"/>
      <c r="M117" s="27"/>
      <c r="N117" s="27"/>
      <c r="O117" s="27"/>
      <c r="P117" s="106"/>
      <c r="Q117" s="27">
        <f t="shared" ref="Q117:Q148" si="31">+D$11+D$12*F117+D$13*F117^2</f>
        <v>1.6167219022488546E-2</v>
      </c>
      <c r="R117" s="28">
        <f t="shared" ref="R117:R148" si="32">+C117-15018.5</f>
        <v>34461.942000000003</v>
      </c>
      <c r="S117" s="96"/>
      <c r="T117" s="24">
        <f t="shared" ref="T117:T148" si="33">+(Q117-G117)^2</f>
        <v>1.1894397730241146E-4</v>
      </c>
      <c r="U117" s="24">
        <v>1</v>
      </c>
      <c r="V117" s="24">
        <f>+U117*T117</f>
        <v>1.1894397730241146E-4</v>
      </c>
      <c r="W117" s="27">
        <f t="shared" si="28"/>
        <v>-1.0906144016214505E-2</v>
      </c>
      <c r="X117" s="24" t="e">
        <v>#N/A</v>
      </c>
    </row>
    <row r="118" spans="1:27" x14ac:dyDescent="0.2">
      <c r="A118" s="32" t="s">
        <v>95</v>
      </c>
      <c r="B118" s="77" t="s">
        <v>48</v>
      </c>
      <c r="C118" s="32">
        <v>49995.375999999997</v>
      </c>
      <c r="D118" s="32" t="s">
        <v>96</v>
      </c>
      <c r="E118" s="26">
        <f t="shared" si="29"/>
        <v>20388.478865867772</v>
      </c>
      <c r="F118" s="24">
        <f t="shared" si="30"/>
        <v>20388.5</v>
      </c>
      <c r="G118" s="27"/>
      <c r="H118" s="27"/>
      <c r="I118" s="27"/>
      <c r="J118" s="27"/>
      <c r="K118" s="27"/>
      <c r="L118" s="27"/>
      <c r="M118" s="27"/>
      <c r="P118" s="106"/>
      <c r="Q118" s="27">
        <f t="shared" si="31"/>
        <v>1.8145404795420105E-2</v>
      </c>
      <c r="R118" s="28">
        <f t="shared" si="32"/>
        <v>34976.875999999997</v>
      </c>
      <c r="S118" s="97">
        <v>-2.2372055500454735E-2</v>
      </c>
      <c r="T118" s="24">
        <f t="shared" si="33"/>
        <v>3.2925571518965493E-4</v>
      </c>
      <c r="U118" s="24"/>
      <c r="V118" s="24"/>
      <c r="W118" s="27"/>
      <c r="X118" s="24" t="e">
        <v>#N/A</v>
      </c>
    </row>
    <row r="119" spans="1:27" s="24" customFormat="1" x14ac:dyDescent="0.2">
      <c r="A119" s="32" t="s">
        <v>95</v>
      </c>
      <c r="B119" s="77"/>
      <c r="C119" s="103">
        <v>49999.404999999999</v>
      </c>
      <c r="D119" s="32" t="s">
        <v>96</v>
      </c>
      <c r="E119" s="26">
        <f t="shared" si="29"/>
        <v>20399.988133656389</v>
      </c>
      <c r="F119" s="24">
        <f t="shared" si="30"/>
        <v>20400</v>
      </c>
      <c r="G119" s="27"/>
      <c r="H119" s="27"/>
      <c r="I119" s="27"/>
      <c r="J119" s="27"/>
      <c r="K119" s="27"/>
      <c r="L119" s="27"/>
      <c r="M119" s="27"/>
      <c r="N119" s="12"/>
      <c r="O119" s="12"/>
      <c r="P119" s="106"/>
      <c r="Q119" s="27">
        <f t="shared" si="31"/>
        <v>1.8161279762021164E-2</v>
      </c>
      <c r="R119" s="28">
        <f t="shared" si="32"/>
        <v>34980.904999999999</v>
      </c>
      <c r="S119" s="97">
        <v>-1.9153285000356846E-2</v>
      </c>
      <c r="T119" s="24">
        <f t="shared" si="33"/>
        <v>3.2983208259439948E-4</v>
      </c>
      <c r="W119" s="27"/>
      <c r="X119" s="24" t="e">
        <v>#N/A</v>
      </c>
    </row>
    <row r="120" spans="1:27" s="24" customFormat="1" x14ac:dyDescent="0.2">
      <c r="A120" s="32" t="s">
        <v>95</v>
      </c>
      <c r="B120" s="77"/>
      <c r="C120" s="32">
        <v>50180.457000000002</v>
      </c>
      <c r="D120" s="32" t="s">
        <v>96</v>
      </c>
      <c r="E120" s="26">
        <f t="shared" si="29"/>
        <v>20917.182462686796</v>
      </c>
      <c r="F120" s="24">
        <f t="shared" si="30"/>
        <v>20917</v>
      </c>
      <c r="G120" s="27"/>
      <c r="H120" s="27"/>
      <c r="I120" s="27"/>
      <c r="J120" s="27"/>
      <c r="K120" s="27"/>
      <c r="L120" s="27"/>
      <c r="M120" s="27"/>
      <c r="N120" s="12"/>
      <c r="O120" s="12"/>
      <c r="P120" s="106"/>
      <c r="Q120" s="27">
        <f t="shared" si="31"/>
        <v>1.8881532115443758E-2</v>
      </c>
      <c r="R120" s="28">
        <f t="shared" si="32"/>
        <v>35161.957000000002</v>
      </c>
      <c r="S120" s="97">
        <v>4.7725354001158848E-2</v>
      </c>
      <c r="T120" s="24">
        <f t="shared" si="33"/>
        <v>3.5651225502653403E-4</v>
      </c>
      <c r="W120" s="27"/>
      <c r="X120" s="24" t="e">
        <v>#N/A</v>
      </c>
    </row>
    <row r="121" spans="1:27" s="24" customFormat="1" x14ac:dyDescent="0.2">
      <c r="A121" s="32" t="s">
        <v>95</v>
      </c>
      <c r="B121" s="77" t="s">
        <v>48</v>
      </c>
      <c r="C121" s="32">
        <v>50189.572999999997</v>
      </c>
      <c r="D121" s="32" t="s">
        <v>96</v>
      </c>
      <c r="E121" s="26">
        <f t="shared" si="29"/>
        <v>20943.223287993551</v>
      </c>
      <c r="F121" s="24">
        <f t="shared" si="30"/>
        <v>20943</v>
      </c>
      <c r="G121" s="27"/>
      <c r="H121" s="27"/>
      <c r="I121" s="27"/>
      <c r="J121" s="27"/>
      <c r="K121" s="27"/>
      <c r="L121" s="27"/>
      <c r="M121" s="27"/>
      <c r="N121" s="12"/>
      <c r="O121" s="12"/>
      <c r="P121" s="106"/>
      <c r="Q121" s="27">
        <f t="shared" si="31"/>
        <v>1.8918093127143633E-2</v>
      </c>
      <c r="R121" s="28">
        <f t="shared" si="32"/>
        <v>35171.072999999997</v>
      </c>
      <c r="S121" s="97">
        <v>6.1959095997735858E-2</v>
      </c>
      <c r="T121" s="24">
        <f t="shared" si="33"/>
        <v>3.5789424756727916E-4</v>
      </c>
      <c r="W121" s="27"/>
      <c r="X121" s="24" t="e">
        <v>#N/A</v>
      </c>
    </row>
    <row r="122" spans="1:27" s="24" customFormat="1" x14ac:dyDescent="0.2">
      <c r="A122" s="32" t="s">
        <v>95</v>
      </c>
      <c r="B122" s="77" t="s">
        <v>48</v>
      </c>
      <c r="C122" s="32">
        <v>50195.504999999997</v>
      </c>
      <c r="D122" s="32" t="s">
        <v>96</v>
      </c>
      <c r="E122" s="26">
        <f t="shared" si="29"/>
        <v>20960.168678046179</v>
      </c>
      <c r="F122" s="24">
        <f t="shared" si="30"/>
        <v>20960</v>
      </c>
      <c r="G122" s="27"/>
      <c r="H122" s="27"/>
      <c r="I122" s="27"/>
      <c r="J122" s="27"/>
      <c r="K122" s="27"/>
      <c r="L122" s="27"/>
      <c r="M122" s="27"/>
      <c r="N122" s="12"/>
      <c r="O122" s="12"/>
      <c r="P122" s="106"/>
      <c r="Q122" s="27">
        <f t="shared" si="31"/>
        <v>1.8942015978641952E-2</v>
      </c>
      <c r="R122" s="28">
        <f t="shared" si="32"/>
        <v>35177.004999999997</v>
      </c>
      <c r="S122" s="97">
        <v>4.280423499585595E-2</v>
      </c>
      <c r="T122" s="24">
        <f t="shared" si="33"/>
        <v>3.5879996933512701E-4</v>
      </c>
      <c r="W122" s="27"/>
      <c r="X122" s="24" t="e">
        <v>#N/A</v>
      </c>
    </row>
    <row r="123" spans="1:27" s="24" customFormat="1" x14ac:dyDescent="0.2">
      <c r="A123" s="36" t="s">
        <v>50</v>
      </c>
      <c r="B123" s="34" t="s">
        <v>48</v>
      </c>
      <c r="C123" s="35">
        <v>50330.414499999999</v>
      </c>
      <c r="D123" s="35">
        <v>1E-3</v>
      </c>
      <c r="E123" s="26">
        <f t="shared" si="29"/>
        <v>21345.55203935855</v>
      </c>
      <c r="F123" s="24">
        <f t="shared" si="30"/>
        <v>21345.5</v>
      </c>
      <c r="G123" s="27">
        <f t="shared" ref="G123:G128" si="34">+C123-(C$7+F123*C$8)</f>
        <v>1.8217195000033826E-2</v>
      </c>
      <c r="H123" s="27"/>
      <c r="I123" s="27"/>
      <c r="J123" s="27"/>
      <c r="K123" s="27">
        <f>+G123</f>
        <v>1.8217195000033826E-2</v>
      </c>
      <c r="L123" s="31">
        <f>G123</f>
        <v>1.8217195000033826E-2</v>
      </c>
      <c r="M123" s="27"/>
      <c r="N123" s="27"/>
      <c r="O123" s="12"/>
      <c r="P123" s="106">
        <f t="shared" ref="P123:P128" ca="1" si="35">+C$11+C$12*$F123</f>
        <v>1.7529243196093044E-2</v>
      </c>
      <c r="Q123" s="27">
        <f t="shared" si="31"/>
        <v>1.9488232245999808E-2</v>
      </c>
      <c r="R123" s="28">
        <f t="shared" si="32"/>
        <v>35311.914499999999</v>
      </c>
      <c r="S123" s="96"/>
      <c r="T123" s="24">
        <f t="shared" si="33"/>
        <v>1.6155356806327904E-6</v>
      </c>
      <c r="U123" s="24">
        <v>1</v>
      </c>
      <c r="V123" s="24">
        <f t="shared" ref="V123:V128" si="36">+U123*T123</f>
        <v>1.6155356806327904E-6</v>
      </c>
      <c r="W123" s="27">
        <f t="shared" ref="W123:W128" si="37">+G123-Q123</f>
        <v>-1.2710372459659829E-3</v>
      </c>
      <c r="X123" s="24" t="s">
        <v>245</v>
      </c>
    </row>
    <row r="124" spans="1:27" s="24" customFormat="1" x14ac:dyDescent="0.2">
      <c r="A124" s="78" t="s">
        <v>199</v>
      </c>
      <c r="B124" s="77" t="s">
        <v>53</v>
      </c>
      <c r="C124" s="32">
        <v>50590.684999999998</v>
      </c>
      <c r="D124" s="36"/>
      <c r="E124" s="98">
        <f t="shared" si="29"/>
        <v>22089.04245434378</v>
      </c>
      <c r="F124" s="24">
        <f t="shared" si="30"/>
        <v>22089</v>
      </c>
      <c r="G124" s="27">
        <f t="shared" si="34"/>
        <v>1.4861809999274556E-2</v>
      </c>
      <c r="H124" s="27"/>
      <c r="I124" s="27"/>
      <c r="J124" s="27">
        <f>+G124</f>
        <v>1.4861809999274556E-2</v>
      </c>
      <c r="K124" s="27"/>
      <c r="L124" s="27"/>
      <c r="M124" s="27"/>
      <c r="N124" s="12"/>
      <c r="O124" s="12"/>
      <c r="P124" s="106">
        <f t="shared" ca="1" si="35"/>
        <v>1.8978747141240426E-2</v>
      </c>
      <c r="Q124" s="27">
        <f t="shared" si="31"/>
        <v>2.0561880971144066E-2</v>
      </c>
      <c r="R124" s="28">
        <f t="shared" si="32"/>
        <v>35572.184999999998</v>
      </c>
      <c r="S124" s="96"/>
      <c r="T124" s="24">
        <f t="shared" si="33"/>
        <v>3.249080908434942E-5</v>
      </c>
      <c r="U124">
        <v>1</v>
      </c>
      <c r="V124" s="24">
        <f t="shared" si="36"/>
        <v>3.249080908434942E-5</v>
      </c>
      <c r="W124" s="27">
        <f t="shared" si="37"/>
        <v>-5.70007097186951E-3</v>
      </c>
      <c r="X124" s="24" t="e">
        <v>#N/A</v>
      </c>
      <c r="AA124" s="24" t="s">
        <v>193</v>
      </c>
    </row>
    <row r="125" spans="1:27" x14ac:dyDescent="0.2">
      <c r="A125" s="90" t="s">
        <v>200</v>
      </c>
      <c r="B125" s="91" t="s">
        <v>53</v>
      </c>
      <c r="C125" s="92">
        <v>50590.684999999998</v>
      </c>
      <c r="D125" s="92"/>
      <c r="E125" s="98">
        <f t="shared" si="29"/>
        <v>22089.04245434378</v>
      </c>
      <c r="F125" s="24">
        <f t="shared" si="30"/>
        <v>22089</v>
      </c>
      <c r="G125" s="27">
        <f t="shared" si="34"/>
        <v>1.4861809999274556E-2</v>
      </c>
      <c r="H125" s="27"/>
      <c r="I125" s="27">
        <f>G125</f>
        <v>1.4861809999274556E-2</v>
      </c>
      <c r="K125" s="27"/>
      <c r="L125" s="27"/>
      <c r="M125" s="27"/>
      <c r="O125" s="27"/>
      <c r="P125" s="106">
        <f t="shared" ca="1" si="35"/>
        <v>1.8978747141240426E-2</v>
      </c>
      <c r="Q125" s="27">
        <f t="shared" si="31"/>
        <v>2.0561880971144066E-2</v>
      </c>
      <c r="R125" s="28">
        <f t="shared" si="32"/>
        <v>35572.184999999998</v>
      </c>
      <c r="S125" s="96"/>
      <c r="T125" s="24">
        <f t="shared" si="33"/>
        <v>3.249080908434942E-5</v>
      </c>
      <c r="U125" s="24">
        <v>0.1</v>
      </c>
      <c r="V125" s="24">
        <f t="shared" si="36"/>
        <v>3.2490809084349422E-6</v>
      </c>
      <c r="W125" s="27">
        <f t="shared" si="37"/>
        <v>-5.70007097186951E-3</v>
      </c>
      <c r="X125" s="24" t="e">
        <v>#N/A</v>
      </c>
    </row>
    <row r="126" spans="1:27" x14ac:dyDescent="0.2">
      <c r="A126" s="36" t="s">
        <v>50</v>
      </c>
      <c r="B126" s="34" t="s">
        <v>48</v>
      </c>
      <c r="C126" s="35">
        <v>50653.526400000002</v>
      </c>
      <c r="D126" s="35">
        <v>1E-4</v>
      </c>
      <c r="E126" s="26">
        <f t="shared" si="29"/>
        <v>22268.555609174069</v>
      </c>
      <c r="F126" s="24">
        <f t="shared" si="30"/>
        <v>22268.5</v>
      </c>
      <c r="G126" s="27">
        <f t="shared" si="34"/>
        <v>1.9466865000140388E-2</v>
      </c>
      <c r="H126" s="27"/>
      <c r="I126" s="27"/>
      <c r="J126" s="27"/>
      <c r="K126" s="27">
        <f>+G126</f>
        <v>1.9466865000140388E-2</v>
      </c>
      <c r="L126" s="31">
        <f>G126</f>
        <v>1.9466865000140388E-2</v>
      </c>
      <c r="M126" s="27"/>
      <c r="N126" s="27"/>
      <c r="P126" s="106">
        <f t="shared" ca="1" si="35"/>
        <v>1.9328694630351327E-2</v>
      </c>
      <c r="Q126" s="27">
        <f t="shared" si="31"/>
        <v>2.0825070578061398E-2</v>
      </c>
      <c r="R126" s="28">
        <f t="shared" si="32"/>
        <v>35635.026400000002</v>
      </c>
      <c r="S126" s="96"/>
      <c r="T126" s="24">
        <f t="shared" si="33"/>
        <v>1.8447223918957472E-6</v>
      </c>
      <c r="U126" s="24">
        <v>1</v>
      </c>
      <c r="V126" s="24">
        <f t="shared" si="36"/>
        <v>1.8447223918957472E-6</v>
      </c>
      <c r="W126" s="27">
        <f t="shared" si="37"/>
        <v>-1.3582055779210109E-3</v>
      </c>
      <c r="X126" s="24" t="s">
        <v>245</v>
      </c>
    </row>
    <row r="127" spans="1:27" s="24" customFormat="1" x14ac:dyDescent="0.2">
      <c r="A127" s="78" t="s">
        <v>199</v>
      </c>
      <c r="B127" s="77" t="s">
        <v>53</v>
      </c>
      <c r="C127" s="32">
        <v>51056.629000000001</v>
      </c>
      <c r="D127" s="36"/>
      <c r="E127" s="98">
        <f t="shared" si="29"/>
        <v>23420.061136522057</v>
      </c>
      <c r="F127" s="24">
        <f t="shared" si="30"/>
        <v>23420</v>
      </c>
      <c r="G127" s="27">
        <f t="shared" si="34"/>
        <v>2.1401799996965565E-2</v>
      </c>
      <c r="H127" s="27"/>
      <c r="I127" s="27"/>
      <c r="J127" s="27">
        <f>+G127</f>
        <v>2.1401799996965565E-2</v>
      </c>
      <c r="K127" s="27"/>
      <c r="L127" s="27"/>
      <c r="M127" s="27"/>
      <c r="N127" s="12"/>
      <c r="O127" s="12"/>
      <c r="P127" s="106">
        <f t="shared" ca="1" si="35"/>
        <v>2.1573622394759143E-2</v>
      </c>
      <c r="Q127" s="27">
        <f t="shared" si="31"/>
        <v>2.2550290613481079E-2</v>
      </c>
      <c r="R127" s="28">
        <f t="shared" si="32"/>
        <v>36038.129000000001</v>
      </c>
      <c r="S127" s="96"/>
      <c r="T127" s="24">
        <f t="shared" si="33"/>
        <v>1.3190306962241861E-6</v>
      </c>
      <c r="U127">
        <v>1</v>
      </c>
      <c r="V127" s="24">
        <f t="shared" si="36"/>
        <v>1.3190306962241861E-6</v>
      </c>
      <c r="W127" s="27">
        <f t="shared" si="37"/>
        <v>-1.1484906165155143E-3</v>
      </c>
      <c r="X127" s="24" t="e">
        <v>#N/A</v>
      </c>
      <c r="AA127" s="24" t="s">
        <v>193</v>
      </c>
    </row>
    <row r="128" spans="1:27" x14ac:dyDescent="0.2">
      <c r="A128" s="90" t="s">
        <v>200</v>
      </c>
      <c r="B128" s="91" t="s">
        <v>53</v>
      </c>
      <c r="C128" s="92">
        <v>51056.629000000001</v>
      </c>
      <c r="D128" s="92"/>
      <c r="E128" s="98">
        <f t="shared" si="29"/>
        <v>23420.061136522057</v>
      </c>
      <c r="F128" s="24">
        <f t="shared" si="30"/>
        <v>23420</v>
      </c>
      <c r="G128" s="27">
        <f t="shared" si="34"/>
        <v>2.1401799996965565E-2</v>
      </c>
      <c r="H128" s="27"/>
      <c r="I128" s="27">
        <f>G128</f>
        <v>2.1401799996965565E-2</v>
      </c>
      <c r="K128" s="27"/>
      <c r="L128" s="27"/>
      <c r="M128" s="27"/>
      <c r="O128" s="27"/>
      <c r="P128" s="106">
        <f t="shared" ca="1" si="35"/>
        <v>2.1573622394759143E-2</v>
      </c>
      <c r="Q128" s="27">
        <f t="shared" si="31"/>
        <v>2.2550290613481079E-2</v>
      </c>
      <c r="R128" s="28">
        <f t="shared" si="32"/>
        <v>36038.129000000001</v>
      </c>
      <c r="S128" s="96"/>
      <c r="T128" s="24">
        <f t="shared" si="33"/>
        <v>1.3190306962241861E-6</v>
      </c>
      <c r="U128" s="24">
        <v>0.1</v>
      </c>
      <c r="V128" s="24">
        <f t="shared" si="36"/>
        <v>1.319030696224186E-7</v>
      </c>
      <c r="W128" s="27">
        <f t="shared" si="37"/>
        <v>-1.1484906165155143E-3</v>
      </c>
      <c r="X128" s="24" t="e">
        <v>#N/A</v>
      </c>
    </row>
    <row r="129" spans="1:24" x14ac:dyDescent="0.2">
      <c r="A129" s="36" t="s">
        <v>83</v>
      </c>
      <c r="B129" s="77"/>
      <c r="C129" s="32">
        <v>51600.644800000002</v>
      </c>
      <c r="D129" s="32"/>
      <c r="E129" s="26">
        <f t="shared" si="29"/>
        <v>24974.100233924659</v>
      </c>
      <c r="F129" s="24">
        <f t="shared" si="30"/>
        <v>24974</v>
      </c>
      <c r="G129" s="27"/>
      <c r="H129" s="27"/>
      <c r="I129" s="27"/>
      <c r="J129" s="27"/>
      <c r="K129" s="24"/>
      <c r="L129" s="27"/>
      <c r="M129" s="27"/>
      <c r="N129" s="27"/>
      <c r="P129" s="106"/>
      <c r="Q129" s="27">
        <f t="shared" si="31"/>
        <v>2.4979631512148555E-2</v>
      </c>
      <c r="R129" s="28">
        <f t="shared" si="32"/>
        <v>36582.144800000002</v>
      </c>
      <c r="S129" s="31">
        <v>9.9211730048409663E-3</v>
      </c>
      <c r="T129" s="24">
        <f t="shared" si="33"/>
        <v>6.2398199048272515E-4</v>
      </c>
      <c r="U129" s="24"/>
      <c r="V129" s="24"/>
      <c r="W129" s="27"/>
      <c r="X129" s="24" t="e">
        <v>#N/A</v>
      </c>
    </row>
    <row r="130" spans="1:24" x14ac:dyDescent="0.2">
      <c r="A130" s="32" t="s">
        <v>85</v>
      </c>
      <c r="B130" s="77"/>
      <c r="C130" s="32">
        <v>51636.342299999997</v>
      </c>
      <c r="D130" s="32"/>
      <c r="E130" s="26">
        <f t="shared" si="29"/>
        <v>25076.073946231398</v>
      </c>
      <c r="F130" s="24">
        <f t="shared" si="30"/>
        <v>25076</v>
      </c>
      <c r="G130" s="27">
        <f t="shared" ref="G130:G140" si="38">+C130-(C$7+F130*C$8)</f>
        <v>2.5886039999022614E-2</v>
      </c>
      <c r="H130" s="27"/>
      <c r="I130" s="27"/>
      <c r="J130" s="27"/>
      <c r="K130" s="27">
        <f t="shared" ref="K130:K136" si="39">+G130</f>
        <v>2.5886039999022614E-2</v>
      </c>
      <c r="L130" s="31">
        <f>G130</f>
        <v>2.5886039999022614E-2</v>
      </c>
      <c r="M130" s="27"/>
      <c r="N130" s="27"/>
      <c r="P130" s="106">
        <f ca="1">+C$11+C$12*$F130</f>
        <v>2.4802107308227954E-2</v>
      </c>
      <c r="Q130" s="27">
        <f t="shared" si="31"/>
        <v>2.5143147282978458E-2</v>
      </c>
      <c r="R130" s="28">
        <f t="shared" si="32"/>
        <v>36617.842299999997</v>
      </c>
      <c r="S130" s="96"/>
      <c r="T130" s="24">
        <f t="shared" si="33"/>
        <v>5.5188958755146364E-7</v>
      </c>
      <c r="U130" s="24">
        <v>1</v>
      </c>
      <c r="V130" s="24">
        <f t="shared" ref="V130:V140" si="40">+U130*T130</f>
        <v>5.5188958755146364E-7</v>
      </c>
      <c r="W130" s="27">
        <f t="shared" ref="W130:W140" si="41">+G130-Q130</f>
        <v>7.4289271604415646E-4</v>
      </c>
      <c r="X130" s="24" t="s">
        <v>190</v>
      </c>
    </row>
    <row r="131" spans="1:24" s="24" customFormat="1" x14ac:dyDescent="0.2">
      <c r="A131" s="32" t="s">
        <v>97</v>
      </c>
      <c r="B131" s="77" t="s">
        <v>53</v>
      </c>
      <c r="C131" s="32">
        <v>52119.441200000001</v>
      </c>
      <c r="D131" s="32" t="s">
        <v>96</v>
      </c>
      <c r="E131" s="98">
        <f t="shared" si="29"/>
        <v>26456.097428108573</v>
      </c>
      <c r="F131" s="24">
        <f t="shared" si="30"/>
        <v>26456</v>
      </c>
      <c r="G131" s="27">
        <f t="shared" si="38"/>
        <v>3.4106240003893618E-2</v>
      </c>
      <c r="H131" s="27"/>
      <c r="I131" s="27"/>
      <c r="J131" s="27"/>
      <c r="K131" s="27">
        <f t="shared" si="39"/>
        <v>3.4106240003893618E-2</v>
      </c>
      <c r="L131" s="27"/>
      <c r="M131" s="27"/>
      <c r="N131" s="12"/>
      <c r="O131" s="12"/>
      <c r="P131" s="106"/>
      <c r="Q131" s="27">
        <f t="shared" si="31"/>
        <v>2.7404588977240192E-2</v>
      </c>
      <c r="R131" s="28">
        <f t="shared" si="32"/>
        <v>37100.941200000001</v>
      </c>
      <c r="S131" s="96"/>
      <c r="T131" s="24">
        <f t="shared" si="33"/>
        <v>4.491212648304491E-5</v>
      </c>
      <c r="U131" s="24">
        <v>1</v>
      </c>
      <c r="V131" s="24">
        <f t="shared" si="40"/>
        <v>4.491212648304491E-5</v>
      </c>
      <c r="W131" s="27">
        <f t="shared" si="41"/>
        <v>6.7016510266534254E-3</v>
      </c>
      <c r="X131" s="24" t="e">
        <v>#N/A</v>
      </c>
    </row>
    <row r="132" spans="1:24" s="24" customFormat="1" x14ac:dyDescent="0.2">
      <c r="A132" s="33" t="s">
        <v>87</v>
      </c>
      <c r="B132" s="34" t="s">
        <v>53</v>
      </c>
      <c r="C132" s="35">
        <v>52717.002999999997</v>
      </c>
      <c r="D132" s="32">
        <v>1E-4</v>
      </c>
      <c r="E132" s="98">
        <f t="shared" si="29"/>
        <v>28163.096379819654</v>
      </c>
      <c r="F132" s="24">
        <f t="shared" si="30"/>
        <v>28163</v>
      </c>
      <c r="G132" s="27">
        <f t="shared" si="38"/>
        <v>3.373926999483956E-2</v>
      </c>
      <c r="H132" s="27"/>
      <c r="I132" s="27"/>
      <c r="J132" s="27"/>
      <c r="K132" s="27">
        <f t="shared" si="39"/>
        <v>3.373926999483956E-2</v>
      </c>
      <c r="L132" s="31">
        <f>G132</f>
        <v>3.373926999483956E-2</v>
      </c>
      <c r="M132" s="27"/>
      <c r="N132" s="27"/>
      <c r="O132" s="12"/>
      <c r="P132" s="106">
        <f ca="1">+C$11+C$12*$F132</f>
        <v>3.0820424293661677E-2</v>
      </c>
      <c r="Q132" s="27">
        <f t="shared" si="31"/>
        <v>3.0328582956694997E-2</v>
      </c>
      <c r="R132" s="28">
        <f t="shared" si="32"/>
        <v>37698.502999999997</v>
      </c>
      <c r="S132" s="96"/>
      <c r="T132" s="24">
        <f t="shared" si="33"/>
        <v>1.1632786072167331E-5</v>
      </c>
      <c r="U132" s="24">
        <v>1</v>
      </c>
      <c r="V132" s="24">
        <f t="shared" si="40"/>
        <v>1.1632786072167331E-5</v>
      </c>
      <c r="W132" s="27">
        <f t="shared" si="41"/>
        <v>3.4106870381445629E-3</v>
      </c>
      <c r="X132" s="24" t="s">
        <v>245</v>
      </c>
    </row>
    <row r="133" spans="1:24" x14ac:dyDescent="0.2">
      <c r="A133" s="33" t="s">
        <v>87</v>
      </c>
      <c r="B133" s="34" t="s">
        <v>48</v>
      </c>
      <c r="C133" s="35">
        <v>52717.178399999997</v>
      </c>
      <c r="D133" s="32">
        <v>1E-4</v>
      </c>
      <c r="E133" s="98">
        <f t="shared" si="29"/>
        <v>28163.597428608467</v>
      </c>
      <c r="F133" s="24">
        <f t="shared" si="30"/>
        <v>28163.5</v>
      </c>
      <c r="G133" s="27">
        <f t="shared" si="38"/>
        <v>3.4106414997950196E-2</v>
      </c>
      <c r="H133" s="27"/>
      <c r="I133" s="27"/>
      <c r="J133" s="27"/>
      <c r="K133" s="27">
        <f t="shared" si="39"/>
        <v>3.4106414997950196E-2</v>
      </c>
      <c r="L133" s="31">
        <f>G133</f>
        <v>3.4106414997950196E-2</v>
      </c>
      <c r="M133" s="27"/>
      <c r="N133" s="27"/>
      <c r="P133" s="106">
        <f ca="1">+C$11+C$12*$F133</f>
        <v>3.0821399077753907E-2</v>
      </c>
      <c r="Q133" s="27">
        <f t="shared" si="31"/>
        <v>3.0329459954035524E-2</v>
      </c>
      <c r="R133" s="28">
        <f t="shared" si="32"/>
        <v>37698.678399999997</v>
      </c>
      <c r="S133" s="96"/>
      <c r="T133" s="24">
        <f t="shared" si="33"/>
        <v>1.4265389403752485E-5</v>
      </c>
      <c r="U133" s="24">
        <v>1</v>
      </c>
      <c r="V133" s="24">
        <f t="shared" si="40"/>
        <v>1.4265389403752485E-5</v>
      </c>
      <c r="W133" s="27">
        <f t="shared" si="41"/>
        <v>3.7769550439146725E-3</v>
      </c>
      <c r="X133" s="24" t="s">
        <v>245</v>
      </c>
    </row>
    <row r="134" spans="1:24" x14ac:dyDescent="0.2">
      <c r="A134" s="36" t="s">
        <v>58</v>
      </c>
      <c r="B134" s="34" t="s">
        <v>48</v>
      </c>
      <c r="C134" s="35">
        <v>52729.781999999999</v>
      </c>
      <c r="D134" s="35">
        <v>2.0000000000000001E-4</v>
      </c>
      <c r="E134" s="98">
        <f t="shared" si="29"/>
        <v>28199.600954917863</v>
      </c>
      <c r="F134" s="24">
        <f t="shared" si="30"/>
        <v>28199.5</v>
      </c>
      <c r="G134" s="27">
        <f t="shared" si="38"/>
        <v>3.5340854999958538E-2</v>
      </c>
      <c r="H134" s="27"/>
      <c r="I134" s="27"/>
      <c r="J134" s="27"/>
      <c r="K134" s="27">
        <f t="shared" si="39"/>
        <v>3.5340854999958538E-2</v>
      </c>
      <c r="L134" s="31">
        <f>G134</f>
        <v>3.5340854999958538E-2</v>
      </c>
      <c r="M134" s="27"/>
      <c r="N134" s="27"/>
      <c r="P134" s="106">
        <f ca="1">+C$11+C$12*$F134</f>
        <v>3.0891583532394531E-2</v>
      </c>
      <c r="Q134" s="27">
        <f t="shared" si="31"/>
        <v>3.0392635353589905E-2</v>
      </c>
      <c r="R134" s="28">
        <f t="shared" si="32"/>
        <v>37711.281999999999</v>
      </c>
      <c r="S134" s="96"/>
      <c r="T134" s="24">
        <f t="shared" si="33"/>
        <v>2.4484877668708514E-5</v>
      </c>
      <c r="U134" s="24">
        <v>1</v>
      </c>
      <c r="V134" s="24">
        <f t="shared" si="40"/>
        <v>2.4484877668708514E-5</v>
      </c>
      <c r="W134" s="27">
        <f t="shared" si="41"/>
        <v>4.9482196463686325E-3</v>
      </c>
      <c r="X134" s="24" t="s">
        <v>245</v>
      </c>
    </row>
    <row r="135" spans="1:24" x14ac:dyDescent="0.2">
      <c r="A135" s="37" t="s">
        <v>86</v>
      </c>
      <c r="B135" s="77" t="s">
        <v>48</v>
      </c>
      <c r="C135" s="32">
        <v>53092.451399999998</v>
      </c>
      <c r="D135" s="32">
        <v>1E-4</v>
      </c>
      <c r="E135" s="98">
        <f t="shared" si="29"/>
        <v>29235.604738321839</v>
      </c>
      <c r="F135" s="24">
        <f t="shared" si="30"/>
        <v>29235.5</v>
      </c>
      <c r="G135" s="27">
        <f t="shared" si="38"/>
        <v>3.6665294996055309E-2</v>
      </c>
      <c r="H135" s="27"/>
      <c r="I135" s="27"/>
      <c r="J135" s="27"/>
      <c r="K135" s="27">
        <f t="shared" si="39"/>
        <v>3.6665294996055309E-2</v>
      </c>
      <c r="L135" s="31">
        <f>G135</f>
        <v>3.6665294996055309E-2</v>
      </c>
      <c r="M135" s="27"/>
      <c r="N135" s="27"/>
      <c r="P135" s="106">
        <f ca="1">+C$11+C$12*$F135</f>
        <v>3.2911336171497003E-2</v>
      </c>
      <c r="Q135" s="27">
        <f t="shared" si="31"/>
        <v>3.223738368767478E-2</v>
      </c>
      <c r="R135" s="28">
        <f t="shared" si="32"/>
        <v>38073.951399999998</v>
      </c>
      <c r="S135" s="96"/>
      <c r="T135" s="24">
        <f t="shared" si="33"/>
        <v>1.9606398554884169E-5</v>
      </c>
      <c r="U135" s="24">
        <v>1</v>
      </c>
      <c r="V135" s="24">
        <f t="shared" si="40"/>
        <v>1.9606398554884169E-5</v>
      </c>
      <c r="W135" s="27">
        <f t="shared" si="41"/>
        <v>4.4279113083805291E-3</v>
      </c>
      <c r="X135" s="24" t="s">
        <v>190</v>
      </c>
    </row>
    <row r="136" spans="1:24" s="24" customFormat="1" x14ac:dyDescent="0.2">
      <c r="A136" s="37" t="s">
        <v>86</v>
      </c>
      <c r="B136" s="77" t="s">
        <v>48</v>
      </c>
      <c r="C136" s="32">
        <v>53099.450700000001</v>
      </c>
      <c r="D136" s="32">
        <v>2.0000000000000001E-4</v>
      </c>
      <c r="E136" s="98">
        <f t="shared" si="29"/>
        <v>29255.598984544933</v>
      </c>
      <c r="F136" s="24">
        <f t="shared" si="30"/>
        <v>29255.5</v>
      </c>
      <c r="G136" s="27">
        <f t="shared" si="38"/>
        <v>3.4651095003937371E-2</v>
      </c>
      <c r="H136" s="27"/>
      <c r="I136" s="27"/>
      <c r="J136" s="27"/>
      <c r="K136" s="27">
        <f t="shared" si="39"/>
        <v>3.4651095003937371E-2</v>
      </c>
      <c r="L136" s="31">
        <f>G136</f>
        <v>3.4651095003937371E-2</v>
      </c>
      <c r="M136" s="27"/>
      <c r="N136" s="27"/>
      <c r="O136" s="12"/>
      <c r="P136" s="106">
        <f ca="1">+C$11+C$12*$F136</f>
        <v>3.2950327535186244E-2</v>
      </c>
      <c r="Q136" s="27">
        <f t="shared" si="31"/>
        <v>3.2273504354479648E-2</v>
      </c>
      <c r="R136" s="28">
        <f t="shared" si="32"/>
        <v>38080.950700000001</v>
      </c>
      <c r="S136" s="96"/>
      <c r="T136" s="24">
        <f t="shared" si="33"/>
        <v>5.6529372963887952E-6</v>
      </c>
      <c r="U136" s="24">
        <v>1</v>
      </c>
      <c r="V136" s="24">
        <f t="shared" si="40"/>
        <v>5.6529372963887952E-6</v>
      </c>
      <c r="W136" s="27">
        <f t="shared" si="41"/>
        <v>2.3775906494577226E-3</v>
      </c>
      <c r="X136" s="24" t="s">
        <v>190</v>
      </c>
    </row>
    <row r="137" spans="1:24" x14ac:dyDescent="0.2">
      <c r="A137" s="37" t="s">
        <v>192</v>
      </c>
      <c r="B137" s="77"/>
      <c r="C137" s="32">
        <v>53172.089699999997</v>
      </c>
      <c r="D137" s="32"/>
      <c r="E137" s="26">
        <f t="shared" si="29"/>
        <v>29463.100027706219</v>
      </c>
      <c r="F137" s="24">
        <f t="shared" si="30"/>
        <v>29463</v>
      </c>
      <c r="G137" s="27">
        <f t="shared" si="38"/>
        <v>3.5016269997868221E-2</v>
      </c>
      <c r="H137" s="27"/>
      <c r="I137" s="27"/>
      <c r="J137" s="27"/>
      <c r="K137" s="27">
        <f>G137</f>
        <v>3.5016269997868221E-2</v>
      </c>
      <c r="L137" s="27"/>
      <c r="M137" s="27"/>
      <c r="N137" s="27"/>
      <c r="P137" s="106"/>
      <c r="Q137" s="27">
        <f t="shared" si="31"/>
        <v>3.2649391199794493E-2</v>
      </c>
      <c r="R137" s="28">
        <f t="shared" si="32"/>
        <v>38153.589699999997</v>
      </c>
      <c r="S137" s="96"/>
      <c r="T137" s="24">
        <f t="shared" si="33"/>
        <v>5.6021152447709354E-6</v>
      </c>
      <c r="U137" s="24">
        <v>1</v>
      </c>
      <c r="V137" s="24">
        <f t="shared" si="40"/>
        <v>5.6021152447709354E-6</v>
      </c>
      <c r="W137" s="27">
        <f t="shared" si="41"/>
        <v>2.366878798073728E-3</v>
      </c>
      <c r="X137" s="24" t="e">
        <v>#N/A</v>
      </c>
    </row>
    <row r="138" spans="1:24" s="24" customFormat="1" x14ac:dyDescent="0.2">
      <c r="A138" s="32" t="s">
        <v>97</v>
      </c>
      <c r="B138" s="77" t="s">
        <v>53</v>
      </c>
      <c r="C138" s="32">
        <v>53228.442990000003</v>
      </c>
      <c r="D138" s="32" t="s">
        <v>96</v>
      </c>
      <c r="E138" s="98">
        <f t="shared" si="29"/>
        <v>29624.079205015547</v>
      </c>
      <c r="F138" s="24">
        <f t="shared" si="30"/>
        <v>29624</v>
      </c>
      <c r="G138" s="27">
        <f t="shared" si="38"/>
        <v>2.7726960004656576E-2</v>
      </c>
      <c r="H138" s="27"/>
      <c r="I138" s="27"/>
      <c r="J138" s="27"/>
      <c r="K138" s="27">
        <f>+G138</f>
        <v>2.7726960004656576E-2</v>
      </c>
      <c r="L138" s="27"/>
      <c r="M138" s="27"/>
      <c r="N138" s="12"/>
      <c r="O138" s="12"/>
      <c r="P138" s="106"/>
      <c r="Q138" s="27">
        <f t="shared" si="31"/>
        <v>3.2942469530651108E-2</v>
      </c>
      <c r="R138" s="28">
        <f t="shared" si="32"/>
        <v>38209.942990000003</v>
      </c>
      <c r="S138" s="96"/>
      <c r="T138" s="24">
        <f t="shared" si="33"/>
        <v>2.7201539615739715E-5</v>
      </c>
      <c r="U138" s="24">
        <v>1</v>
      </c>
      <c r="V138" s="24">
        <f t="shared" si="40"/>
        <v>2.7201539615739715E-5</v>
      </c>
      <c r="W138" s="27">
        <f t="shared" si="41"/>
        <v>-5.2155095259945328E-3</v>
      </c>
      <c r="X138" s="24" t="e">
        <v>#N/A</v>
      </c>
    </row>
    <row r="139" spans="1:24" x14ac:dyDescent="0.2">
      <c r="A139" s="32" t="s">
        <v>97</v>
      </c>
      <c r="B139" s="77" t="s">
        <v>53</v>
      </c>
      <c r="C139" s="32">
        <v>53228.453410000002</v>
      </c>
      <c r="D139" s="32" t="s">
        <v>96</v>
      </c>
      <c r="E139" s="98">
        <f t="shared" si="29"/>
        <v>29624.108970855792</v>
      </c>
      <c r="F139" s="24">
        <f t="shared" si="30"/>
        <v>29624</v>
      </c>
      <c r="G139" s="27">
        <f t="shared" si="38"/>
        <v>3.8146960003359709E-2</v>
      </c>
      <c r="H139" s="27"/>
      <c r="I139" s="27"/>
      <c r="J139" s="27"/>
      <c r="K139" s="27">
        <f>+G139</f>
        <v>3.8146960003359709E-2</v>
      </c>
      <c r="L139" s="27"/>
      <c r="M139" s="27"/>
      <c r="P139" s="106"/>
      <c r="Q139" s="27">
        <f t="shared" si="31"/>
        <v>3.2942469530651108E-2</v>
      </c>
      <c r="R139" s="28">
        <f t="shared" si="32"/>
        <v>38209.953410000002</v>
      </c>
      <c r="S139" s="96"/>
      <c r="T139" s="24">
        <f t="shared" si="33"/>
        <v>2.7086721080514592E-5</v>
      </c>
      <c r="U139" s="24">
        <v>1</v>
      </c>
      <c r="V139" s="24">
        <f t="shared" si="40"/>
        <v>2.7086721080514592E-5</v>
      </c>
      <c r="W139" s="27">
        <f t="shared" si="41"/>
        <v>5.2044904727086005E-3</v>
      </c>
      <c r="X139" s="24" t="e">
        <v>#N/A</v>
      </c>
    </row>
    <row r="140" spans="1:24" x14ac:dyDescent="0.2">
      <c r="A140" s="37" t="s">
        <v>192</v>
      </c>
      <c r="B140" s="77"/>
      <c r="C140" s="32">
        <v>53425.1898</v>
      </c>
      <c r="D140" s="32"/>
      <c r="E140" s="26">
        <f t="shared" si="29"/>
        <v>30186.107431087723</v>
      </c>
      <c r="F140" s="24">
        <f t="shared" si="30"/>
        <v>30186</v>
      </c>
      <c r="G140" s="27">
        <f t="shared" si="38"/>
        <v>3.7607940001180395E-2</v>
      </c>
      <c r="H140" s="27"/>
      <c r="I140" s="27"/>
      <c r="J140" s="27"/>
      <c r="K140" s="27">
        <f>G140</f>
        <v>3.7607940001180395E-2</v>
      </c>
      <c r="L140" s="27"/>
      <c r="M140" s="27"/>
      <c r="N140" s="27"/>
      <c r="P140" s="106"/>
      <c r="Q140" s="27">
        <f t="shared" si="31"/>
        <v>3.397528198799054E-2</v>
      </c>
      <c r="R140" s="28">
        <f t="shared" si="32"/>
        <v>38406.6898</v>
      </c>
      <c r="S140" s="96"/>
      <c r="T140" s="24">
        <f t="shared" si="33"/>
        <v>1.3196204240792471E-5</v>
      </c>
      <c r="U140" s="24">
        <v>1</v>
      </c>
      <c r="V140" s="24">
        <f t="shared" si="40"/>
        <v>1.3196204240792471E-5</v>
      </c>
      <c r="W140" s="27">
        <f t="shared" si="41"/>
        <v>3.6326580131898559E-3</v>
      </c>
      <c r="X140" s="24" t="e">
        <v>#N/A</v>
      </c>
    </row>
    <row r="141" spans="1:24" x14ac:dyDescent="0.2">
      <c r="A141" s="32" t="s">
        <v>97</v>
      </c>
      <c r="B141" s="77" t="s">
        <v>53</v>
      </c>
      <c r="C141" s="32">
        <v>53619.451359999999</v>
      </c>
      <c r="D141" s="32" t="s">
        <v>98</v>
      </c>
      <c r="E141" s="98">
        <f t="shared" si="29"/>
        <v>30741.036275732346</v>
      </c>
      <c r="F141" s="24">
        <f t="shared" si="30"/>
        <v>30741</v>
      </c>
      <c r="H141" s="27"/>
      <c r="I141" s="27"/>
      <c r="J141" s="27"/>
      <c r="K141" s="27"/>
      <c r="L141" s="27"/>
      <c r="M141" s="27"/>
      <c r="P141" s="106"/>
      <c r="Q141" s="27">
        <f t="shared" si="31"/>
        <v>3.5010134638948941E-2</v>
      </c>
      <c r="R141" s="28">
        <f t="shared" si="32"/>
        <v>38600.951359999999</v>
      </c>
      <c r="S141" s="27">
        <f>+C141-(C$7+F141*C$8)</f>
        <v>1.2698890001047403E-2</v>
      </c>
      <c r="T141" s="24">
        <f t="shared" si="33"/>
        <v>1.2257095274373325E-3</v>
      </c>
      <c r="U141" s="24"/>
      <c r="V141" s="24"/>
      <c r="W141" s="27"/>
      <c r="X141" s="24" t="e">
        <v>#N/A</v>
      </c>
    </row>
    <row r="142" spans="1:24" x14ac:dyDescent="0.2">
      <c r="A142" s="32" t="s">
        <v>97</v>
      </c>
      <c r="B142" s="77" t="s">
        <v>53</v>
      </c>
      <c r="C142" s="32">
        <v>53621.491000000002</v>
      </c>
      <c r="D142" s="32" t="s">
        <v>98</v>
      </c>
      <c r="E142" s="98">
        <f t="shared" si="29"/>
        <v>30746.862724715316</v>
      </c>
      <c r="F142" s="24">
        <f t="shared" si="30"/>
        <v>30747</v>
      </c>
      <c r="G142" s="27"/>
      <c r="H142" s="27"/>
      <c r="I142" s="27"/>
      <c r="J142" s="27"/>
      <c r="K142" s="27"/>
      <c r="L142" s="27"/>
      <c r="M142" s="27"/>
      <c r="P142" s="106"/>
      <c r="Q142" s="27">
        <f t="shared" si="31"/>
        <v>3.5021403160159031E-2</v>
      </c>
      <c r="R142" s="28">
        <f t="shared" si="32"/>
        <v>38602.991000000002</v>
      </c>
      <c r="S142" s="97">
        <v>-8.6056035994261038E-2</v>
      </c>
      <c r="T142" s="24">
        <f t="shared" si="33"/>
        <v>1.2264986793063971E-3</v>
      </c>
      <c r="U142" s="24"/>
      <c r="V142" s="24"/>
      <c r="W142" s="27"/>
      <c r="X142" s="24" t="e">
        <v>#N/A</v>
      </c>
    </row>
    <row r="143" spans="1:24" x14ac:dyDescent="0.2">
      <c r="A143" s="32" t="s">
        <v>97</v>
      </c>
      <c r="B143" s="77" t="s">
        <v>53</v>
      </c>
      <c r="C143" s="32">
        <v>53632.508629999997</v>
      </c>
      <c r="D143" s="32" t="s">
        <v>99</v>
      </c>
      <c r="E143" s="98">
        <f t="shared" si="29"/>
        <v>30778.335758735117</v>
      </c>
      <c r="F143" s="24">
        <f t="shared" si="30"/>
        <v>30778.5</v>
      </c>
      <c r="G143" s="27"/>
      <c r="H143" s="27"/>
      <c r="I143" s="27"/>
      <c r="J143" s="27"/>
      <c r="K143" s="27"/>
      <c r="L143" s="27"/>
      <c r="M143" s="27"/>
      <c r="P143" s="106"/>
      <c r="Q143" s="27">
        <f t="shared" si="31"/>
        <v>3.50805912959882E-2</v>
      </c>
      <c r="R143" s="28">
        <f t="shared" si="32"/>
        <v>38614.008629999997</v>
      </c>
      <c r="S143" s="97">
        <v>7.9468040996289346E-2</v>
      </c>
      <c r="T143" s="24">
        <f t="shared" si="33"/>
        <v>1.2306478856761631E-3</v>
      </c>
      <c r="U143" s="24"/>
      <c r="V143" s="24"/>
      <c r="W143" s="27"/>
      <c r="X143" s="24" t="e">
        <v>#N/A</v>
      </c>
    </row>
    <row r="144" spans="1:24" x14ac:dyDescent="0.2">
      <c r="A144" s="78" t="s">
        <v>89</v>
      </c>
      <c r="B144" s="79"/>
      <c r="C144" s="32">
        <v>53634.357799999998</v>
      </c>
      <c r="D144" s="32">
        <v>1.6999999999999999E-3</v>
      </c>
      <c r="E144" s="98">
        <f t="shared" si="29"/>
        <v>30783.618109868567</v>
      </c>
      <c r="F144" s="24">
        <f t="shared" si="30"/>
        <v>30783.5</v>
      </c>
      <c r="G144" s="27">
        <f>+C144-(C$7+F144*C$8)</f>
        <v>4.1346215002704412E-2</v>
      </c>
      <c r="H144" s="27"/>
      <c r="I144" s="27"/>
      <c r="J144" s="27"/>
      <c r="K144" s="27">
        <f>+G144</f>
        <v>4.1346215002704412E-2</v>
      </c>
      <c r="L144" s="27"/>
      <c r="M144" s="27"/>
      <c r="N144" s="27"/>
      <c r="P144" s="106">
        <f ca="1">+C$11+C$12*$F144</f>
        <v>3.5929267721043941E-2</v>
      </c>
      <c r="Q144" s="27">
        <f t="shared" si="31"/>
        <v>3.5089990625827239E-2</v>
      </c>
      <c r="R144" s="28">
        <f t="shared" si="32"/>
        <v>38615.857799999998</v>
      </c>
      <c r="S144" s="96"/>
      <c r="T144" s="24">
        <f t="shared" si="33"/>
        <v>3.9140343453832169E-5</v>
      </c>
      <c r="U144" s="24">
        <v>1</v>
      </c>
      <c r="V144" s="24">
        <f>+U144*T144</f>
        <v>3.9140343453832169E-5</v>
      </c>
      <c r="W144" s="27">
        <f>+G144-Q144</f>
        <v>6.256224376877173E-3</v>
      </c>
      <c r="X144" s="24" t="e">
        <v>#N/A</v>
      </c>
    </row>
    <row r="145" spans="1:24" x14ac:dyDescent="0.2">
      <c r="A145" s="78" t="s">
        <v>89</v>
      </c>
      <c r="B145" s="79"/>
      <c r="C145" s="32">
        <v>53634.521999999997</v>
      </c>
      <c r="D145" s="32">
        <v>2.2000000000000001E-3</v>
      </c>
      <c r="E145" s="98">
        <f t="shared" si="29"/>
        <v>30784.087164664023</v>
      </c>
      <c r="F145" s="24">
        <f t="shared" si="30"/>
        <v>30784</v>
      </c>
      <c r="G145" s="27">
        <f>+C145-(C$7+F145*C$8)</f>
        <v>3.0513359997712541E-2</v>
      </c>
      <c r="H145" s="27"/>
      <c r="I145" s="27"/>
      <c r="J145" s="27"/>
      <c r="K145" s="27">
        <f>+G145</f>
        <v>3.0513359997712541E-2</v>
      </c>
      <c r="L145" s="27"/>
      <c r="M145" s="27"/>
      <c r="N145" s="27"/>
      <c r="P145" s="106">
        <f ca="1">+C$11+C$12*$F145</f>
        <v>3.593024250513617E-2</v>
      </c>
      <c r="Q145" s="27">
        <f t="shared" si="31"/>
        <v>3.5090930624926332E-2</v>
      </c>
      <c r="R145" s="28">
        <f t="shared" si="32"/>
        <v>38616.021999999997</v>
      </c>
      <c r="S145" s="96"/>
      <c r="T145" s="24">
        <f t="shared" si="33"/>
        <v>2.095415284713046E-5</v>
      </c>
      <c r="U145" s="24">
        <v>1</v>
      </c>
      <c r="V145" s="24">
        <f>+U145*T145</f>
        <v>2.095415284713046E-5</v>
      </c>
      <c r="W145" s="27">
        <f>+G145-Q145</f>
        <v>-4.5775706272137909E-3</v>
      </c>
      <c r="X145" s="24" t="e">
        <v>#N/A</v>
      </c>
    </row>
    <row r="146" spans="1:24" s="24" customFormat="1" x14ac:dyDescent="0.2">
      <c r="A146" s="32" t="s">
        <v>97</v>
      </c>
      <c r="B146" s="77" t="s">
        <v>53</v>
      </c>
      <c r="C146" s="32">
        <v>53654.52405</v>
      </c>
      <c r="D146" s="32" t="s">
        <v>99</v>
      </c>
      <c r="E146" s="98">
        <f t="shared" si="29"/>
        <v>30841.225151700804</v>
      </c>
      <c r="F146" s="24">
        <f t="shared" si="30"/>
        <v>30841</v>
      </c>
      <c r="G146" s="27"/>
      <c r="H146" s="27"/>
      <c r="I146" s="27"/>
      <c r="J146" s="27"/>
      <c r="K146" s="27"/>
      <c r="L146" s="27"/>
      <c r="M146" s="27"/>
      <c r="N146" s="12"/>
      <c r="O146" s="12"/>
      <c r="P146" s="106"/>
      <c r="Q146" s="27">
        <f t="shared" si="31"/>
        <v>3.519816931949897E-2</v>
      </c>
      <c r="R146" s="28">
        <f t="shared" si="32"/>
        <v>38636.02405</v>
      </c>
      <c r="S146" s="97">
        <v>4.060826200293377E-2</v>
      </c>
      <c r="T146" s="24">
        <f t="shared" si="33"/>
        <v>1.2389111234441185E-3</v>
      </c>
      <c r="W146" s="27"/>
      <c r="X146" s="24" t="e">
        <v>#N/A</v>
      </c>
    </row>
    <row r="147" spans="1:24" x14ac:dyDescent="0.2">
      <c r="A147" s="32" t="s">
        <v>97</v>
      </c>
      <c r="B147" s="77" t="s">
        <v>53</v>
      </c>
      <c r="C147" s="32">
        <v>53655.339330000003</v>
      </c>
      <c r="D147" s="32" t="s">
        <v>98</v>
      </c>
      <c r="E147" s="98">
        <f t="shared" si="29"/>
        <v>30843.554085888627</v>
      </c>
      <c r="F147" s="24">
        <f t="shared" si="30"/>
        <v>30843.5</v>
      </c>
      <c r="G147" s="27">
        <f>+C147-(C$7+F147*C$8)</f>
        <v>1.8933615006972104E-2</v>
      </c>
      <c r="H147" s="27"/>
      <c r="I147" s="27"/>
      <c r="J147" s="27"/>
      <c r="K147" s="27">
        <f>+G147</f>
        <v>1.8933615006972104E-2</v>
      </c>
      <c r="L147" s="27"/>
      <c r="M147" s="27"/>
      <c r="P147" s="106"/>
      <c r="Q147" s="27">
        <f t="shared" si="31"/>
        <v>3.5202876347245643E-2</v>
      </c>
      <c r="R147" s="28">
        <f t="shared" si="32"/>
        <v>38636.839330000003</v>
      </c>
      <c r="S147" s="96"/>
      <c r="T147" s="24">
        <f t="shared" si="33"/>
        <v>2.6468886455811912E-4</v>
      </c>
      <c r="U147" s="24">
        <v>1</v>
      </c>
      <c r="V147" s="24">
        <f>+U147*T147</f>
        <v>2.6468886455811912E-4</v>
      </c>
      <c r="W147" s="27">
        <f>+G147-Q147</f>
        <v>-1.6269261340273539E-2</v>
      </c>
      <c r="X147" s="24" t="e">
        <v>#N/A</v>
      </c>
    </row>
    <row r="148" spans="1:24" x14ac:dyDescent="0.2">
      <c r="A148" s="32" t="s">
        <v>97</v>
      </c>
      <c r="B148" s="77" t="s">
        <v>53</v>
      </c>
      <c r="C148" s="32">
        <v>53750.400199999996</v>
      </c>
      <c r="D148" s="32">
        <v>2.0000000000000001E-4</v>
      </c>
      <c r="E148" s="98">
        <f t="shared" si="29"/>
        <v>31115.105589747698</v>
      </c>
      <c r="F148" s="24">
        <f t="shared" si="30"/>
        <v>31115</v>
      </c>
      <c r="G148" s="27">
        <f>+C148-(C$7+F148*C$8)</f>
        <v>3.6963349994039163E-2</v>
      </c>
      <c r="H148" s="27"/>
      <c r="I148" s="27"/>
      <c r="J148" s="27"/>
      <c r="K148" s="27">
        <f>+G148</f>
        <v>3.6963349994039163E-2</v>
      </c>
      <c r="L148" s="27"/>
      <c r="M148" s="27"/>
      <c r="P148" s="106"/>
      <c r="Q148" s="27">
        <f t="shared" si="31"/>
        <v>3.5715848060370925E-2</v>
      </c>
      <c r="R148" s="28">
        <f t="shared" si="32"/>
        <v>38731.900199999996</v>
      </c>
      <c r="S148" s="96"/>
      <c r="T148" s="24">
        <f t="shared" si="33"/>
        <v>1.556261074505993E-6</v>
      </c>
      <c r="U148" s="24">
        <v>1</v>
      </c>
      <c r="V148" s="24">
        <f>+U148*T148</f>
        <v>1.556261074505993E-6</v>
      </c>
      <c r="W148" s="27">
        <f>+G148-Q148</f>
        <v>1.247501933668238E-3</v>
      </c>
      <c r="X148" s="24" t="e">
        <v>#N/A</v>
      </c>
    </row>
    <row r="149" spans="1:24" x14ac:dyDescent="0.2">
      <c r="A149" s="80" t="s">
        <v>92</v>
      </c>
      <c r="B149" s="36"/>
      <c r="C149" s="32">
        <v>54220.736700000001</v>
      </c>
      <c r="D149" s="32">
        <v>2.0000000000000001E-4</v>
      </c>
      <c r="E149" s="98">
        <f t="shared" ref="E149:E177" si="42">+(C149-C$7)/C$8</f>
        <v>32458.671916195395</v>
      </c>
      <c r="F149" s="24">
        <f t="shared" ref="F149:F177" si="43">ROUND(2*E149,0)/2</f>
        <v>32458.5</v>
      </c>
      <c r="G149" s="27"/>
      <c r="H149" s="27"/>
      <c r="I149" s="27"/>
      <c r="J149" s="27"/>
      <c r="K149" s="27"/>
      <c r="L149" s="27"/>
      <c r="M149" s="27"/>
      <c r="N149" s="27"/>
      <c r="P149" s="106">
        <f ca="1">+C$11+C$12*$F149</f>
        <v>3.9194794430017534E-2</v>
      </c>
      <c r="Q149" s="27">
        <f t="shared" ref="Q149:Q177" si="44">+D$11+D$12*F149+D$13*F149^2</f>
        <v>3.830641998513272E-2</v>
      </c>
      <c r="R149" s="28">
        <f t="shared" ref="R149:R177" si="45">+C149-15018.5</f>
        <v>39202.236700000001</v>
      </c>
      <c r="S149" s="97">
        <v>1.8376634499873035E-2</v>
      </c>
      <c r="T149" s="24">
        <f t="shared" ref="T149:T177" si="46">+(Q149-G149)^2</f>
        <v>1.4673818120773754E-3</v>
      </c>
      <c r="U149" s="24"/>
      <c r="V149" s="24"/>
      <c r="W149" s="27"/>
      <c r="X149" s="24" t="e">
        <v>#N/A</v>
      </c>
    </row>
    <row r="150" spans="1:24" x14ac:dyDescent="0.2">
      <c r="A150" s="37" t="s">
        <v>188</v>
      </c>
      <c r="B150" s="86" t="s">
        <v>53</v>
      </c>
      <c r="C150" s="37">
        <v>54390.317000000003</v>
      </c>
      <c r="D150" s="37" t="s">
        <v>96</v>
      </c>
      <c r="E150" s="98">
        <f t="shared" si="42"/>
        <v>32943.096111869978</v>
      </c>
      <c r="F150" s="24">
        <f t="shared" si="43"/>
        <v>32943</v>
      </c>
      <c r="G150" s="27">
        <f t="shared" ref="G150:G177" si="47">+C150-(C$7+F150*C$8)</f>
        <v>3.3645470000919886E-2</v>
      </c>
      <c r="H150" s="27"/>
      <c r="I150" s="27"/>
      <c r="K150" s="27">
        <f>+G150</f>
        <v>3.3645470000919886E-2</v>
      </c>
      <c r="L150" s="27"/>
      <c r="M150" s="27"/>
      <c r="P150" s="106"/>
      <c r="Q150" s="27">
        <f t="shared" si="44"/>
        <v>3.9261938667824729E-2</v>
      </c>
      <c r="R150" s="28">
        <f t="shared" si="45"/>
        <v>39371.817000000003</v>
      </c>
      <c r="S150" s="96"/>
      <c r="T150" s="24">
        <f t="shared" si="46"/>
        <v>3.1544720286323866E-5</v>
      </c>
      <c r="U150" s="24">
        <v>1</v>
      </c>
      <c r="V150" s="24">
        <f t="shared" ref="V150:V177" si="48">+U150*T150</f>
        <v>3.1544720286323866E-5</v>
      </c>
      <c r="W150" s="27">
        <f t="shared" ref="W150:W177" si="49">+G150-Q150</f>
        <v>-5.6164686669048433E-3</v>
      </c>
      <c r="X150" s="24" t="e">
        <v>#N/A</v>
      </c>
    </row>
    <row r="151" spans="1:24" x14ac:dyDescent="0.2">
      <c r="A151" s="80" t="s">
        <v>91</v>
      </c>
      <c r="B151" s="36"/>
      <c r="C151" s="32">
        <v>54545.928800000002</v>
      </c>
      <c r="D151" s="32">
        <v>1E-4</v>
      </c>
      <c r="E151" s="98">
        <f t="shared" si="42"/>
        <v>33387.617798955522</v>
      </c>
      <c r="F151" s="24">
        <f t="shared" si="43"/>
        <v>33387.5</v>
      </c>
      <c r="G151" s="27">
        <f t="shared" si="47"/>
        <v>4.1237375000491738E-2</v>
      </c>
      <c r="H151" s="27"/>
      <c r="I151" s="27"/>
      <c r="J151" s="27"/>
      <c r="K151" s="27"/>
      <c r="L151" s="27"/>
      <c r="M151" s="27"/>
      <c r="N151" s="27">
        <f>+G151</f>
        <v>4.1237375000491738E-2</v>
      </c>
      <c r="P151" s="106">
        <f ca="1">+C$11+C$12*$F151</f>
        <v>4.100594327338259E-2</v>
      </c>
      <c r="Q151" s="27">
        <f t="shared" si="44"/>
        <v>4.0148498227011664E-2</v>
      </c>
      <c r="R151" s="28">
        <f t="shared" si="45"/>
        <v>39527.428800000002</v>
      </c>
      <c r="S151" s="96"/>
      <c r="T151" s="24">
        <f t="shared" si="46"/>
        <v>1.1856526278243766E-6</v>
      </c>
      <c r="U151" s="24">
        <v>1</v>
      </c>
      <c r="V151" s="24">
        <f t="shared" si="48"/>
        <v>1.1856526278243766E-6</v>
      </c>
      <c r="W151" s="27">
        <f t="shared" si="49"/>
        <v>1.0888767734800742E-3</v>
      </c>
      <c r="X151" s="24" t="e">
        <v>#N/A</v>
      </c>
    </row>
    <row r="152" spans="1:24" x14ac:dyDescent="0.2">
      <c r="A152" s="32" t="s">
        <v>100</v>
      </c>
      <c r="B152" s="77" t="s">
        <v>53</v>
      </c>
      <c r="C152" s="32">
        <v>54558.356119999997</v>
      </c>
      <c r="D152" s="32">
        <v>1E-4</v>
      </c>
      <c r="E152" s="98">
        <f t="shared" si="42"/>
        <v>33423.117762662325</v>
      </c>
      <c r="F152" s="24">
        <f t="shared" si="43"/>
        <v>33423</v>
      </c>
      <c r="G152" s="27">
        <f t="shared" si="47"/>
        <v>4.1224669999792241E-2</v>
      </c>
      <c r="H152" s="27"/>
      <c r="I152" s="27"/>
      <c r="J152" s="27"/>
      <c r="K152" s="27">
        <f t="shared" ref="K152:K158" si="50">+G152</f>
        <v>4.1224669999792241E-2</v>
      </c>
      <c r="L152" s="27"/>
      <c r="M152" s="27"/>
      <c r="P152" s="106"/>
      <c r="Q152" s="27">
        <f t="shared" si="44"/>
        <v>4.0219712994878302E-2</v>
      </c>
      <c r="R152" s="28">
        <f t="shared" si="45"/>
        <v>39539.856119999997</v>
      </c>
      <c r="S152" s="96"/>
      <c r="T152" s="24">
        <f t="shared" si="46"/>
        <v>1.0099385817255929E-6</v>
      </c>
      <c r="U152" s="24">
        <v>1</v>
      </c>
      <c r="V152" s="24">
        <f t="shared" si="48"/>
        <v>1.0099385817255929E-6</v>
      </c>
      <c r="W152" s="27">
        <f t="shared" si="49"/>
        <v>1.0049570049139381E-3</v>
      </c>
      <c r="X152" s="24" t="e">
        <v>#N/A</v>
      </c>
    </row>
    <row r="153" spans="1:24" x14ac:dyDescent="0.2">
      <c r="A153" s="32" t="s">
        <v>94</v>
      </c>
      <c r="B153" s="77" t="s">
        <v>53</v>
      </c>
      <c r="C153" s="32">
        <v>54597.3891</v>
      </c>
      <c r="D153" s="32">
        <v>1.1000000000000001E-3</v>
      </c>
      <c r="E153" s="98">
        <f t="shared" si="42"/>
        <v>33534.619628983375</v>
      </c>
      <c r="F153" s="24">
        <f t="shared" si="43"/>
        <v>33534.5</v>
      </c>
      <c r="G153" s="27">
        <f t="shared" si="47"/>
        <v>4.1878005002217833E-2</v>
      </c>
      <c r="H153" s="27"/>
      <c r="I153" s="27"/>
      <c r="J153" s="27"/>
      <c r="K153" s="27">
        <f t="shared" si="50"/>
        <v>4.1878005002217833E-2</v>
      </c>
      <c r="L153" s="27"/>
      <c r="M153" s="27"/>
      <c r="P153" s="106">
        <f ca="1">+C$11+C$12*$F153</f>
        <v>4.129252979649848E-2</v>
      </c>
      <c r="Q153" s="27">
        <f t="shared" si="44"/>
        <v>4.0443781605982831E-2</v>
      </c>
      <c r="R153" s="28">
        <f t="shared" si="45"/>
        <v>39578.8891</v>
      </c>
      <c r="S153" s="96"/>
      <c r="T153" s="24">
        <f t="shared" si="46"/>
        <v>2.056996750307862E-6</v>
      </c>
      <c r="U153" s="24">
        <v>1</v>
      </c>
      <c r="V153" s="24">
        <f t="shared" si="48"/>
        <v>2.056996750307862E-6</v>
      </c>
      <c r="W153" s="27">
        <f t="shared" si="49"/>
        <v>1.4342233962350015E-3</v>
      </c>
      <c r="X153" s="24" t="e">
        <v>#N/A</v>
      </c>
    </row>
    <row r="154" spans="1:24" x14ac:dyDescent="0.2">
      <c r="A154" s="32" t="s">
        <v>94</v>
      </c>
      <c r="B154" s="77" t="s">
        <v>53</v>
      </c>
      <c r="C154" s="32">
        <v>54597.566299999999</v>
      </c>
      <c r="D154" s="32">
        <v>8.0000000000000004E-4</v>
      </c>
      <c r="E154" s="98">
        <f t="shared" si="42"/>
        <v>33535.125819663968</v>
      </c>
      <c r="F154" s="24">
        <f t="shared" si="43"/>
        <v>33535</v>
      </c>
      <c r="G154" s="27">
        <f t="shared" si="47"/>
        <v>4.4045149996236432E-2</v>
      </c>
      <c r="H154" s="27"/>
      <c r="I154" s="27"/>
      <c r="J154" s="27"/>
      <c r="K154" s="27">
        <f t="shared" si="50"/>
        <v>4.4045149996236432E-2</v>
      </c>
      <c r="L154" s="27"/>
      <c r="M154" s="27"/>
      <c r="P154" s="106">
        <f ca="1">+C$11+C$12*$F154</f>
        <v>4.1293504580590716E-2</v>
      </c>
      <c r="Q154" s="27">
        <f t="shared" si="44"/>
        <v>4.0444787744306418E-2</v>
      </c>
      <c r="R154" s="28">
        <f t="shared" si="45"/>
        <v>39579.066299999999</v>
      </c>
      <c r="S154" s="96"/>
      <c r="T154" s="24">
        <f t="shared" si="46"/>
        <v>1.2962608345122563E-5</v>
      </c>
      <c r="U154" s="24">
        <v>1</v>
      </c>
      <c r="V154" s="24">
        <f t="shared" si="48"/>
        <v>1.2962608345122563E-5</v>
      </c>
      <c r="W154" s="27">
        <f t="shared" si="49"/>
        <v>3.6003622519300144E-3</v>
      </c>
      <c r="X154" s="24" t="e">
        <v>#N/A</v>
      </c>
    </row>
    <row r="155" spans="1:24" x14ac:dyDescent="0.2">
      <c r="A155" s="37" t="s">
        <v>174</v>
      </c>
      <c r="B155" s="86" t="s">
        <v>48</v>
      </c>
      <c r="C155" s="37">
        <v>54898.797100000003</v>
      </c>
      <c r="D155" s="37">
        <v>1E-4</v>
      </c>
      <c r="E155" s="98">
        <f t="shared" si="42"/>
        <v>34395.62369590556</v>
      </c>
      <c r="F155" s="24">
        <f t="shared" si="43"/>
        <v>34395.5</v>
      </c>
      <c r="G155" s="27">
        <f t="shared" si="47"/>
        <v>4.3301695004629437E-2</v>
      </c>
      <c r="H155" s="27"/>
      <c r="I155" s="27"/>
      <c r="J155" s="27"/>
      <c r="K155" s="27">
        <f t="shared" si="50"/>
        <v>4.3301695004629437E-2</v>
      </c>
      <c r="L155" s="27"/>
      <c r="M155" s="27"/>
      <c r="P155" s="106">
        <f ca="1">+C$11+C$12*$F155</f>
        <v>4.2971108003320123E-2</v>
      </c>
      <c r="Q155" s="27">
        <f t="shared" si="44"/>
        <v>4.2194164203086755E-2</v>
      </c>
      <c r="R155" s="28">
        <f t="shared" si="45"/>
        <v>39880.297100000003</v>
      </c>
      <c r="S155" s="96"/>
      <c r="T155" s="24">
        <f t="shared" si="46"/>
        <v>1.2266244763657754E-6</v>
      </c>
      <c r="U155" s="24">
        <v>1</v>
      </c>
      <c r="V155" s="24">
        <f t="shared" si="48"/>
        <v>1.2266244763657754E-6</v>
      </c>
      <c r="W155" s="27">
        <f t="shared" si="49"/>
        <v>1.1075308015426819E-3</v>
      </c>
      <c r="X155" s="24" t="e">
        <v>#N/A</v>
      </c>
    </row>
    <row r="156" spans="1:24" x14ac:dyDescent="0.2">
      <c r="A156" s="78" t="s">
        <v>101</v>
      </c>
      <c r="B156" s="77" t="s">
        <v>48</v>
      </c>
      <c r="C156" s="32">
        <v>54925.401339999997</v>
      </c>
      <c r="D156" s="32">
        <v>2.0000000000000001E-4</v>
      </c>
      <c r="E156" s="98">
        <f t="shared" si="42"/>
        <v>34471.62154213847</v>
      </c>
      <c r="F156" s="24">
        <f t="shared" si="43"/>
        <v>34471.5</v>
      </c>
      <c r="G156" s="27">
        <f t="shared" si="47"/>
        <v>4.2547734992695041E-2</v>
      </c>
      <c r="H156" s="27"/>
      <c r="I156" s="27"/>
      <c r="J156" s="27"/>
      <c r="K156" s="27">
        <f t="shared" si="50"/>
        <v>4.2547734992695041E-2</v>
      </c>
      <c r="L156" s="27"/>
      <c r="M156" s="27"/>
      <c r="P156" s="106"/>
      <c r="Q156" s="27">
        <f t="shared" si="44"/>
        <v>4.2350381590124879E-2</v>
      </c>
      <c r="R156" s="28">
        <f t="shared" si="45"/>
        <v>39906.901339999997</v>
      </c>
      <c r="S156" s="96"/>
      <c r="T156" s="24">
        <f t="shared" si="46"/>
        <v>3.894836550602044E-8</v>
      </c>
      <c r="U156" s="24">
        <v>1</v>
      </c>
      <c r="V156" s="24">
        <f t="shared" si="48"/>
        <v>3.894836550602044E-8</v>
      </c>
      <c r="W156" s="27">
        <f t="shared" si="49"/>
        <v>1.9735340257016204E-4</v>
      </c>
      <c r="X156" s="24" t="e">
        <v>#N/A</v>
      </c>
    </row>
    <row r="157" spans="1:24" x14ac:dyDescent="0.2">
      <c r="A157" s="78" t="s">
        <v>101</v>
      </c>
      <c r="B157" s="77" t="s">
        <v>48</v>
      </c>
      <c r="C157" s="32">
        <v>54925.401639999996</v>
      </c>
      <c r="D157" s="32">
        <v>1E-4</v>
      </c>
      <c r="E157" s="98">
        <f t="shared" si="42"/>
        <v>34471.622399120432</v>
      </c>
      <c r="F157" s="24">
        <f t="shared" si="43"/>
        <v>34471.5</v>
      </c>
      <c r="G157" s="27">
        <f t="shared" si="47"/>
        <v>4.2847734992392361E-2</v>
      </c>
      <c r="H157" s="27"/>
      <c r="I157" s="27"/>
      <c r="J157" s="27"/>
      <c r="K157" s="27">
        <f t="shared" si="50"/>
        <v>4.2847734992392361E-2</v>
      </c>
      <c r="L157" s="27"/>
      <c r="M157" s="27"/>
      <c r="P157" s="106"/>
      <c r="Q157" s="27">
        <f t="shared" si="44"/>
        <v>4.2350381590124879E-2</v>
      </c>
      <c r="R157" s="28">
        <f t="shared" si="45"/>
        <v>39906.901639999996</v>
      </c>
      <c r="S157" s="96"/>
      <c r="T157" s="24">
        <f t="shared" si="46"/>
        <v>2.4736040674703997E-7</v>
      </c>
      <c r="U157" s="24">
        <v>1</v>
      </c>
      <c r="V157" s="24">
        <f t="shared" si="48"/>
        <v>2.4736040674703997E-7</v>
      </c>
      <c r="W157" s="27">
        <f t="shared" si="49"/>
        <v>4.973534022674822E-4</v>
      </c>
      <c r="X157" s="24" t="e">
        <v>#N/A</v>
      </c>
    </row>
    <row r="158" spans="1:24" x14ac:dyDescent="0.2">
      <c r="A158" s="78" t="s">
        <v>101</v>
      </c>
      <c r="B158" s="77" t="s">
        <v>48</v>
      </c>
      <c r="C158" s="32">
        <v>54925.401639999996</v>
      </c>
      <c r="D158" s="32">
        <v>2.0000000000000001E-4</v>
      </c>
      <c r="E158" s="98">
        <f t="shared" si="42"/>
        <v>34471.622399120432</v>
      </c>
      <c r="F158" s="24">
        <f t="shared" si="43"/>
        <v>34471.5</v>
      </c>
      <c r="G158" s="27">
        <f t="shared" si="47"/>
        <v>4.2847734992392361E-2</v>
      </c>
      <c r="H158" s="27"/>
      <c r="I158" s="27"/>
      <c r="J158" s="27"/>
      <c r="K158" s="27">
        <f t="shared" si="50"/>
        <v>4.2847734992392361E-2</v>
      </c>
      <c r="L158" s="27"/>
      <c r="M158" s="27"/>
      <c r="P158" s="106"/>
      <c r="Q158" s="27">
        <f t="shared" si="44"/>
        <v>4.2350381590124879E-2</v>
      </c>
      <c r="R158" s="28">
        <f t="shared" si="45"/>
        <v>39906.901639999996</v>
      </c>
      <c r="S158" s="96"/>
      <c r="T158" s="24">
        <f t="shared" si="46"/>
        <v>2.4736040674703997E-7</v>
      </c>
      <c r="U158" s="24">
        <v>1</v>
      </c>
      <c r="V158" s="24">
        <f t="shared" si="48"/>
        <v>2.4736040674703997E-7</v>
      </c>
      <c r="W158" s="27">
        <f t="shared" si="49"/>
        <v>4.973534022674822E-4</v>
      </c>
      <c r="X158" s="24" t="e">
        <v>#N/A</v>
      </c>
    </row>
    <row r="159" spans="1:24" x14ac:dyDescent="0.2">
      <c r="A159" s="80" t="s">
        <v>175</v>
      </c>
      <c r="B159" s="36"/>
      <c r="C159" s="32">
        <v>54943.779300000002</v>
      </c>
      <c r="D159" s="32">
        <v>1E-4</v>
      </c>
      <c r="E159" s="98">
        <f t="shared" si="42"/>
        <v>34524.120143044005</v>
      </c>
      <c r="F159" s="24">
        <f t="shared" si="43"/>
        <v>34524</v>
      </c>
      <c r="G159" s="27">
        <f t="shared" si="47"/>
        <v>4.2057960003148764E-2</v>
      </c>
      <c r="H159" s="27"/>
      <c r="I159" s="27"/>
      <c r="J159" s="27"/>
      <c r="K159" s="27"/>
      <c r="L159" s="27"/>
      <c r="M159" s="27"/>
      <c r="N159" s="27">
        <f>+G159</f>
        <v>4.2057960003148764E-2</v>
      </c>
      <c r="P159" s="106">
        <f ca="1">+C$11+C$12*$F159</f>
        <v>4.3221627515023474E-2</v>
      </c>
      <c r="Q159" s="27">
        <f t="shared" si="44"/>
        <v>4.2458457109261161E-2</v>
      </c>
      <c r="R159" s="28">
        <f t="shared" si="45"/>
        <v>39925.279300000002</v>
      </c>
      <c r="S159" s="96"/>
      <c r="T159" s="24">
        <f t="shared" si="46"/>
        <v>1.6039793200440404E-7</v>
      </c>
      <c r="U159" s="24">
        <v>1</v>
      </c>
      <c r="V159" s="24">
        <f t="shared" si="48"/>
        <v>1.6039793200440404E-7</v>
      </c>
      <c r="W159" s="27">
        <f t="shared" si="49"/>
        <v>-4.0049710611239631E-4</v>
      </c>
      <c r="X159" s="24" t="e">
        <v>#N/A</v>
      </c>
    </row>
    <row r="160" spans="1:24" x14ac:dyDescent="0.2">
      <c r="A160" s="79" t="s">
        <v>185</v>
      </c>
      <c r="B160" s="34" t="s">
        <v>53</v>
      </c>
      <c r="C160" s="35">
        <v>55238.885600000001</v>
      </c>
      <c r="D160" s="35">
        <v>1E-4</v>
      </c>
      <c r="E160" s="98">
        <f t="shared" si="42"/>
        <v>35367.122732472148</v>
      </c>
      <c r="F160" s="24">
        <f t="shared" si="43"/>
        <v>35367</v>
      </c>
      <c r="G160" s="27">
        <f t="shared" si="47"/>
        <v>4.2964430002029985E-2</v>
      </c>
      <c r="H160" s="27"/>
      <c r="I160" s="27"/>
      <c r="J160" s="27"/>
      <c r="K160" s="27">
        <f t="shared" ref="K160:K177" si="51">+G160</f>
        <v>4.2964430002029985E-2</v>
      </c>
      <c r="L160" s="27"/>
      <c r="M160" s="27"/>
      <c r="P160" s="106">
        <f ca="1">+C$11+C$12*$F160</f>
        <v>4.4865113494524815E-2</v>
      </c>
      <c r="Q160" s="27">
        <f t="shared" si="44"/>
        <v>4.4211990534338809E-2</v>
      </c>
      <c r="R160" s="28">
        <f t="shared" si="45"/>
        <v>40220.385600000001</v>
      </c>
      <c r="S160" s="96"/>
      <c r="T160" s="24">
        <f t="shared" si="46"/>
        <v>1.5564072817746757E-6</v>
      </c>
      <c r="U160" s="24">
        <v>1</v>
      </c>
      <c r="V160" s="24">
        <f t="shared" si="48"/>
        <v>1.5564072817746757E-6</v>
      </c>
      <c r="W160" s="27">
        <f t="shared" si="49"/>
        <v>-1.2475605323088237E-3</v>
      </c>
      <c r="X160" s="24" t="e">
        <v>#N/A</v>
      </c>
    </row>
    <row r="161" spans="1:24" x14ac:dyDescent="0.2">
      <c r="A161" s="78" t="s">
        <v>186</v>
      </c>
      <c r="B161" s="77" t="s">
        <v>48</v>
      </c>
      <c r="C161" s="32">
        <v>55304.523930000003</v>
      </c>
      <c r="D161" s="32">
        <v>1E-4</v>
      </c>
      <c r="E161" s="98">
        <f t="shared" si="42"/>
        <v>35554.62561585939</v>
      </c>
      <c r="F161" s="24">
        <f t="shared" si="43"/>
        <v>35554.5</v>
      </c>
      <c r="G161" s="27">
        <f t="shared" si="47"/>
        <v>4.397380500449799E-2</v>
      </c>
      <c r="H161" s="27"/>
      <c r="I161" s="27"/>
      <c r="J161" s="27"/>
      <c r="K161" s="27">
        <f t="shared" si="51"/>
        <v>4.397380500449799E-2</v>
      </c>
      <c r="L161" s="27"/>
      <c r="M161" s="27"/>
      <c r="P161" s="106"/>
      <c r="Q161" s="27">
        <f t="shared" si="44"/>
        <v>4.4606656656825359E-2</v>
      </c>
      <c r="R161" s="28">
        <f t="shared" si="45"/>
        <v>40286.023930000003</v>
      </c>
      <c r="S161" s="96"/>
      <c r="T161" s="24">
        <f t="shared" si="46"/>
        <v>4.005012138534817E-7</v>
      </c>
      <c r="U161" s="24">
        <v>1</v>
      </c>
      <c r="V161" s="24">
        <f t="shared" si="48"/>
        <v>4.005012138534817E-7</v>
      </c>
      <c r="W161" s="27">
        <f t="shared" si="49"/>
        <v>-6.3285165232736945E-4</v>
      </c>
      <c r="X161" s="24" t="e">
        <v>#N/A</v>
      </c>
    </row>
    <row r="162" spans="1:24" x14ac:dyDescent="0.2">
      <c r="A162" s="37" t="s">
        <v>187</v>
      </c>
      <c r="B162" s="86" t="s">
        <v>48</v>
      </c>
      <c r="C162" s="37">
        <v>55323.430979999997</v>
      </c>
      <c r="D162" s="37">
        <v>4.0999999999999999E-4</v>
      </c>
      <c r="E162" s="98">
        <f t="shared" si="42"/>
        <v>35608.635618724264</v>
      </c>
      <c r="F162" s="24">
        <f t="shared" si="43"/>
        <v>35608.5</v>
      </c>
      <c r="G162" s="27">
        <f t="shared" si="47"/>
        <v>4.7475464998569805E-2</v>
      </c>
      <c r="H162" s="27"/>
      <c r="I162" s="27"/>
      <c r="J162" s="27"/>
      <c r="K162" s="27">
        <f t="shared" si="51"/>
        <v>4.7475464998569805E-2</v>
      </c>
      <c r="L162" s="27"/>
      <c r="M162" s="27"/>
      <c r="P162" s="106">
        <f ca="1">+C$11+C$12*$F162</f>
        <v>4.5335934211072342E-2</v>
      </c>
      <c r="Q162" s="27">
        <f t="shared" si="44"/>
        <v>4.4720634030318375E-2</v>
      </c>
      <c r="R162" s="28">
        <f t="shared" si="45"/>
        <v>40304.930979999997</v>
      </c>
      <c r="S162" s="96"/>
      <c r="T162" s="24">
        <f t="shared" si="46"/>
        <v>7.5890936636371122E-6</v>
      </c>
      <c r="U162" s="24">
        <v>1</v>
      </c>
      <c r="V162" s="24">
        <f t="shared" si="48"/>
        <v>7.5890936636371122E-6</v>
      </c>
      <c r="W162" s="27">
        <f t="shared" si="49"/>
        <v>2.7548309682514302E-3</v>
      </c>
      <c r="X162" s="24" t="e">
        <v>#N/A</v>
      </c>
    </row>
    <row r="163" spans="1:24" x14ac:dyDescent="0.2">
      <c r="A163" s="37" t="s">
        <v>187</v>
      </c>
      <c r="B163" s="86" t="s">
        <v>53</v>
      </c>
      <c r="C163" s="37">
        <v>55329.55416</v>
      </c>
      <c r="D163" s="37">
        <v>1.7000000000000001E-4</v>
      </c>
      <c r="E163" s="98">
        <f t="shared" si="42"/>
        <v>35626.127134817063</v>
      </c>
      <c r="F163" s="24">
        <f t="shared" si="43"/>
        <v>35626</v>
      </c>
      <c r="G163" s="27">
        <f t="shared" si="47"/>
        <v>4.4505539997771848E-2</v>
      </c>
      <c r="H163" s="27"/>
      <c r="I163" s="27"/>
      <c r="J163" s="27"/>
      <c r="K163" s="27">
        <f t="shared" si="51"/>
        <v>4.4505539997771848E-2</v>
      </c>
      <c r="L163" s="27"/>
      <c r="M163" s="27"/>
      <c r="P163" s="106">
        <f ca="1">+C$11+C$12*$F163</f>
        <v>4.5370051654300435E-2</v>
      </c>
      <c r="Q163" s="27">
        <f t="shared" si="44"/>
        <v>4.4757601224506609E-2</v>
      </c>
      <c r="R163" s="28">
        <f t="shared" si="45"/>
        <v>40311.05416</v>
      </c>
      <c r="S163" s="96"/>
      <c r="T163" s="24">
        <f t="shared" si="46"/>
        <v>6.3534862023032489E-8</v>
      </c>
      <c r="U163" s="24">
        <v>1</v>
      </c>
      <c r="V163" s="24">
        <f t="shared" si="48"/>
        <v>6.3534862023032489E-8</v>
      </c>
      <c r="W163" s="27">
        <f t="shared" si="49"/>
        <v>-2.5206122673476078E-4</v>
      </c>
      <c r="X163" s="24" t="e">
        <v>#N/A</v>
      </c>
    </row>
    <row r="164" spans="1:24" x14ac:dyDescent="0.2">
      <c r="A164" s="78" t="s">
        <v>186</v>
      </c>
      <c r="B164" s="77" t="s">
        <v>53</v>
      </c>
      <c r="C164" s="32">
        <v>55619.409650000001</v>
      </c>
      <c r="D164" s="32">
        <v>1E-4</v>
      </c>
      <c r="E164" s="98">
        <f t="shared" si="42"/>
        <v>36454.130226008143</v>
      </c>
      <c r="F164" s="24">
        <f t="shared" si="43"/>
        <v>36454</v>
      </c>
      <c r="G164" s="27">
        <f t="shared" si="47"/>
        <v>4.5587660002638586E-2</v>
      </c>
      <c r="H164" s="27"/>
      <c r="I164" s="27"/>
      <c r="J164" s="27"/>
      <c r="K164" s="27">
        <f t="shared" si="51"/>
        <v>4.5587660002638586E-2</v>
      </c>
      <c r="L164" s="27"/>
      <c r="M164" s="27"/>
      <c r="P164" s="106"/>
      <c r="Q164" s="27">
        <f t="shared" si="44"/>
        <v>4.6523508710694085E-2</v>
      </c>
      <c r="R164" s="28">
        <f t="shared" si="45"/>
        <v>40600.909650000001</v>
      </c>
      <c r="S164" s="96"/>
      <c r="T164" s="24">
        <f t="shared" si="46"/>
        <v>8.7581280436914692E-7</v>
      </c>
      <c r="U164" s="24">
        <v>1</v>
      </c>
      <c r="V164" s="24">
        <f t="shared" si="48"/>
        <v>8.7581280436914692E-7</v>
      </c>
      <c r="W164" s="27">
        <f t="shared" si="49"/>
        <v>-9.3584870805549919E-4</v>
      </c>
      <c r="X164" s="24" t="e">
        <v>#N/A</v>
      </c>
    </row>
    <row r="165" spans="1:24" x14ac:dyDescent="0.2">
      <c r="A165" s="37" t="s">
        <v>187</v>
      </c>
      <c r="B165" s="86" t="s">
        <v>48</v>
      </c>
      <c r="C165" s="37">
        <v>55664.397369999999</v>
      </c>
      <c r="D165" s="37">
        <v>1.1199999999999999E-3</v>
      </c>
      <c r="E165" s="98">
        <f t="shared" si="42"/>
        <v>36582.642441614742</v>
      </c>
      <c r="F165" s="24">
        <f t="shared" si="43"/>
        <v>36582.5</v>
      </c>
      <c r="G165" s="27">
        <f t="shared" si="47"/>
        <v>4.9863924999954179E-2</v>
      </c>
      <c r="H165" s="27"/>
      <c r="I165" s="27"/>
      <c r="J165" s="27"/>
      <c r="K165" s="27">
        <f t="shared" si="51"/>
        <v>4.9863924999954179E-2</v>
      </c>
      <c r="L165" s="27"/>
      <c r="M165" s="27"/>
      <c r="P165" s="106">
        <f ca="1">+C$11+C$12*$F165</f>
        <v>4.7234813622738188E-2</v>
      </c>
      <c r="Q165" s="27">
        <f t="shared" si="44"/>
        <v>4.6800520603259711E-2</v>
      </c>
      <c r="R165" s="28">
        <f t="shared" si="45"/>
        <v>40645.897369999999</v>
      </c>
      <c r="S165" s="96"/>
      <c r="T165" s="24">
        <f t="shared" si="46"/>
        <v>9.3844464976869953E-6</v>
      </c>
      <c r="U165" s="24">
        <v>1</v>
      </c>
      <c r="V165" s="24">
        <f t="shared" si="48"/>
        <v>9.3844464976869953E-6</v>
      </c>
      <c r="W165" s="27">
        <f t="shared" si="49"/>
        <v>3.0634043966944677E-3</v>
      </c>
      <c r="X165" s="24" t="e">
        <v>#N/A</v>
      </c>
    </row>
    <row r="166" spans="1:24" x14ac:dyDescent="0.2">
      <c r="A166" s="90" t="s">
        <v>201</v>
      </c>
      <c r="B166" s="91" t="s">
        <v>48</v>
      </c>
      <c r="C166" s="92">
        <v>55960.552069999998</v>
      </c>
      <c r="D166" s="92">
        <v>2.0000000000000001E-4</v>
      </c>
      <c r="E166" s="98">
        <f t="shared" si="42"/>
        <v>37428.639897349552</v>
      </c>
      <c r="F166" s="24">
        <f t="shared" si="43"/>
        <v>37428.5</v>
      </c>
      <c r="G166" s="27">
        <f t="shared" si="47"/>
        <v>4.8973264994856436E-2</v>
      </c>
      <c r="H166" s="27"/>
      <c r="I166" s="27"/>
      <c r="K166" s="27">
        <f t="shared" si="51"/>
        <v>4.8973264994856436E-2</v>
      </c>
      <c r="L166" s="27"/>
      <c r="P166" s="106"/>
      <c r="Q166" s="27">
        <f t="shared" si="44"/>
        <v>4.8644092830374512E-2</v>
      </c>
      <c r="R166" s="28">
        <f t="shared" si="45"/>
        <v>40942.052069999998</v>
      </c>
      <c r="S166" s="96"/>
      <c r="T166" s="24">
        <f t="shared" si="46"/>
        <v>1.0835431386971464E-7</v>
      </c>
      <c r="U166" s="24">
        <v>1</v>
      </c>
      <c r="V166" s="24">
        <f t="shared" si="48"/>
        <v>1.0835431386971464E-7</v>
      </c>
      <c r="W166" s="27">
        <f t="shared" si="49"/>
        <v>3.2917216448192371E-4</v>
      </c>
      <c r="X166" s="24" t="e">
        <v>#N/A</v>
      </c>
    </row>
    <row r="167" spans="1:24" x14ac:dyDescent="0.2">
      <c r="A167" s="90" t="s">
        <v>201</v>
      </c>
      <c r="B167" s="91" t="s">
        <v>48</v>
      </c>
      <c r="C167" s="92">
        <v>55960.552170000003</v>
      </c>
      <c r="D167" s="92">
        <v>2.0000000000000001E-4</v>
      </c>
      <c r="E167" s="98">
        <f t="shared" si="42"/>
        <v>37428.640183010219</v>
      </c>
      <c r="F167" s="24">
        <f t="shared" si="43"/>
        <v>37428.5</v>
      </c>
      <c r="G167" s="27">
        <f t="shared" si="47"/>
        <v>4.9073264999606181E-2</v>
      </c>
      <c r="H167" s="27"/>
      <c r="I167" s="27"/>
      <c r="K167" s="27">
        <f t="shared" si="51"/>
        <v>4.9073264999606181E-2</v>
      </c>
      <c r="L167" s="27"/>
      <c r="M167" s="24"/>
      <c r="P167" s="106"/>
      <c r="Q167" s="27">
        <f t="shared" si="44"/>
        <v>4.8644092830374512E-2</v>
      </c>
      <c r="R167" s="28">
        <f t="shared" si="45"/>
        <v>40942.052170000003</v>
      </c>
      <c r="S167" s="96"/>
      <c r="T167" s="24">
        <f t="shared" si="46"/>
        <v>1.8418875084301621E-7</v>
      </c>
      <c r="U167" s="24">
        <v>1</v>
      </c>
      <c r="V167" s="24">
        <f t="shared" si="48"/>
        <v>1.8418875084301621E-7</v>
      </c>
      <c r="W167" s="27">
        <f t="shared" si="49"/>
        <v>4.2917216923166884E-4</v>
      </c>
      <c r="X167" s="24" t="e">
        <v>#N/A</v>
      </c>
    </row>
    <row r="168" spans="1:24" x14ac:dyDescent="0.2">
      <c r="A168" s="90" t="s">
        <v>201</v>
      </c>
      <c r="B168" s="91" t="s">
        <v>48</v>
      </c>
      <c r="C168" s="92">
        <v>55960.55227</v>
      </c>
      <c r="D168" s="92">
        <v>1E-4</v>
      </c>
      <c r="E168" s="98">
        <f t="shared" si="42"/>
        <v>37428.64046867087</v>
      </c>
      <c r="F168" s="24">
        <f t="shared" si="43"/>
        <v>37428.5</v>
      </c>
      <c r="G168" s="27">
        <f t="shared" si="47"/>
        <v>4.9173264997079968E-2</v>
      </c>
      <c r="H168" s="27"/>
      <c r="I168" s="27"/>
      <c r="K168" s="27">
        <f t="shared" si="51"/>
        <v>4.9173264997079968E-2</v>
      </c>
      <c r="L168" s="27"/>
      <c r="P168" s="106"/>
      <c r="Q168" s="27">
        <f t="shared" si="44"/>
        <v>4.8644092830374512E-2</v>
      </c>
      <c r="R168" s="28">
        <f t="shared" si="45"/>
        <v>40942.05227</v>
      </c>
      <c r="S168" s="96"/>
      <c r="T168" s="24">
        <f t="shared" si="46"/>
        <v>2.8002318201574729E-7</v>
      </c>
      <c r="U168" s="24">
        <v>1</v>
      </c>
      <c r="V168" s="24">
        <f t="shared" si="48"/>
        <v>2.8002318201574729E-7</v>
      </c>
      <c r="W168" s="27">
        <f t="shared" si="49"/>
        <v>5.2917216670545636E-4</v>
      </c>
      <c r="X168" s="24" t="e">
        <v>#N/A</v>
      </c>
    </row>
    <row r="169" spans="1:24" x14ac:dyDescent="0.2">
      <c r="A169" s="90" t="s">
        <v>201</v>
      </c>
      <c r="B169" s="91" t="s">
        <v>48</v>
      </c>
      <c r="C169" s="92">
        <v>55960.552470000002</v>
      </c>
      <c r="D169" s="92">
        <v>1E-4</v>
      </c>
      <c r="E169" s="98">
        <f t="shared" si="42"/>
        <v>37428.641039992188</v>
      </c>
      <c r="F169" s="24">
        <f t="shared" si="43"/>
        <v>37428.5</v>
      </c>
      <c r="G169" s="27">
        <f t="shared" si="47"/>
        <v>4.9373264999303501E-2</v>
      </c>
      <c r="H169" s="27"/>
      <c r="I169" s="27"/>
      <c r="K169" s="27">
        <f t="shared" si="51"/>
        <v>4.9373264999303501E-2</v>
      </c>
      <c r="L169" s="27"/>
      <c r="P169" s="106"/>
      <c r="Q169" s="27">
        <f t="shared" si="44"/>
        <v>4.8644092830374512E-2</v>
      </c>
      <c r="R169" s="28">
        <f t="shared" si="45"/>
        <v>40942.052470000002</v>
      </c>
      <c r="S169" s="96"/>
      <c r="T169" s="24">
        <f t="shared" si="46"/>
        <v>5.3169205194060605E-7</v>
      </c>
      <c r="U169" s="24">
        <v>1</v>
      </c>
      <c r="V169" s="24">
        <f t="shared" si="48"/>
        <v>5.3169205194060605E-7</v>
      </c>
      <c r="W169" s="27">
        <f t="shared" si="49"/>
        <v>7.2917216892898901E-4</v>
      </c>
      <c r="X169" s="24" t="e">
        <v>#N/A</v>
      </c>
    </row>
    <row r="170" spans="1:24" x14ac:dyDescent="0.2">
      <c r="A170" s="90" t="s">
        <v>201</v>
      </c>
      <c r="B170" s="91" t="s">
        <v>53</v>
      </c>
      <c r="C170" s="92">
        <v>55960.726170000002</v>
      </c>
      <c r="D170" s="92">
        <v>2.9999999999999997E-4</v>
      </c>
      <c r="E170" s="98">
        <f t="shared" si="42"/>
        <v>37429.13723254986</v>
      </c>
      <c r="F170" s="24">
        <f t="shared" si="43"/>
        <v>37429</v>
      </c>
      <c r="G170" s="27">
        <f t="shared" si="47"/>
        <v>4.8040410001704004E-2</v>
      </c>
      <c r="H170" s="27"/>
      <c r="I170" s="27"/>
      <c r="K170" s="27">
        <f t="shared" si="51"/>
        <v>4.8040410001704004E-2</v>
      </c>
      <c r="L170" s="27"/>
      <c r="P170" s="106"/>
      <c r="Q170" s="27">
        <f t="shared" si="44"/>
        <v>4.8645192587796676E-2</v>
      </c>
      <c r="R170" s="28">
        <f t="shared" si="45"/>
        <v>40942.226170000002</v>
      </c>
      <c r="S170" s="96"/>
      <c r="T170" s="24">
        <f t="shared" si="46"/>
        <v>3.6576197644094088E-7</v>
      </c>
      <c r="U170" s="24">
        <v>1</v>
      </c>
      <c r="V170" s="24">
        <f t="shared" si="48"/>
        <v>3.6576197644094088E-7</v>
      </c>
      <c r="W170" s="27">
        <f t="shared" si="49"/>
        <v>-6.0478258609267255E-4</v>
      </c>
      <c r="X170" s="24" t="e">
        <v>#N/A</v>
      </c>
    </row>
    <row r="171" spans="1:24" x14ac:dyDescent="0.2">
      <c r="A171" s="90" t="s">
        <v>201</v>
      </c>
      <c r="B171" s="91" t="s">
        <v>53</v>
      </c>
      <c r="C171" s="92">
        <v>55960.726770000001</v>
      </c>
      <c r="D171" s="92">
        <v>2.0000000000000001E-4</v>
      </c>
      <c r="E171" s="98">
        <f t="shared" si="42"/>
        <v>37429.138946513791</v>
      </c>
      <c r="F171" s="24">
        <f t="shared" si="43"/>
        <v>37429</v>
      </c>
      <c r="G171" s="27">
        <f t="shared" si="47"/>
        <v>4.8640410001098644E-2</v>
      </c>
      <c r="H171" s="27"/>
      <c r="I171" s="27"/>
      <c r="K171" s="27">
        <f t="shared" si="51"/>
        <v>4.8640410001098644E-2</v>
      </c>
      <c r="L171" s="27"/>
      <c r="P171" s="106"/>
      <c r="Q171" s="27">
        <f t="shared" si="44"/>
        <v>4.8645192587796676E-2</v>
      </c>
      <c r="R171" s="28">
        <f t="shared" si="45"/>
        <v>40942.226770000001</v>
      </c>
      <c r="S171" s="96"/>
      <c r="T171" s="24">
        <f t="shared" si="46"/>
        <v>2.287313552419474E-11</v>
      </c>
      <c r="U171" s="24">
        <v>1</v>
      </c>
      <c r="V171" s="24">
        <f t="shared" si="48"/>
        <v>2.287313552419474E-11</v>
      </c>
      <c r="W171" s="27">
        <f t="shared" si="49"/>
        <v>-4.7825866980322207E-6</v>
      </c>
      <c r="X171" s="24" t="e">
        <v>#N/A</v>
      </c>
    </row>
    <row r="172" spans="1:24" x14ac:dyDescent="0.2">
      <c r="A172" s="90" t="s">
        <v>202</v>
      </c>
      <c r="B172" s="91" t="s">
        <v>53</v>
      </c>
      <c r="C172" s="92">
        <v>56001.331200000001</v>
      </c>
      <c r="D172" s="92">
        <v>1.6999999999999999E-3</v>
      </c>
      <c r="E172" s="98">
        <f t="shared" si="42"/>
        <v>37545.129827197299</v>
      </c>
      <c r="F172" s="24">
        <f t="shared" si="43"/>
        <v>37545</v>
      </c>
      <c r="G172" s="27">
        <f t="shared" si="47"/>
        <v>4.5448050004779361E-2</v>
      </c>
      <c r="H172" s="27"/>
      <c r="I172" s="27"/>
      <c r="J172" s="27"/>
      <c r="K172" s="27">
        <f t="shared" si="51"/>
        <v>4.5448050004779361E-2</v>
      </c>
      <c r="L172" s="27"/>
      <c r="M172" s="27"/>
      <c r="P172" s="106">
        <f t="shared" ref="P172:P177" ca="1" si="52">+C$11+C$12*$F172</f>
        <v>4.9111273000282708E-2</v>
      </c>
      <c r="Q172" s="27">
        <f t="shared" si="44"/>
        <v>4.8900661211766908E-2</v>
      </c>
      <c r="R172" s="28">
        <f t="shared" si="45"/>
        <v>40982.831200000001</v>
      </c>
      <c r="S172" s="96"/>
      <c r="T172" s="24">
        <f t="shared" si="46"/>
        <v>1.1920524146616002E-5</v>
      </c>
      <c r="U172" s="24">
        <v>1</v>
      </c>
      <c r="V172" s="24">
        <f t="shared" si="48"/>
        <v>1.1920524146616002E-5</v>
      </c>
      <c r="W172" s="27">
        <f t="shared" si="49"/>
        <v>-3.4526112069875464E-3</v>
      </c>
      <c r="X172" s="24" t="e">
        <v>#N/A</v>
      </c>
    </row>
    <row r="173" spans="1:24" x14ac:dyDescent="0.2">
      <c r="A173" s="90" t="s">
        <v>202</v>
      </c>
      <c r="B173" s="91" t="s">
        <v>48</v>
      </c>
      <c r="C173" s="92">
        <v>56001.510799999996</v>
      </c>
      <c r="D173" s="92">
        <v>1.2999999999999999E-3</v>
      </c>
      <c r="E173" s="98">
        <f t="shared" si="42"/>
        <v>37545.64287373361</v>
      </c>
      <c r="F173" s="24">
        <f t="shared" si="43"/>
        <v>37545.5</v>
      </c>
      <c r="G173" s="27">
        <f t="shared" si="47"/>
        <v>5.0015194996376522E-2</v>
      </c>
      <c r="H173" s="27"/>
      <c r="I173" s="27"/>
      <c r="J173" s="27"/>
      <c r="K173" s="27">
        <f t="shared" si="51"/>
        <v>5.0015194996376522E-2</v>
      </c>
      <c r="L173" s="27"/>
      <c r="M173" s="27"/>
      <c r="P173" s="106">
        <f t="shared" ca="1" si="52"/>
        <v>4.9112247784374945E-2</v>
      </c>
      <c r="Q173" s="27">
        <f t="shared" si="44"/>
        <v>4.8901763770068621E-2</v>
      </c>
      <c r="R173" s="28">
        <f t="shared" si="45"/>
        <v>40983.010799999996</v>
      </c>
      <c r="S173" s="96"/>
      <c r="T173" s="24">
        <f t="shared" si="46"/>
        <v>1.2397290957175163E-6</v>
      </c>
      <c r="U173" s="24">
        <v>1</v>
      </c>
      <c r="V173" s="24">
        <f t="shared" si="48"/>
        <v>1.2397290957175163E-6</v>
      </c>
      <c r="W173" s="27">
        <f t="shared" si="49"/>
        <v>1.113431226307901E-3</v>
      </c>
      <c r="X173" s="24" t="e">
        <v>#N/A</v>
      </c>
    </row>
    <row r="174" spans="1:24" x14ac:dyDescent="0.2">
      <c r="A174" s="90" t="s">
        <v>202</v>
      </c>
      <c r="B174" s="91" t="s">
        <v>48</v>
      </c>
      <c r="C174" s="92">
        <v>56007.462</v>
      </c>
      <c r="D174" s="92">
        <v>1.2999999999999999E-3</v>
      </c>
      <c r="E174" s="98">
        <f t="shared" si="42"/>
        <v>37562.643110632001</v>
      </c>
      <c r="F174" s="24">
        <f t="shared" si="43"/>
        <v>37562.5</v>
      </c>
      <c r="G174" s="27">
        <f t="shared" si="47"/>
        <v>5.0098125000658911E-2</v>
      </c>
      <c r="H174" s="27"/>
      <c r="I174" s="27"/>
      <c r="J174" s="27"/>
      <c r="K174" s="27">
        <f t="shared" si="51"/>
        <v>5.0098125000658911E-2</v>
      </c>
      <c r="L174" s="27"/>
      <c r="M174" s="27"/>
      <c r="P174" s="106">
        <f t="shared" ca="1" si="52"/>
        <v>4.9145390443510788E-2</v>
      </c>
      <c r="Q174" s="27">
        <f t="shared" si="44"/>
        <v>4.8939257904787696E-2</v>
      </c>
      <c r="R174" s="28">
        <f t="shared" si="45"/>
        <v>40988.962</v>
      </c>
      <c r="S174" s="96"/>
      <c r="T174" s="24">
        <f t="shared" si="46"/>
        <v>1.3429729458929831E-6</v>
      </c>
      <c r="U174" s="24">
        <v>1</v>
      </c>
      <c r="V174" s="24">
        <f t="shared" si="48"/>
        <v>1.3429729458929831E-6</v>
      </c>
      <c r="W174" s="27">
        <f t="shared" si="49"/>
        <v>1.1588670958712147E-3</v>
      </c>
      <c r="X174" s="24" t="e">
        <v>#N/A</v>
      </c>
    </row>
    <row r="175" spans="1:24" x14ac:dyDescent="0.2">
      <c r="A175" s="90" t="s">
        <v>202</v>
      </c>
      <c r="B175" s="91" t="s">
        <v>53</v>
      </c>
      <c r="C175" s="92">
        <v>56007.636299999998</v>
      </c>
      <c r="D175" s="92">
        <v>2.9999999999999997E-4</v>
      </c>
      <c r="E175" s="98">
        <f t="shared" si="42"/>
        <v>37563.141017153604</v>
      </c>
      <c r="F175" s="24">
        <f t="shared" si="43"/>
        <v>37563</v>
      </c>
      <c r="G175" s="27">
        <f t="shared" si="47"/>
        <v>4.9365269995178096E-2</v>
      </c>
      <c r="H175" s="27"/>
      <c r="I175" s="27"/>
      <c r="J175" s="27"/>
      <c r="K175" s="27">
        <f t="shared" si="51"/>
        <v>4.9365269995178096E-2</v>
      </c>
      <c r="L175" s="27"/>
      <c r="M175" s="27"/>
      <c r="P175" s="106">
        <f t="shared" ca="1" si="52"/>
        <v>4.9146365227603024E-2</v>
      </c>
      <c r="Q175" s="27">
        <f t="shared" si="44"/>
        <v>4.8940360883822392E-2</v>
      </c>
      <c r="R175" s="28">
        <f t="shared" si="45"/>
        <v>40989.136299999998</v>
      </c>
      <c r="S175" s="96"/>
      <c r="T175" s="24">
        <f t="shared" si="46"/>
        <v>1.8054775291309367E-7</v>
      </c>
      <c r="U175" s="24">
        <v>1</v>
      </c>
      <c r="V175" s="24">
        <f t="shared" si="48"/>
        <v>1.8054775291309367E-7</v>
      </c>
      <c r="W175" s="27">
        <f t="shared" si="49"/>
        <v>4.2490911135570353E-4</v>
      </c>
      <c r="X175" s="24" t="e">
        <v>#N/A</v>
      </c>
    </row>
    <row r="176" spans="1:24" x14ac:dyDescent="0.2">
      <c r="A176" s="90" t="s">
        <v>203</v>
      </c>
      <c r="B176" s="91" t="s">
        <v>48</v>
      </c>
      <c r="C176" s="92">
        <v>56187.404900000001</v>
      </c>
      <c r="D176" s="92">
        <v>1.6999999999999999E-3</v>
      </c>
      <c r="E176" s="98">
        <f t="shared" si="42"/>
        <v>38076.669177338168</v>
      </c>
      <c r="F176" s="24">
        <f t="shared" si="43"/>
        <v>38076.5</v>
      </c>
      <c r="G176" s="27">
        <f t="shared" si="47"/>
        <v>5.9223185002338141E-2</v>
      </c>
      <c r="H176" s="27"/>
      <c r="I176" s="27"/>
      <c r="J176" s="27"/>
      <c r="K176" s="27">
        <f t="shared" si="51"/>
        <v>5.9223185002338141E-2</v>
      </c>
      <c r="L176" s="27"/>
      <c r="M176" s="27"/>
      <c r="P176" s="106">
        <f t="shared" ca="1" si="52"/>
        <v>5.0147468490324178E-2</v>
      </c>
      <c r="Q176" s="27">
        <f t="shared" si="44"/>
        <v>5.0079465943433148E-2</v>
      </c>
      <c r="R176" s="28">
        <f t="shared" si="45"/>
        <v>41168.904900000001</v>
      </c>
      <c r="S176" s="96"/>
      <c r="T176" s="24">
        <f t="shared" si="46"/>
        <v>8.3607598228182419E-5</v>
      </c>
      <c r="U176" s="24">
        <v>1</v>
      </c>
      <c r="V176" s="24">
        <f t="shared" si="48"/>
        <v>8.3607598228182419E-5</v>
      </c>
      <c r="W176" s="27">
        <f t="shared" si="49"/>
        <v>9.1437190589049935E-3</v>
      </c>
      <c r="X176" s="24" t="e">
        <v>#N/A</v>
      </c>
    </row>
    <row r="177" spans="1:24" x14ac:dyDescent="0.2">
      <c r="A177" s="92" t="s">
        <v>204</v>
      </c>
      <c r="B177" s="91" t="s">
        <v>53</v>
      </c>
      <c r="C177" s="92">
        <v>56408.4591</v>
      </c>
      <c r="D177" s="92">
        <v>1.4E-3</v>
      </c>
      <c r="E177" s="98">
        <f t="shared" si="42"/>
        <v>38708.134052889669</v>
      </c>
      <c r="F177" s="24">
        <f t="shared" si="43"/>
        <v>38708</v>
      </c>
      <c r="G177" s="27">
        <f t="shared" si="47"/>
        <v>4.6927319999667816E-2</v>
      </c>
      <c r="H177" s="27"/>
      <c r="I177" s="27"/>
      <c r="J177" s="27"/>
      <c r="K177" s="27">
        <f t="shared" si="51"/>
        <v>4.6927319999667816E-2</v>
      </c>
      <c r="L177" s="27"/>
      <c r="M177" s="27"/>
      <c r="P177" s="106">
        <f t="shared" ca="1" si="52"/>
        <v>5.1378620798811843E-2</v>
      </c>
      <c r="Q177" s="27">
        <f t="shared" si="44"/>
        <v>5.1497716148999749E-2</v>
      </c>
      <c r="R177" s="28">
        <f t="shared" si="45"/>
        <v>41389.9591</v>
      </c>
      <c r="S177" s="96"/>
      <c r="T177" s="24">
        <f t="shared" si="46"/>
        <v>2.0888520961828161E-5</v>
      </c>
      <c r="U177" s="24">
        <v>1</v>
      </c>
      <c r="V177" s="24">
        <f t="shared" si="48"/>
        <v>2.0888520961828161E-5</v>
      </c>
      <c r="W177" s="27">
        <f t="shared" si="49"/>
        <v>-4.5703961493319331E-3</v>
      </c>
      <c r="X177" s="24" t="e">
        <v>#N/A</v>
      </c>
    </row>
    <row r="178" spans="1:24" x14ac:dyDescent="0.2">
      <c r="S178" s="96"/>
      <c r="U178" s="24"/>
      <c r="V178" s="24"/>
    </row>
    <row r="179" spans="1:24" x14ac:dyDescent="0.2">
      <c r="S179" s="96"/>
      <c r="V179" s="24"/>
    </row>
    <row r="180" spans="1:24" x14ac:dyDescent="0.2">
      <c r="S180" s="96"/>
      <c r="V180" s="24"/>
    </row>
    <row r="181" spans="1:24" x14ac:dyDescent="0.2">
      <c r="S181" s="96"/>
      <c r="V181" s="24"/>
    </row>
    <row r="182" spans="1:24" x14ac:dyDescent="0.2">
      <c r="S182" s="96"/>
      <c r="V182" s="24"/>
    </row>
    <row r="183" spans="1:24" x14ac:dyDescent="0.2">
      <c r="S183" s="96"/>
      <c r="V183" s="24"/>
    </row>
    <row r="184" spans="1:24" x14ac:dyDescent="0.2">
      <c r="S184" s="96"/>
      <c r="V184" s="24"/>
    </row>
    <row r="185" spans="1:24" x14ac:dyDescent="0.2">
      <c r="S185" s="96"/>
      <c r="V185" s="24"/>
    </row>
    <row r="186" spans="1:24" x14ac:dyDescent="0.2">
      <c r="S186" s="96"/>
      <c r="V186" s="24"/>
    </row>
    <row r="187" spans="1:24" x14ac:dyDescent="0.2">
      <c r="S187" s="96"/>
      <c r="V187" s="24"/>
    </row>
    <row r="188" spans="1:24" x14ac:dyDescent="0.2">
      <c r="S188" s="96"/>
      <c r="V188" s="24"/>
    </row>
    <row r="189" spans="1:24" x14ac:dyDescent="0.2">
      <c r="S189" s="96"/>
      <c r="V189" s="24"/>
    </row>
    <row r="190" spans="1:24" x14ac:dyDescent="0.2">
      <c r="S190" s="96"/>
      <c r="V190" s="24"/>
    </row>
    <row r="191" spans="1:24" x14ac:dyDescent="0.2">
      <c r="S191" s="96"/>
      <c r="V191" s="24"/>
    </row>
    <row r="192" spans="1:24" x14ac:dyDescent="0.2">
      <c r="S192" s="96"/>
      <c r="V192" s="24"/>
    </row>
    <row r="193" spans="19:22" x14ac:dyDescent="0.2">
      <c r="S193" s="96"/>
      <c r="V193" s="24"/>
    </row>
    <row r="194" spans="19:22" x14ac:dyDescent="0.2">
      <c r="S194" s="96"/>
      <c r="V194" s="24"/>
    </row>
    <row r="195" spans="19:22" x14ac:dyDescent="0.2">
      <c r="S195" s="96"/>
      <c r="V195" s="24"/>
    </row>
    <row r="196" spans="19:22" x14ac:dyDescent="0.2">
      <c r="S196" s="96"/>
      <c r="V196" s="24"/>
    </row>
    <row r="197" spans="19:22" x14ac:dyDescent="0.2">
      <c r="S197" s="96"/>
      <c r="V197" s="24"/>
    </row>
    <row r="198" spans="19:22" x14ac:dyDescent="0.2">
      <c r="S198" s="96"/>
      <c r="V198" s="24"/>
    </row>
    <row r="199" spans="19:22" x14ac:dyDescent="0.2">
      <c r="S199" s="96"/>
      <c r="V199" s="24"/>
    </row>
    <row r="200" spans="19:22" x14ac:dyDescent="0.2">
      <c r="S200" s="96"/>
      <c r="V200" s="24"/>
    </row>
    <row r="201" spans="19:22" x14ac:dyDescent="0.2">
      <c r="S201" s="96"/>
      <c r="V201" s="24"/>
    </row>
    <row r="202" spans="19:22" x14ac:dyDescent="0.2">
      <c r="S202" s="96"/>
      <c r="V202" s="24"/>
    </row>
    <row r="203" spans="19:22" x14ac:dyDescent="0.2">
      <c r="S203" s="96"/>
      <c r="V203" s="24"/>
    </row>
    <row r="204" spans="19:22" x14ac:dyDescent="0.2">
      <c r="S204" s="96"/>
      <c r="V204" s="24"/>
    </row>
    <row r="205" spans="19:22" x14ac:dyDescent="0.2">
      <c r="S205" s="96"/>
      <c r="V205" s="24"/>
    </row>
    <row r="206" spans="19:22" x14ac:dyDescent="0.2">
      <c r="S206" s="96"/>
      <c r="V206" s="24"/>
    </row>
    <row r="207" spans="19:22" x14ac:dyDescent="0.2">
      <c r="S207" s="96"/>
      <c r="V207" s="24"/>
    </row>
    <row r="208" spans="19:22" x14ac:dyDescent="0.2">
      <c r="S208" s="96"/>
      <c r="V208" s="24"/>
    </row>
    <row r="209" spans="19:22" x14ac:dyDescent="0.2">
      <c r="S209" s="96"/>
      <c r="V209" s="24"/>
    </row>
    <row r="210" spans="19:22" x14ac:dyDescent="0.2">
      <c r="S210" s="96"/>
      <c r="V210" s="24"/>
    </row>
    <row r="211" spans="19:22" x14ac:dyDescent="0.2">
      <c r="S211" s="96"/>
      <c r="V211" s="24"/>
    </row>
    <row r="212" spans="19:22" x14ac:dyDescent="0.2">
      <c r="S212" s="96"/>
      <c r="V212" s="24"/>
    </row>
    <row r="213" spans="19:22" x14ac:dyDescent="0.2">
      <c r="S213" s="96"/>
      <c r="V213" s="24"/>
    </row>
    <row r="214" spans="19:22" x14ac:dyDescent="0.2">
      <c r="S214" s="96"/>
      <c r="V214" s="24"/>
    </row>
    <row r="215" spans="19:22" x14ac:dyDescent="0.2">
      <c r="S215" s="96"/>
      <c r="V215" s="24"/>
    </row>
    <row r="216" spans="19:22" x14ac:dyDescent="0.2">
      <c r="S216" s="96"/>
      <c r="V216" s="24"/>
    </row>
    <row r="217" spans="19:22" x14ac:dyDescent="0.2">
      <c r="S217" s="96"/>
      <c r="V217" s="24"/>
    </row>
    <row r="218" spans="19:22" x14ac:dyDescent="0.2">
      <c r="S218" s="96"/>
      <c r="V218" s="24"/>
    </row>
    <row r="219" spans="19:22" x14ac:dyDescent="0.2">
      <c r="S219" s="96"/>
      <c r="V219" s="24"/>
    </row>
    <row r="220" spans="19:22" x14ac:dyDescent="0.2">
      <c r="S220" s="96"/>
      <c r="V220" s="24"/>
    </row>
    <row r="221" spans="19:22" x14ac:dyDescent="0.2">
      <c r="S221" s="96"/>
      <c r="V221" s="24"/>
    </row>
    <row r="222" spans="19:22" x14ac:dyDescent="0.2">
      <c r="S222" s="96"/>
      <c r="V222" s="24"/>
    </row>
    <row r="223" spans="19:22" x14ac:dyDescent="0.2">
      <c r="S223" s="96"/>
      <c r="V223" s="24"/>
    </row>
    <row r="224" spans="19:22" x14ac:dyDescent="0.2">
      <c r="S224" s="96"/>
      <c r="V224" s="24"/>
    </row>
    <row r="225" spans="19:22" x14ac:dyDescent="0.2">
      <c r="S225" s="96"/>
      <c r="V225" s="24"/>
    </row>
    <row r="226" spans="19:22" x14ac:dyDescent="0.2">
      <c r="S226" s="96"/>
      <c r="V226" s="24"/>
    </row>
    <row r="227" spans="19:22" x14ac:dyDescent="0.2">
      <c r="S227" s="96"/>
      <c r="V227" s="24"/>
    </row>
    <row r="228" spans="19:22" x14ac:dyDescent="0.2">
      <c r="S228" s="96"/>
      <c r="V228" s="24"/>
    </row>
    <row r="229" spans="19:22" x14ac:dyDescent="0.2">
      <c r="S229" s="96"/>
      <c r="V229" s="24"/>
    </row>
    <row r="230" spans="19:22" x14ac:dyDescent="0.2">
      <c r="S230" s="96"/>
      <c r="V230" s="24"/>
    </row>
    <row r="231" spans="19:22" x14ac:dyDescent="0.2">
      <c r="S231" s="96"/>
      <c r="V231" s="24"/>
    </row>
    <row r="232" spans="19:22" x14ac:dyDescent="0.2">
      <c r="S232" s="96"/>
      <c r="V232" s="24"/>
    </row>
    <row r="233" spans="19:22" x14ac:dyDescent="0.2">
      <c r="S233" s="96"/>
      <c r="V233" s="24"/>
    </row>
    <row r="234" spans="19:22" x14ac:dyDescent="0.2">
      <c r="S234" s="96"/>
      <c r="V234" s="24"/>
    </row>
    <row r="235" spans="19:22" x14ac:dyDescent="0.2">
      <c r="S235" s="96"/>
      <c r="V235" s="24"/>
    </row>
    <row r="236" spans="19:22" x14ac:dyDescent="0.2">
      <c r="S236" s="96"/>
      <c r="V236" s="24"/>
    </row>
    <row r="237" spans="19:22" x14ac:dyDescent="0.2">
      <c r="S237" s="96"/>
      <c r="V237" s="24"/>
    </row>
    <row r="238" spans="19:22" x14ac:dyDescent="0.2">
      <c r="S238" s="96"/>
      <c r="V238" s="24"/>
    </row>
    <row r="239" spans="19:22" x14ac:dyDescent="0.2">
      <c r="S239" s="96"/>
      <c r="V239" s="24"/>
    </row>
    <row r="240" spans="19:22" x14ac:dyDescent="0.2">
      <c r="S240" s="96"/>
      <c r="V240" s="24"/>
    </row>
    <row r="241" spans="19:22" x14ac:dyDescent="0.2">
      <c r="S241" s="96"/>
      <c r="V241" s="24"/>
    </row>
    <row r="242" spans="19:22" x14ac:dyDescent="0.2">
      <c r="S242" s="96"/>
      <c r="V242" s="24"/>
    </row>
    <row r="243" spans="19:22" x14ac:dyDescent="0.2">
      <c r="S243" s="96"/>
      <c r="V243" s="24"/>
    </row>
    <row r="244" spans="19:22" x14ac:dyDescent="0.2">
      <c r="S244" s="96"/>
      <c r="V244" s="24"/>
    </row>
    <row r="245" spans="19:22" x14ac:dyDescent="0.2">
      <c r="S245" s="96"/>
      <c r="V245" s="24"/>
    </row>
    <row r="246" spans="19:22" x14ac:dyDescent="0.2">
      <c r="S246" s="96"/>
      <c r="V246" s="24"/>
    </row>
    <row r="247" spans="19:22" x14ac:dyDescent="0.2">
      <c r="S247" s="96"/>
      <c r="V247" s="24"/>
    </row>
    <row r="248" spans="19:22" x14ac:dyDescent="0.2">
      <c r="S248" s="96"/>
      <c r="V248" s="24"/>
    </row>
    <row r="249" spans="19:22" x14ac:dyDescent="0.2">
      <c r="S249" s="96"/>
      <c r="V249" s="24"/>
    </row>
    <row r="250" spans="19:22" x14ac:dyDescent="0.2">
      <c r="S250" s="96"/>
      <c r="V250" s="24"/>
    </row>
    <row r="251" spans="19:22" x14ac:dyDescent="0.2">
      <c r="S251" s="96"/>
      <c r="V251" s="24"/>
    </row>
    <row r="252" spans="19:22" x14ac:dyDescent="0.2">
      <c r="S252" s="96"/>
      <c r="V252" s="24"/>
    </row>
    <row r="253" spans="19:22" x14ac:dyDescent="0.2">
      <c r="S253" s="96"/>
      <c r="V253" s="24"/>
    </row>
    <row r="254" spans="19:22" x14ac:dyDescent="0.2">
      <c r="S254" s="96"/>
      <c r="V254" s="24"/>
    </row>
    <row r="255" spans="19:22" x14ac:dyDescent="0.2">
      <c r="S255" s="96"/>
      <c r="V255" s="24"/>
    </row>
    <row r="256" spans="19:22" x14ac:dyDescent="0.2">
      <c r="S256" s="96"/>
      <c r="V256" s="24"/>
    </row>
    <row r="257" spans="19:22" x14ac:dyDescent="0.2">
      <c r="S257" s="96"/>
      <c r="V257" s="24"/>
    </row>
    <row r="258" spans="19:22" x14ac:dyDescent="0.2">
      <c r="S258" s="96"/>
      <c r="V258" s="24"/>
    </row>
    <row r="259" spans="19:22" x14ac:dyDescent="0.2">
      <c r="S259" s="96"/>
      <c r="V259" s="24"/>
    </row>
    <row r="260" spans="19:22" x14ac:dyDescent="0.2">
      <c r="S260" s="96"/>
      <c r="V260" s="24"/>
    </row>
    <row r="261" spans="19:22" x14ac:dyDescent="0.2">
      <c r="S261" s="96"/>
      <c r="V261" s="24"/>
    </row>
    <row r="262" spans="19:22" x14ac:dyDescent="0.2">
      <c r="S262" s="96"/>
      <c r="V262" s="24"/>
    </row>
    <row r="263" spans="19:22" x14ac:dyDescent="0.2">
      <c r="S263" s="96"/>
      <c r="V263" s="24"/>
    </row>
    <row r="264" spans="19:22" x14ac:dyDescent="0.2">
      <c r="S264" s="96"/>
      <c r="V264" s="24"/>
    </row>
    <row r="265" spans="19:22" x14ac:dyDescent="0.2">
      <c r="S265" s="96"/>
      <c r="V265" s="24"/>
    </row>
    <row r="266" spans="19:22" x14ac:dyDescent="0.2">
      <c r="S266" s="96"/>
      <c r="V266" s="24"/>
    </row>
    <row r="267" spans="19:22" x14ac:dyDescent="0.2">
      <c r="S267" s="96"/>
      <c r="V267" s="24"/>
    </row>
    <row r="268" spans="19:22" x14ac:dyDescent="0.2">
      <c r="S268" s="96"/>
      <c r="V268" s="24"/>
    </row>
    <row r="269" spans="19:22" x14ac:dyDescent="0.2">
      <c r="S269" s="96"/>
      <c r="V269" s="24"/>
    </row>
    <row r="270" spans="19:22" x14ac:dyDescent="0.2">
      <c r="S270" s="96"/>
      <c r="V270" s="24"/>
    </row>
    <row r="271" spans="19:22" x14ac:dyDescent="0.2">
      <c r="S271" s="96"/>
      <c r="V271" s="24"/>
    </row>
    <row r="272" spans="19:22" x14ac:dyDescent="0.2">
      <c r="S272" s="96"/>
      <c r="V272" s="24"/>
    </row>
    <row r="273" spans="19:22" x14ac:dyDescent="0.2">
      <c r="S273" s="96"/>
      <c r="V273" s="24"/>
    </row>
    <row r="274" spans="19:22" x14ac:dyDescent="0.2">
      <c r="S274" s="96"/>
      <c r="V274" s="24"/>
    </row>
    <row r="275" spans="19:22" x14ac:dyDescent="0.2">
      <c r="S275" s="96"/>
      <c r="V275" s="24"/>
    </row>
    <row r="276" spans="19:22" x14ac:dyDescent="0.2">
      <c r="S276" s="96"/>
      <c r="V276" s="24"/>
    </row>
    <row r="277" spans="19:22" x14ac:dyDescent="0.2">
      <c r="S277" s="96"/>
      <c r="V277" s="24"/>
    </row>
    <row r="278" spans="19:22" x14ac:dyDescent="0.2">
      <c r="S278" s="96"/>
      <c r="V278" s="24"/>
    </row>
    <row r="279" spans="19:22" x14ac:dyDescent="0.2">
      <c r="S279" s="96"/>
      <c r="V279" s="24"/>
    </row>
    <row r="280" spans="19:22" x14ac:dyDescent="0.2">
      <c r="S280" s="96"/>
      <c r="V280" s="24"/>
    </row>
    <row r="281" spans="19:22" x14ac:dyDescent="0.2">
      <c r="S281" s="96"/>
      <c r="V281" s="24"/>
    </row>
    <row r="282" spans="19:22" x14ac:dyDescent="0.2">
      <c r="S282" s="96"/>
      <c r="V282" s="24"/>
    </row>
    <row r="283" spans="19:22" x14ac:dyDescent="0.2">
      <c r="S283" s="96"/>
    </row>
    <row r="284" spans="19:22" x14ac:dyDescent="0.2">
      <c r="S284" s="96"/>
    </row>
    <row r="285" spans="19:22" x14ac:dyDescent="0.2">
      <c r="S285" s="96"/>
    </row>
    <row r="286" spans="19:22" x14ac:dyDescent="0.2">
      <c r="S286" s="96"/>
    </row>
    <row r="287" spans="19:22" x14ac:dyDescent="0.2">
      <c r="S287" s="96"/>
    </row>
    <row r="288" spans="19:22" x14ac:dyDescent="0.2">
      <c r="S288" s="96"/>
    </row>
    <row r="289" spans="19:19" x14ac:dyDescent="0.2">
      <c r="S289" s="96"/>
    </row>
    <row r="290" spans="19:19" x14ac:dyDescent="0.2">
      <c r="S290" s="96"/>
    </row>
    <row r="291" spans="19:19" x14ac:dyDescent="0.2">
      <c r="S291" s="96"/>
    </row>
    <row r="292" spans="19:19" x14ac:dyDescent="0.2">
      <c r="S292" s="96"/>
    </row>
    <row r="293" spans="19:19" x14ac:dyDescent="0.2">
      <c r="S293" s="96"/>
    </row>
    <row r="294" spans="19:19" x14ac:dyDescent="0.2">
      <c r="S294" s="96"/>
    </row>
    <row r="295" spans="19:19" x14ac:dyDescent="0.2">
      <c r="S295" s="96"/>
    </row>
    <row r="296" spans="19:19" x14ac:dyDescent="0.2">
      <c r="S296" s="96"/>
    </row>
    <row r="297" spans="19:19" x14ac:dyDescent="0.2">
      <c r="S297" s="96"/>
    </row>
    <row r="298" spans="19:19" x14ac:dyDescent="0.2">
      <c r="S298" s="96"/>
    </row>
    <row r="299" spans="19:19" x14ac:dyDescent="0.2">
      <c r="S299" s="96"/>
    </row>
    <row r="300" spans="19:19" x14ac:dyDescent="0.2">
      <c r="S300" s="96"/>
    </row>
    <row r="301" spans="19:19" x14ac:dyDescent="0.2">
      <c r="S301" s="96"/>
    </row>
    <row r="302" spans="19:19" x14ac:dyDescent="0.2">
      <c r="S302" s="96"/>
    </row>
    <row r="303" spans="19:19" x14ac:dyDescent="0.2">
      <c r="S303" s="96"/>
    </row>
    <row r="304" spans="19:19" x14ac:dyDescent="0.2">
      <c r="S304" s="96"/>
    </row>
    <row r="305" spans="19:19" x14ac:dyDescent="0.2">
      <c r="S305" s="96"/>
    </row>
    <row r="306" spans="19:19" x14ac:dyDescent="0.2">
      <c r="S306" s="96"/>
    </row>
    <row r="307" spans="19:19" x14ac:dyDescent="0.2">
      <c r="S307" s="96"/>
    </row>
    <row r="308" spans="19:19" x14ac:dyDescent="0.2">
      <c r="S308" s="96"/>
    </row>
    <row r="309" spans="19:19" x14ac:dyDescent="0.2">
      <c r="S309" s="96"/>
    </row>
    <row r="310" spans="19:19" x14ac:dyDescent="0.2">
      <c r="S310" s="96"/>
    </row>
    <row r="311" spans="19:19" x14ac:dyDescent="0.2">
      <c r="S311" s="96"/>
    </row>
    <row r="312" spans="19:19" x14ac:dyDescent="0.2">
      <c r="S312" s="96"/>
    </row>
    <row r="313" spans="19:19" x14ac:dyDescent="0.2">
      <c r="S313" s="96"/>
    </row>
    <row r="314" spans="19:19" x14ac:dyDescent="0.2">
      <c r="S314" s="96"/>
    </row>
    <row r="315" spans="19:19" x14ac:dyDescent="0.2">
      <c r="S315" s="96"/>
    </row>
    <row r="316" spans="19:19" x14ac:dyDescent="0.2">
      <c r="S316" s="96"/>
    </row>
    <row r="317" spans="19:19" x14ac:dyDescent="0.2">
      <c r="S317" s="96"/>
    </row>
    <row r="318" spans="19:19" x14ac:dyDescent="0.2">
      <c r="S318" s="96"/>
    </row>
    <row r="319" spans="19:19" x14ac:dyDescent="0.2">
      <c r="S319" s="96"/>
    </row>
    <row r="320" spans="19:19" x14ac:dyDescent="0.2">
      <c r="S320" s="96"/>
    </row>
    <row r="321" spans="19:19" x14ac:dyDescent="0.2">
      <c r="S321" s="96"/>
    </row>
    <row r="322" spans="19:19" x14ac:dyDescent="0.2">
      <c r="S322" s="96"/>
    </row>
    <row r="323" spans="19:19" x14ac:dyDescent="0.2">
      <c r="S323" s="96"/>
    </row>
    <row r="324" spans="19:19" x14ac:dyDescent="0.2">
      <c r="S324" s="96"/>
    </row>
    <row r="325" spans="19:19" x14ac:dyDescent="0.2">
      <c r="S325" s="96"/>
    </row>
    <row r="326" spans="19:19" x14ac:dyDescent="0.2">
      <c r="S326" s="96"/>
    </row>
    <row r="327" spans="19:19" x14ac:dyDescent="0.2">
      <c r="S327" s="96"/>
    </row>
    <row r="328" spans="19:19" x14ac:dyDescent="0.2">
      <c r="S328" s="96"/>
    </row>
    <row r="329" spans="19:19" x14ac:dyDescent="0.2">
      <c r="S329" s="96"/>
    </row>
    <row r="330" spans="19:19" x14ac:dyDescent="0.2">
      <c r="S330" s="96"/>
    </row>
    <row r="331" spans="19:19" x14ac:dyDescent="0.2">
      <c r="S331" s="96"/>
    </row>
    <row r="332" spans="19:19" x14ac:dyDescent="0.2">
      <c r="S332" s="96"/>
    </row>
    <row r="333" spans="19:19" x14ac:dyDescent="0.2">
      <c r="S333" s="96"/>
    </row>
    <row r="334" spans="19:19" x14ac:dyDescent="0.2">
      <c r="S334" s="96"/>
    </row>
    <row r="335" spans="19:19" x14ac:dyDescent="0.2">
      <c r="S335" s="96"/>
    </row>
    <row r="336" spans="19:19" x14ac:dyDescent="0.2">
      <c r="S336" s="96"/>
    </row>
    <row r="337" spans="19:19" x14ac:dyDescent="0.2">
      <c r="S337" s="96"/>
    </row>
    <row r="338" spans="19:19" x14ac:dyDescent="0.2">
      <c r="S338" s="96"/>
    </row>
    <row r="339" spans="19:19" x14ac:dyDescent="0.2">
      <c r="S339" s="96"/>
    </row>
    <row r="340" spans="19:19" x14ac:dyDescent="0.2">
      <c r="S340" s="96"/>
    </row>
    <row r="341" spans="19:19" x14ac:dyDescent="0.2">
      <c r="S341" s="96"/>
    </row>
    <row r="342" spans="19:19" x14ac:dyDescent="0.2">
      <c r="S342" s="96"/>
    </row>
    <row r="343" spans="19:19" x14ac:dyDescent="0.2">
      <c r="S343" s="96"/>
    </row>
    <row r="344" spans="19:19" x14ac:dyDescent="0.2">
      <c r="S344" s="96"/>
    </row>
    <row r="345" spans="19:19" x14ac:dyDescent="0.2">
      <c r="S345" s="96"/>
    </row>
    <row r="346" spans="19:19" x14ac:dyDescent="0.2">
      <c r="S346" s="96"/>
    </row>
    <row r="347" spans="19:19" x14ac:dyDescent="0.2">
      <c r="S347" s="96"/>
    </row>
    <row r="348" spans="19:19" x14ac:dyDescent="0.2">
      <c r="S348" s="96"/>
    </row>
    <row r="349" spans="19:19" x14ac:dyDescent="0.2">
      <c r="S349" s="96"/>
    </row>
    <row r="350" spans="19:19" x14ac:dyDescent="0.2">
      <c r="S350" s="96"/>
    </row>
    <row r="351" spans="19:19" x14ac:dyDescent="0.2">
      <c r="S351" s="96"/>
    </row>
    <row r="352" spans="19:19" x14ac:dyDescent="0.2">
      <c r="S352" s="96"/>
    </row>
    <row r="353" spans="19:19" x14ac:dyDescent="0.2">
      <c r="S353" s="96"/>
    </row>
    <row r="354" spans="19:19" x14ac:dyDescent="0.2">
      <c r="S354" s="96"/>
    </row>
    <row r="355" spans="19:19" x14ac:dyDescent="0.2">
      <c r="S355" s="96"/>
    </row>
    <row r="356" spans="19:19" x14ac:dyDescent="0.2">
      <c r="S356" s="96"/>
    </row>
    <row r="357" spans="19:19" x14ac:dyDescent="0.2">
      <c r="S357" s="96"/>
    </row>
    <row r="358" spans="19:19" x14ac:dyDescent="0.2">
      <c r="S358" s="96"/>
    </row>
    <row r="359" spans="19:19" x14ac:dyDescent="0.2">
      <c r="S359" s="96"/>
    </row>
    <row r="360" spans="19:19" x14ac:dyDescent="0.2">
      <c r="S360" s="96"/>
    </row>
    <row r="361" spans="19:19" x14ac:dyDescent="0.2">
      <c r="S361" s="96"/>
    </row>
    <row r="362" spans="19:19" x14ac:dyDescent="0.2">
      <c r="S362" s="96"/>
    </row>
    <row r="363" spans="19:19" x14ac:dyDescent="0.2">
      <c r="S363" s="96"/>
    </row>
    <row r="364" spans="19:19" x14ac:dyDescent="0.2">
      <c r="S364" s="96"/>
    </row>
    <row r="365" spans="19:19" x14ac:dyDescent="0.2">
      <c r="S365" s="96"/>
    </row>
    <row r="366" spans="19:19" x14ac:dyDescent="0.2">
      <c r="S366" s="96"/>
    </row>
    <row r="367" spans="19:19" x14ac:dyDescent="0.2">
      <c r="S367" s="96"/>
    </row>
    <row r="368" spans="19:19" x14ac:dyDescent="0.2">
      <c r="S368" s="96"/>
    </row>
    <row r="369" spans="19:19" x14ac:dyDescent="0.2">
      <c r="S369" s="96"/>
    </row>
    <row r="370" spans="19:19" x14ac:dyDescent="0.2">
      <c r="S370" s="96"/>
    </row>
    <row r="371" spans="19:19" x14ac:dyDescent="0.2">
      <c r="S371" s="96"/>
    </row>
    <row r="372" spans="19:19" x14ac:dyDescent="0.2">
      <c r="S372" s="96"/>
    </row>
    <row r="373" spans="19:19" x14ac:dyDescent="0.2">
      <c r="S373" s="96"/>
    </row>
    <row r="374" spans="19:19" x14ac:dyDescent="0.2">
      <c r="S374" s="96"/>
    </row>
    <row r="375" spans="19:19" x14ac:dyDescent="0.2">
      <c r="S375" s="96"/>
    </row>
    <row r="376" spans="19:19" x14ac:dyDescent="0.2">
      <c r="S376" s="96"/>
    </row>
    <row r="377" spans="19:19" x14ac:dyDescent="0.2">
      <c r="S377" s="96"/>
    </row>
    <row r="378" spans="19:19" x14ac:dyDescent="0.2">
      <c r="S378" s="96"/>
    </row>
    <row r="379" spans="19:19" x14ac:dyDescent="0.2">
      <c r="S379" s="96"/>
    </row>
    <row r="380" spans="19:19" x14ac:dyDescent="0.2">
      <c r="S380" s="96"/>
    </row>
    <row r="381" spans="19:19" x14ac:dyDescent="0.2">
      <c r="S381" s="96"/>
    </row>
    <row r="382" spans="19:19" x14ac:dyDescent="0.2">
      <c r="S382" s="96"/>
    </row>
    <row r="383" spans="19:19" x14ac:dyDescent="0.2">
      <c r="S383" s="96"/>
    </row>
    <row r="384" spans="19:19" x14ac:dyDescent="0.2">
      <c r="S384" s="96"/>
    </row>
    <row r="385" spans="19:19" x14ac:dyDescent="0.2">
      <c r="S385" s="96"/>
    </row>
    <row r="386" spans="19:19" x14ac:dyDescent="0.2">
      <c r="S386" s="96"/>
    </row>
    <row r="387" spans="19:19" x14ac:dyDescent="0.2">
      <c r="S387" s="96"/>
    </row>
    <row r="388" spans="19:19" x14ac:dyDescent="0.2">
      <c r="S388" s="96"/>
    </row>
    <row r="389" spans="19:19" x14ac:dyDescent="0.2">
      <c r="S389" s="96"/>
    </row>
    <row r="390" spans="19:19" x14ac:dyDescent="0.2">
      <c r="S390" s="96"/>
    </row>
    <row r="391" spans="19:19" x14ac:dyDescent="0.2">
      <c r="S391" s="96"/>
    </row>
    <row r="392" spans="19:19" x14ac:dyDescent="0.2">
      <c r="S392" s="96"/>
    </row>
    <row r="393" spans="19:19" x14ac:dyDescent="0.2">
      <c r="S393" s="96"/>
    </row>
    <row r="394" spans="19:19" x14ac:dyDescent="0.2">
      <c r="S394" s="96"/>
    </row>
    <row r="395" spans="19:19" x14ac:dyDescent="0.2">
      <c r="S395" s="96"/>
    </row>
    <row r="396" spans="19:19" x14ac:dyDescent="0.2">
      <c r="S396" s="96"/>
    </row>
    <row r="397" spans="19:19" x14ac:dyDescent="0.2">
      <c r="S397" s="96"/>
    </row>
    <row r="398" spans="19:19" x14ac:dyDescent="0.2">
      <c r="S398" s="96"/>
    </row>
    <row r="399" spans="19:19" x14ac:dyDescent="0.2">
      <c r="S399" s="96"/>
    </row>
    <row r="400" spans="19:19" x14ac:dyDescent="0.2">
      <c r="S400" s="96"/>
    </row>
    <row r="401" spans="19:19" x14ac:dyDescent="0.2">
      <c r="S401" s="96"/>
    </row>
    <row r="402" spans="19:19" x14ac:dyDescent="0.2">
      <c r="S402" s="96"/>
    </row>
    <row r="403" spans="19:19" x14ac:dyDescent="0.2">
      <c r="S403" s="96"/>
    </row>
    <row r="404" spans="19:19" x14ac:dyDescent="0.2">
      <c r="S404" s="96"/>
    </row>
    <row r="405" spans="19:19" x14ac:dyDescent="0.2">
      <c r="S405" s="96"/>
    </row>
    <row r="406" spans="19:19" x14ac:dyDescent="0.2">
      <c r="S406" s="96"/>
    </row>
    <row r="407" spans="19:19" x14ac:dyDescent="0.2">
      <c r="S407" s="96"/>
    </row>
    <row r="408" spans="19:19" x14ac:dyDescent="0.2">
      <c r="S408" s="96"/>
    </row>
    <row r="409" spans="19:19" x14ac:dyDescent="0.2">
      <c r="S409" s="96"/>
    </row>
    <row r="410" spans="19:19" x14ac:dyDescent="0.2">
      <c r="S410" s="96"/>
    </row>
    <row r="411" spans="19:19" x14ac:dyDescent="0.2">
      <c r="S411" s="96"/>
    </row>
    <row r="412" spans="19:19" x14ac:dyDescent="0.2">
      <c r="S412" s="96"/>
    </row>
    <row r="413" spans="19:19" x14ac:dyDescent="0.2">
      <c r="S413" s="96"/>
    </row>
    <row r="414" spans="19:19" x14ac:dyDescent="0.2">
      <c r="S414" s="96"/>
    </row>
    <row r="415" spans="19:19" x14ac:dyDescent="0.2">
      <c r="S415" s="96"/>
    </row>
    <row r="416" spans="19:19" x14ac:dyDescent="0.2">
      <c r="S416" s="96"/>
    </row>
    <row r="417" spans="19:19" x14ac:dyDescent="0.2">
      <c r="S417" s="96"/>
    </row>
    <row r="418" spans="19:19" x14ac:dyDescent="0.2">
      <c r="S418" s="96"/>
    </row>
    <row r="419" spans="19:19" x14ac:dyDescent="0.2">
      <c r="S419" s="96"/>
    </row>
    <row r="420" spans="19:19" x14ac:dyDescent="0.2">
      <c r="S420" s="96"/>
    </row>
    <row r="421" spans="19:19" x14ac:dyDescent="0.2">
      <c r="S421" s="96"/>
    </row>
    <row r="422" spans="19:19" x14ac:dyDescent="0.2">
      <c r="S422" s="96"/>
    </row>
    <row r="423" spans="19:19" x14ac:dyDescent="0.2">
      <c r="S423" s="96"/>
    </row>
    <row r="424" spans="19:19" x14ac:dyDescent="0.2">
      <c r="S424" s="96"/>
    </row>
    <row r="425" spans="19:19" x14ac:dyDescent="0.2">
      <c r="S425" s="96"/>
    </row>
    <row r="426" spans="19:19" x14ac:dyDescent="0.2">
      <c r="S426" s="96"/>
    </row>
    <row r="427" spans="19:19" x14ac:dyDescent="0.2">
      <c r="S427" s="96"/>
    </row>
    <row r="428" spans="19:19" x14ac:dyDescent="0.2">
      <c r="S428" s="96"/>
    </row>
    <row r="429" spans="19:19" x14ac:dyDescent="0.2">
      <c r="S429" s="96"/>
    </row>
    <row r="430" spans="19:19" x14ac:dyDescent="0.2">
      <c r="S430" s="96"/>
    </row>
    <row r="431" spans="19:19" x14ac:dyDescent="0.2">
      <c r="S431" s="96"/>
    </row>
    <row r="432" spans="19:19" x14ac:dyDescent="0.2">
      <c r="S432" s="96"/>
    </row>
    <row r="433" spans="19:19" x14ac:dyDescent="0.2">
      <c r="S433" s="96"/>
    </row>
    <row r="434" spans="19:19" x14ac:dyDescent="0.2">
      <c r="S434" s="96"/>
    </row>
    <row r="435" spans="19:19" x14ac:dyDescent="0.2">
      <c r="S435" s="96"/>
    </row>
    <row r="436" spans="19:19" x14ac:dyDescent="0.2">
      <c r="S436" s="96"/>
    </row>
    <row r="437" spans="19:19" x14ac:dyDescent="0.2">
      <c r="S437" s="96"/>
    </row>
    <row r="438" spans="19:19" x14ac:dyDescent="0.2">
      <c r="S438" s="96"/>
    </row>
    <row r="439" spans="19:19" x14ac:dyDescent="0.2">
      <c r="S439" s="96"/>
    </row>
    <row r="440" spans="19:19" x14ac:dyDescent="0.2">
      <c r="S440" s="96"/>
    </row>
    <row r="441" spans="19:19" x14ac:dyDescent="0.2">
      <c r="S441" s="96"/>
    </row>
    <row r="442" spans="19:19" x14ac:dyDescent="0.2">
      <c r="S442" s="96"/>
    </row>
    <row r="443" spans="19:19" x14ac:dyDescent="0.2">
      <c r="S443" s="96"/>
    </row>
    <row r="444" spans="19:19" x14ac:dyDescent="0.2">
      <c r="S444" s="96"/>
    </row>
    <row r="445" spans="19:19" x14ac:dyDescent="0.2">
      <c r="S445" s="96"/>
    </row>
    <row r="446" spans="19:19" x14ac:dyDescent="0.2">
      <c r="S446" s="96"/>
    </row>
    <row r="447" spans="19:19" x14ac:dyDescent="0.2">
      <c r="S447" s="96"/>
    </row>
    <row r="448" spans="19:19" x14ac:dyDescent="0.2">
      <c r="S448" s="96"/>
    </row>
    <row r="449" spans="19:19" x14ac:dyDescent="0.2">
      <c r="S449" s="96"/>
    </row>
    <row r="450" spans="19:19" x14ac:dyDescent="0.2">
      <c r="S450" s="96"/>
    </row>
    <row r="451" spans="19:19" x14ac:dyDescent="0.2">
      <c r="S451" s="96"/>
    </row>
    <row r="452" spans="19:19" x14ac:dyDescent="0.2">
      <c r="S452" s="96"/>
    </row>
    <row r="453" spans="19:19" x14ac:dyDescent="0.2">
      <c r="S453" s="96"/>
    </row>
    <row r="454" spans="19:19" x14ac:dyDescent="0.2">
      <c r="S454" s="96"/>
    </row>
    <row r="455" spans="19:19" x14ac:dyDescent="0.2">
      <c r="S455" s="96"/>
    </row>
    <row r="456" spans="19:19" x14ac:dyDescent="0.2">
      <c r="S456" s="96"/>
    </row>
    <row r="457" spans="19:19" x14ac:dyDescent="0.2">
      <c r="S457" s="96"/>
    </row>
    <row r="458" spans="19:19" x14ac:dyDescent="0.2">
      <c r="S458" s="96"/>
    </row>
    <row r="459" spans="19:19" x14ac:dyDescent="0.2">
      <c r="S459" s="96"/>
    </row>
    <row r="460" spans="19:19" x14ac:dyDescent="0.2">
      <c r="S460" s="96"/>
    </row>
    <row r="461" spans="19:19" x14ac:dyDescent="0.2">
      <c r="S461" s="96"/>
    </row>
    <row r="462" spans="19:19" x14ac:dyDescent="0.2">
      <c r="S462" s="96"/>
    </row>
    <row r="463" spans="19:19" x14ac:dyDescent="0.2">
      <c r="S463" s="96"/>
    </row>
    <row r="464" spans="19:19" x14ac:dyDescent="0.2">
      <c r="S464" s="96"/>
    </row>
    <row r="465" spans="19:19" x14ac:dyDescent="0.2">
      <c r="S465" s="96"/>
    </row>
    <row r="466" spans="19:19" x14ac:dyDescent="0.2">
      <c r="S466" s="96"/>
    </row>
    <row r="467" spans="19:19" x14ac:dyDescent="0.2">
      <c r="S467" s="96"/>
    </row>
    <row r="468" spans="19:19" x14ac:dyDescent="0.2">
      <c r="S468" s="96"/>
    </row>
    <row r="469" spans="19:19" x14ac:dyDescent="0.2">
      <c r="S469" s="96"/>
    </row>
    <row r="470" spans="19:19" x14ac:dyDescent="0.2">
      <c r="S470" s="96"/>
    </row>
    <row r="471" spans="19:19" x14ac:dyDescent="0.2">
      <c r="S471" s="96"/>
    </row>
    <row r="472" spans="19:19" x14ac:dyDescent="0.2">
      <c r="S472" s="96"/>
    </row>
    <row r="473" spans="19:19" x14ac:dyDescent="0.2">
      <c r="S473" s="96"/>
    </row>
    <row r="474" spans="19:19" x14ac:dyDescent="0.2">
      <c r="S474" s="96"/>
    </row>
    <row r="475" spans="19:19" x14ac:dyDescent="0.2">
      <c r="S475" s="96"/>
    </row>
    <row r="476" spans="19:19" x14ac:dyDescent="0.2">
      <c r="S476" s="96"/>
    </row>
    <row r="477" spans="19:19" x14ac:dyDescent="0.2">
      <c r="S477" s="96"/>
    </row>
    <row r="478" spans="19:19" x14ac:dyDescent="0.2">
      <c r="S478" s="96"/>
    </row>
    <row r="479" spans="19:19" x14ac:dyDescent="0.2">
      <c r="S479" s="96"/>
    </row>
    <row r="480" spans="19:19" x14ac:dyDescent="0.2">
      <c r="S480" s="96"/>
    </row>
    <row r="481" spans="19:19" x14ac:dyDescent="0.2">
      <c r="S481" s="96"/>
    </row>
    <row r="482" spans="19:19" x14ac:dyDescent="0.2">
      <c r="S482" s="96"/>
    </row>
    <row r="483" spans="19:19" x14ac:dyDescent="0.2">
      <c r="S483" s="96"/>
    </row>
    <row r="484" spans="19:19" x14ac:dyDescent="0.2">
      <c r="S484" s="96"/>
    </row>
    <row r="485" spans="19:19" x14ac:dyDescent="0.2">
      <c r="S485" s="96"/>
    </row>
    <row r="486" spans="19:19" x14ac:dyDescent="0.2">
      <c r="S486" s="96"/>
    </row>
    <row r="487" spans="19:19" x14ac:dyDescent="0.2">
      <c r="S487" s="96"/>
    </row>
    <row r="488" spans="19:19" x14ac:dyDescent="0.2">
      <c r="S488" s="96"/>
    </row>
    <row r="489" spans="19:19" x14ac:dyDescent="0.2">
      <c r="S489" s="96"/>
    </row>
    <row r="490" spans="19:19" x14ac:dyDescent="0.2">
      <c r="S490" s="96"/>
    </row>
    <row r="491" spans="19:19" x14ac:dyDescent="0.2">
      <c r="S491" s="96"/>
    </row>
    <row r="492" spans="19:19" x14ac:dyDescent="0.2">
      <c r="S492" s="96"/>
    </row>
    <row r="493" spans="19:19" x14ac:dyDescent="0.2">
      <c r="S493" s="96"/>
    </row>
    <row r="494" spans="19:19" x14ac:dyDescent="0.2">
      <c r="S494" s="96"/>
    </row>
    <row r="495" spans="19:19" x14ac:dyDescent="0.2">
      <c r="S495" s="96"/>
    </row>
    <row r="496" spans="19:19" x14ac:dyDescent="0.2">
      <c r="S496" s="96"/>
    </row>
    <row r="497" spans="19:19" x14ac:dyDescent="0.2">
      <c r="S497" s="96"/>
    </row>
    <row r="498" spans="19:19" x14ac:dyDescent="0.2">
      <c r="S498" s="96"/>
    </row>
    <row r="499" spans="19:19" x14ac:dyDescent="0.2">
      <c r="S499" s="96"/>
    </row>
    <row r="500" spans="19:19" x14ac:dyDescent="0.2">
      <c r="S500" s="96"/>
    </row>
    <row r="501" spans="19:19" x14ac:dyDescent="0.2">
      <c r="S501" s="96"/>
    </row>
    <row r="502" spans="19:19" x14ac:dyDescent="0.2">
      <c r="S502" s="96"/>
    </row>
    <row r="503" spans="19:19" x14ac:dyDescent="0.2">
      <c r="S503" s="96"/>
    </row>
    <row r="504" spans="19:19" x14ac:dyDescent="0.2">
      <c r="S504" s="96"/>
    </row>
    <row r="505" spans="19:19" x14ac:dyDescent="0.2">
      <c r="S505" s="96"/>
    </row>
    <row r="506" spans="19:19" x14ac:dyDescent="0.2">
      <c r="S506" s="96"/>
    </row>
    <row r="507" spans="19:19" x14ac:dyDescent="0.2">
      <c r="S507" s="96"/>
    </row>
    <row r="508" spans="19:19" x14ac:dyDescent="0.2">
      <c r="S508" s="96"/>
    </row>
    <row r="509" spans="19:19" x14ac:dyDescent="0.2">
      <c r="S509" s="96"/>
    </row>
    <row r="510" spans="19:19" x14ac:dyDescent="0.2">
      <c r="S510" s="96"/>
    </row>
    <row r="511" spans="19:19" x14ac:dyDescent="0.2">
      <c r="S511" s="96"/>
    </row>
    <row r="512" spans="19:19" x14ac:dyDescent="0.2">
      <c r="S512" s="96"/>
    </row>
    <row r="513" spans="19:19" x14ac:dyDescent="0.2">
      <c r="S513" s="96"/>
    </row>
    <row r="514" spans="19:19" x14ac:dyDescent="0.2">
      <c r="S514" s="96"/>
    </row>
    <row r="515" spans="19:19" x14ac:dyDescent="0.2">
      <c r="S515" s="96"/>
    </row>
    <row r="516" spans="19:19" x14ac:dyDescent="0.2">
      <c r="S516" s="96"/>
    </row>
    <row r="517" spans="19:19" x14ac:dyDescent="0.2">
      <c r="S517" s="96"/>
    </row>
    <row r="518" spans="19:19" x14ac:dyDescent="0.2">
      <c r="S518" s="96"/>
    </row>
    <row r="519" spans="19:19" x14ac:dyDescent="0.2">
      <c r="S519" s="96"/>
    </row>
    <row r="520" spans="19:19" x14ac:dyDescent="0.2">
      <c r="S520" s="96"/>
    </row>
    <row r="521" spans="19:19" x14ac:dyDescent="0.2">
      <c r="S521" s="96"/>
    </row>
    <row r="522" spans="19:19" x14ac:dyDescent="0.2">
      <c r="S522" s="96"/>
    </row>
    <row r="523" spans="19:19" x14ac:dyDescent="0.2">
      <c r="S523" s="96"/>
    </row>
    <row r="524" spans="19:19" x14ac:dyDescent="0.2">
      <c r="S524" s="96"/>
    </row>
    <row r="525" spans="19:19" x14ac:dyDescent="0.2">
      <c r="S525" s="96"/>
    </row>
    <row r="526" spans="19:19" x14ac:dyDescent="0.2">
      <c r="S526" s="96"/>
    </row>
    <row r="527" spans="19:19" x14ac:dyDescent="0.2">
      <c r="S527" s="96"/>
    </row>
    <row r="528" spans="19:19" x14ac:dyDescent="0.2">
      <c r="S528" s="96"/>
    </row>
    <row r="529" spans="19:19" x14ac:dyDescent="0.2">
      <c r="S529" s="96"/>
    </row>
    <row r="530" spans="19:19" x14ac:dyDescent="0.2">
      <c r="S530" s="96"/>
    </row>
    <row r="531" spans="19:19" x14ac:dyDescent="0.2">
      <c r="S531" s="96"/>
    </row>
    <row r="532" spans="19:19" x14ac:dyDescent="0.2">
      <c r="S532" s="96"/>
    </row>
    <row r="533" spans="19:19" x14ac:dyDescent="0.2">
      <c r="S533" s="96"/>
    </row>
    <row r="534" spans="19:19" x14ac:dyDescent="0.2">
      <c r="S534" s="96"/>
    </row>
    <row r="535" spans="19:19" x14ac:dyDescent="0.2">
      <c r="S535" s="96"/>
    </row>
    <row r="536" spans="19:19" x14ac:dyDescent="0.2">
      <c r="S536" s="96"/>
    </row>
    <row r="537" spans="19:19" x14ac:dyDescent="0.2">
      <c r="S537" s="96"/>
    </row>
    <row r="538" spans="19:19" x14ac:dyDescent="0.2">
      <c r="S538" s="96"/>
    </row>
    <row r="539" spans="19:19" x14ac:dyDescent="0.2">
      <c r="S539" s="96"/>
    </row>
    <row r="540" spans="19:19" x14ac:dyDescent="0.2">
      <c r="S540" s="96"/>
    </row>
    <row r="541" spans="19:19" x14ac:dyDescent="0.2">
      <c r="S541" s="96"/>
    </row>
    <row r="542" spans="19:19" x14ac:dyDescent="0.2">
      <c r="S542" s="96"/>
    </row>
    <row r="543" spans="19:19" x14ac:dyDescent="0.2">
      <c r="S543" s="96"/>
    </row>
    <row r="544" spans="19:19" x14ac:dyDescent="0.2">
      <c r="S544" s="96"/>
    </row>
    <row r="545" spans="19:19" x14ac:dyDescent="0.2">
      <c r="S545" s="96"/>
    </row>
    <row r="546" spans="19:19" x14ac:dyDescent="0.2">
      <c r="S546" s="96"/>
    </row>
    <row r="547" spans="19:19" x14ac:dyDescent="0.2">
      <c r="S547" s="96"/>
    </row>
    <row r="548" spans="19:19" x14ac:dyDescent="0.2">
      <c r="S548" s="96"/>
    </row>
    <row r="549" spans="19:19" x14ac:dyDescent="0.2">
      <c r="S549" s="96"/>
    </row>
    <row r="550" spans="19:19" x14ac:dyDescent="0.2">
      <c r="S550" s="96"/>
    </row>
    <row r="551" spans="19:19" x14ac:dyDescent="0.2">
      <c r="S551" s="96"/>
    </row>
    <row r="552" spans="19:19" x14ac:dyDescent="0.2">
      <c r="S552" s="96"/>
    </row>
    <row r="553" spans="19:19" x14ac:dyDescent="0.2">
      <c r="S553" s="96"/>
    </row>
    <row r="554" spans="19:19" x14ac:dyDescent="0.2">
      <c r="S554" s="96"/>
    </row>
    <row r="555" spans="19:19" x14ac:dyDescent="0.2">
      <c r="S555" s="96"/>
    </row>
    <row r="556" spans="19:19" x14ac:dyDescent="0.2">
      <c r="S556" s="96"/>
    </row>
    <row r="557" spans="19:19" x14ac:dyDescent="0.2">
      <c r="S557" s="96"/>
    </row>
    <row r="558" spans="19:19" x14ac:dyDescent="0.2">
      <c r="S558" s="96"/>
    </row>
    <row r="559" spans="19:19" x14ac:dyDescent="0.2">
      <c r="S559" s="96"/>
    </row>
    <row r="560" spans="19:19" x14ac:dyDescent="0.2">
      <c r="S560" s="96"/>
    </row>
    <row r="561" spans="19:19" x14ac:dyDescent="0.2">
      <c r="S561" s="96"/>
    </row>
    <row r="562" spans="19:19" x14ac:dyDescent="0.2">
      <c r="S562" s="96"/>
    </row>
    <row r="563" spans="19:19" x14ac:dyDescent="0.2">
      <c r="S563" s="96"/>
    </row>
    <row r="564" spans="19:19" x14ac:dyDescent="0.2">
      <c r="S564" s="96"/>
    </row>
    <row r="565" spans="19:19" x14ac:dyDescent="0.2">
      <c r="S565" s="96"/>
    </row>
    <row r="566" spans="19:19" x14ac:dyDescent="0.2">
      <c r="S566" s="96"/>
    </row>
    <row r="567" spans="19:19" x14ac:dyDescent="0.2">
      <c r="S567" s="96"/>
    </row>
    <row r="568" spans="19:19" x14ac:dyDescent="0.2">
      <c r="S568" s="96"/>
    </row>
    <row r="569" spans="19:19" x14ac:dyDescent="0.2">
      <c r="S569" s="96"/>
    </row>
    <row r="570" spans="19:19" x14ac:dyDescent="0.2">
      <c r="S570" s="96"/>
    </row>
    <row r="571" spans="19:19" x14ac:dyDescent="0.2">
      <c r="S571" s="96"/>
    </row>
    <row r="572" spans="19:19" x14ac:dyDescent="0.2">
      <c r="S572" s="96"/>
    </row>
    <row r="573" spans="19:19" x14ac:dyDescent="0.2">
      <c r="S573" s="96"/>
    </row>
    <row r="574" spans="19:19" x14ac:dyDescent="0.2">
      <c r="S574" s="96"/>
    </row>
    <row r="575" spans="19:19" x14ac:dyDescent="0.2">
      <c r="S575" s="96"/>
    </row>
    <row r="576" spans="19:19" x14ac:dyDescent="0.2">
      <c r="S576" s="96"/>
    </row>
    <row r="577" spans="19:19" x14ac:dyDescent="0.2">
      <c r="S577" s="96"/>
    </row>
    <row r="578" spans="19:19" x14ac:dyDescent="0.2">
      <c r="S578" s="96"/>
    </row>
    <row r="579" spans="19:19" x14ac:dyDescent="0.2">
      <c r="S579" s="96"/>
    </row>
    <row r="580" spans="19:19" x14ac:dyDescent="0.2">
      <c r="S580" s="96"/>
    </row>
    <row r="581" spans="19:19" x14ac:dyDescent="0.2">
      <c r="S581" s="96"/>
    </row>
    <row r="582" spans="19:19" x14ac:dyDescent="0.2">
      <c r="S582" s="96"/>
    </row>
    <row r="583" spans="19:19" x14ac:dyDescent="0.2">
      <c r="S583" s="96"/>
    </row>
    <row r="584" spans="19:19" x14ac:dyDescent="0.2">
      <c r="S584" s="96"/>
    </row>
    <row r="585" spans="19:19" x14ac:dyDescent="0.2">
      <c r="S585" s="96"/>
    </row>
    <row r="586" spans="19:19" x14ac:dyDescent="0.2">
      <c r="S586" s="96"/>
    </row>
    <row r="587" spans="19:19" x14ac:dyDescent="0.2">
      <c r="S587" s="96"/>
    </row>
    <row r="588" spans="19:19" x14ac:dyDescent="0.2">
      <c r="S588" s="96"/>
    </row>
    <row r="589" spans="19:19" x14ac:dyDescent="0.2">
      <c r="S589" s="96"/>
    </row>
    <row r="590" spans="19:19" x14ac:dyDescent="0.2">
      <c r="S590" s="96"/>
    </row>
    <row r="591" spans="19:19" x14ac:dyDescent="0.2">
      <c r="S591" s="96"/>
    </row>
    <row r="592" spans="19:19" x14ac:dyDescent="0.2">
      <c r="S592" s="96"/>
    </row>
    <row r="593" spans="19:19" x14ac:dyDescent="0.2">
      <c r="S593" s="96"/>
    </row>
    <row r="594" spans="19:19" x14ac:dyDescent="0.2">
      <c r="S594" s="96"/>
    </row>
    <row r="595" spans="19:19" x14ac:dyDescent="0.2">
      <c r="S595" s="96"/>
    </row>
    <row r="596" spans="19:19" x14ac:dyDescent="0.2">
      <c r="S596" s="96"/>
    </row>
    <row r="597" spans="19:19" x14ac:dyDescent="0.2">
      <c r="S597" s="96"/>
    </row>
    <row r="598" spans="19:19" x14ac:dyDescent="0.2">
      <c r="S598" s="96"/>
    </row>
    <row r="599" spans="19:19" x14ac:dyDescent="0.2">
      <c r="S599" s="96"/>
    </row>
    <row r="600" spans="19:19" x14ac:dyDescent="0.2">
      <c r="S600" s="96"/>
    </row>
    <row r="601" spans="19:19" x14ac:dyDescent="0.2">
      <c r="S601" s="96"/>
    </row>
    <row r="602" spans="19:19" x14ac:dyDescent="0.2">
      <c r="S602" s="96"/>
    </row>
    <row r="603" spans="19:19" x14ac:dyDescent="0.2">
      <c r="S603" s="96"/>
    </row>
    <row r="604" spans="19:19" x14ac:dyDescent="0.2">
      <c r="S604" s="96"/>
    </row>
    <row r="605" spans="19:19" x14ac:dyDescent="0.2">
      <c r="S605" s="96"/>
    </row>
    <row r="606" spans="19:19" x14ac:dyDescent="0.2">
      <c r="S606" s="96"/>
    </row>
    <row r="607" spans="19:19" x14ac:dyDescent="0.2">
      <c r="S607" s="96"/>
    </row>
    <row r="608" spans="19:19" x14ac:dyDescent="0.2">
      <c r="S608" s="96"/>
    </row>
    <row r="609" spans="19:19" x14ac:dyDescent="0.2">
      <c r="S609" s="96"/>
    </row>
    <row r="610" spans="19:19" x14ac:dyDescent="0.2">
      <c r="S610" s="96"/>
    </row>
    <row r="611" spans="19:19" x14ac:dyDescent="0.2">
      <c r="S611" s="96"/>
    </row>
    <row r="612" spans="19:19" x14ac:dyDescent="0.2">
      <c r="S612" s="96"/>
    </row>
    <row r="613" spans="19:19" x14ac:dyDescent="0.2">
      <c r="S613" s="96"/>
    </row>
    <row r="614" spans="19:19" x14ac:dyDescent="0.2">
      <c r="S614" s="96"/>
    </row>
    <row r="615" spans="19:19" x14ac:dyDescent="0.2">
      <c r="S615" s="96"/>
    </row>
    <row r="616" spans="19:19" x14ac:dyDescent="0.2">
      <c r="S616" s="96"/>
    </row>
    <row r="617" spans="19:19" x14ac:dyDescent="0.2">
      <c r="S617" s="96"/>
    </row>
    <row r="618" spans="19:19" x14ac:dyDescent="0.2">
      <c r="S618" s="96"/>
    </row>
    <row r="619" spans="19:19" x14ac:dyDescent="0.2">
      <c r="S619" s="96"/>
    </row>
    <row r="620" spans="19:19" x14ac:dyDescent="0.2">
      <c r="S620" s="96"/>
    </row>
    <row r="621" spans="19:19" x14ac:dyDescent="0.2">
      <c r="S621" s="96"/>
    </row>
    <row r="622" spans="19:19" x14ac:dyDescent="0.2">
      <c r="S622" s="96"/>
    </row>
    <row r="623" spans="19:19" x14ac:dyDescent="0.2">
      <c r="S623" s="96"/>
    </row>
    <row r="624" spans="19:19" x14ac:dyDescent="0.2">
      <c r="S624" s="96"/>
    </row>
    <row r="625" spans="19:19" x14ac:dyDescent="0.2">
      <c r="S625" s="96"/>
    </row>
    <row r="626" spans="19:19" x14ac:dyDescent="0.2">
      <c r="S626" s="96"/>
    </row>
    <row r="627" spans="19:19" x14ac:dyDescent="0.2">
      <c r="S627" s="96"/>
    </row>
    <row r="628" spans="19:19" x14ac:dyDescent="0.2">
      <c r="S628" s="96"/>
    </row>
    <row r="629" spans="19:19" x14ac:dyDescent="0.2">
      <c r="S629" s="96"/>
    </row>
    <row r="630" spans="19:19" x14ac:dyDescent="0.2">
      <c r="S630" s="96"/>
    </row>
    <row r="631" spans="19:19" x14ac:dyDescent="0.2">
      <c r="S631" s="96"/>
    </row>
    <row r="632" spans="19:19" x14ac:dyDescent="0.2">
      <c r="S632" s="96"/>
    </row>
    <row r="633" spans="19:19" x14ac:dyDescent="0.2">
      <c r="S633" s="96"/>
    </row>
    <row r="634" spans="19:19" x14ac:dyDescent="0.2">
      <c r="S634" s="96"/>
    </row>
    <row r="635" spans="19:19" x14ac:dyDescent="0.2">
      <c r="S635" s="96"/>
    </row>
    <row r="636" spans="19:19" x14ac:dyDescent="0.2">
      <c r="S636" s="96"/>
    </row>
    <row r="637" spans="19:19" x14ac:dyDescent="0.2">
      <c r="S637" s="96"/>
    </row>
    <row r="638" spans="19:19" x14ac:dyDescent="0.2">
      <c r="S638" s="96"/>
    </row>
    <row r="639" spans="19:19" x14ac:dyDescent="0.2">
      <c r="S639" s="96"/>
    </row>
    <row r="640" spans="19:19" x14ac:dyDescent="0.2">
      <c r="S640" s="96"/>
    </row>
    <row r="641" spans="19:19" x14ac:dyDescent="0.2">
      <c r="S641" s="96"/>
    </row>
    <row r="642" spans="19:19" x14ac:dyDescent="0.2">
      <c r="S642" s="96"/>
    </row>
    <row r="643" spans="19:19" x14ac:dyDescent="0.2">
      <c r="S643" s="96"/>
    </row>
    <row r="644" spans="19:19" x14ac:dyDescent="0.2">
      <c r="S644" s="96"/>
    </row>
    <row r="645" spans="19:19" x14ac:dyDescent="0.2">
      <c r="S645" s="96"/>
    </row>
    <row r="646" spans="19:19" x14ac:dyDescent="0.2">
      <c r="S646" s="96"/>
    </row>
    <row r="647" spans="19:19" x14ac:dyDescent="0.2">
      <c r="S647" s="96"/>
    </row>
    <row r="648" spans="19:19" x14ac:dyDescent="0.2">
      <c r="S648" s="96"/>
    </row>
    <row r="649" spans="19:19" x14ac:dyDescent="0.2">
      <c r="S649" s="96"/>
    </row>
    <row r="650" spans="19:19" x14ac:dyDescent="0.2">
      <c r="S650" s="96"/>
    </row>
    <row r="651" spans="19:19" x14ac:dyDescent="0.2">
      <c r="S651" s="96"/>
    </row>
    <row r="652" spans="19:19" x14ac:dyDescent="0.2">
      <c r="S652" s="96"/>
    </row>
    <row r="653" spans="19:19" x14ac:dyDescent="0.2">
      <c r="S653" s="96"/>
    </row>
    <row r="654" spans="19:19" x14ac:dyDescent="0.2">
      <c r="S654" s="96"/>
    </row>
    <row r="655" spans="19:19" x14ac:dyDescent="0.2">
      <c r="S655" s="96"/>
    </row>
    <row r="656" spans="19:19" x14ac:dyDescent="0.2">
      <c r="S656" s="96"/>
    </row>
    <row r="657" spans="19:19" x14ac:dyDescent="0.2">
      <c r="S657" s="96"/>
    </row>
    <row r="658" spans="19:19" x14ac:dyDescent="0.2">
      <c r="S658" s="96"/>
    </row>
    <row r="659" spans="19:19" x14ac:dyDescent="0.2">
      <c r="S659" s="96"/>
    </row>
    <row r="660" spans="19:19" x14ac:dyDescent="0.2">
      <c r="S660" s="96"/>
    </row>
    <row r="661" spans="19:19" x14ac:dyDescent="0.2">
      <c r="S661" s="96"/>
    </row>
    <row r="662" spans="19:19" x14ac:dyDescent="0.2">
      <c r="S662" s="96"/>
    </row>
    <row r="663" spans="19:19" x14ac:dyDescent="0.2">
      <c r="S663" s="96"/>
    </row>
    <row r="664" spans="19:19" x14ac:dyDescent="0.2">
      <c r="S664" s="96"/>
    </row>
    <row r="665" spans="19:19" x14ac:dyDescent="0.2">
      <c r="S665" s="96"/>
    </row>
    <row r="666" spans="19:19" x14ac:dyDescent="0.2">
      <c r="S666" s="96"/>
    </row>
    <row r="667" spans="19:19" x14ac:dyDescent="0.2">
      <c r="S667" s="96"/>
    </row>
    <row r="668" spans="19:19" x14ac:dyDescent="0.2">
      <c r="S668" s="96"/>
    </row>
    <row r="669" spans="19:19" x14ac:dyDescent="0.2">
      <c r="S669" s="96"/>
    </row>
    <row r="670" spans="19:19" x14ac:dyDescent="0.2">
      <c r="S670" s="96"/>
    </row>
    <row r="671" spans="19:19" x14ac:dyDescent="0.2">
      <c r="S671" s="96"/>
    </row>
    <row r="672" spans="19:19" x14ac:dyDescent="0.2">
      <c r="S672" s="96"/>
    </row>
    <row r="673" spans="19:19" x14ac:dyDescent="0.2">
      <c r="S673" s="96"/>
    </row>
    <row r="674" spans="19:19" x14ac:dyDescent="0.2">
      <c r="S674" s="96"/>
    </row>
    <row r="675" spans="19:19" x14ac:dyDescent="0.2">
      <c r="S675" s="96"/>
    </row>
    <row r="676" spans="19:19" x14ac:dyDescent="0.2">
      <c r="S676" s="96"/>
    </row>
    <row r="677" spans="19:19" x14ac:dyDescent="0.2">
      <c r="S677" s="96"/>
    </row>
    <row r="678" spans="19:19" x14ac:dyDescent="0.2">
      <c r="S678" s="96"/>
    </row>
    <row r="679" spans="19:19" x14ac:dyDescent="0.2">
      <c r="S679" s="96"/>
    </row>
    <row r="680" spans="19:19" x14ac:dyDescent="0.2">
      <c r="S680" s="96"/>
    </row>
    <row r="681" spans="19:19" x14ac:dyDescent="0.2">
      <c r="S681" s="96"/>
    </row>
    <row r="682" spans="19:19" x14ac:dyDescent="0.2">
      <c r="S682" s="96"/>
    </row>
    <row r="683" spans="19:19" x14ac:dyDescent="0.2">
      <c r="S683" s="96"/>
    </row>
    <row r="684" spans="19:19" x14ac:dyDescent="0.2">
      <c r="S684" s="96"/>
    </row>
    <row r="685" spans="19:19" x14ac:dyDescent="0.2">
      <c r="S685" s="96"/>
    </row>
    <row r="686" spans="19:19" x14ac:dyDescent="0.2">
      <c r="S686" s="96"/>
    </row>
    <row r="687" spans="19:19" x14ac:dyDescent="0.2">
      <c r="S687" s="96"/>
    </row>
    <row r="688" spans="19:19" x14ac:dyDescent="0.2">
      <c r="S688" s="96"/>
    </row>
    <row r="689" spans="19:19" x14ac:dyDescent="0.2">
      <c r="S689" s="96"/>
    </row>
    <row r="690" spans="19:19" x14ac:dyDescent="0.2">
      <c r="S690" s="96"/>
    </row>
    <row r="691" spans="19:19" x14ac:dyDescent="0.2">
      <c r="S691" s="96"/>
    </row>
    <row r="692" spans="19:19" x14ac:dyDescent="0.2">
      <c r="S692" s="96"/>
    </row>
    <row r="693" spans="19:19" x14ac:dyDescent="0.2">
      <c r="S693" s="96"/>
    </row>
    <row r="694" spans="19:19" x14ac:dyDescent="0.2">
      <c r="S694" s="96"/>
    </row>
    <row r="695" spans="19:19" x14ac:dyDescent="0.2">
      <c r="S695" s="96"/>
    </row>
    <row r="696" spans="19:19" x14ac:dyDescent="0.2">
      <c r="S696" s="96"/>
    </row>
    <row r="697" spans="19:19" x14ac:dyDescent="0.2">
      <c r="S697" s="96"/>
    </row>
    <row r="698" spans="19:19" x14ac:dyDescent="0.2">
      <c r="S698" s="96"/>
    </row>
    <row r="699" spans="19:19" x14ac:dyDescent="0.2">
      <c r="S699" s="96"/>
    </row>
    <row r="700" spans="19:19" x14ac:dyDescent="0.2">
      <c r="S700" s="96"/>
    </row>
    <row r="701" spans="19:19" x14ac:dyDescent="0.2">
      <c r="S701" s="96"/>
    </row>
    <row r="702" spans="19:19" x14ac:dyDescent="0.2">
      <c r="S702" s="96"/>
    </row>
    <row r="703" spans="19:19" x14ac:dyDescent="0.2">
      <c r="S703" s="96"/>
    </row>
    <row r="704" spans="19:19" x14ac:dyDescent="0.2">
      <c r="S704" s="96"/>
    </row>
    <row r="705" spans="19:19" x14ac:dyDescent="0.2">
      <c r="S705" s="96"/>
    </row>
    <row r="706" spans="19:19" x14ac:dyDescent="0.2">
      <c r="S706" s="96"/>
    </row>
    <row r="707" spans="19:19" x14ac:dyDescent="0.2">
      <c r="S707" s="96"/>
    </row>
    <row r="708" spans="19:19" x14ac:dyDescent="0.2">
      <c r="S708" s="96"/>
    </row>
    <row r="709" spans="19:19" x14ac:dyDescent="0.2">
      <c r="S709" s="96"/>
    </row>
    <row r="710" spans="19:19" x14ac:dyDescent="0.2">
      <c r="S710" s="96"/>
    </row>
    <row r="711" spans="19:19" x14ac:dyDescent="0.2">
      <c r="S711" s="96"/>
    </row>
    <row r="712" spans="19:19" x14ac:dyDescent="0.2">
      <c r="S712" s="96"/>
    </row>
    <row r="713" spans="19:19" x14ac:dyDescent="0.2">
      <c r="S713" s="96"/>
    </row>
    <row r="714" spans="19:19" x14ac:dyDescent="0.2">
      <c r="S714" s="96"/>
    </row>
    <row r="715" spans="19:19" x14ac:dyDescent="0.2">
      <c r="S715" s="96"/>
    </row>
    <row r="716" spans="19:19" x14ac:dyDescent="0.2">
      <c r="S716" s="96"/>
    </row>
    <row r="717" spans="19:19" x14ac:dyDescent="0.2">
      <c r="S717" s="96"/>
    </row>
    <row r="718" spans="19:19" x14ac:dyDescent="0.2">
      <c r="S718" s="96"/>
    </row>
    <row r="719" spans="19:19" x14ac:dyDescent="0.2">
      <c r="S719" s="96"/>
    </row>
    <row r="720" spans="19:19" x14ac:dyDescent="0.2">
      <c r="S720" s="96"/>
    </row>
    <row r="721" spans="19:19" x14ac:dyDescent="0.2">
      <c r="S721" s="96"/>
    </row>
    <row r="722" spans="19:19" x14ac:dyDescent="0.2">
      <c r="S722" s="96"/>
    </row>
    <row r="723" spans="19:19" x14ac:dyDescent="0.2">
      <c r="S723" s="96"/>
    </row>
    <row r="724" spans="19:19" x14ac:dyDescent="0.2">
      <c r="S724" s="96"/>
    </row>
    <row r="725" spans="19:19" x14ac:dyDescent="0.2">
      <c r="S725" s="96"/>
    </row>
    <row r="726" spans="19:19" x14ac:dyDescent="0.2">
      <c r="S726" s="96"/>
    </row>
    <row r="727" spans="19:19" x14ac:dyDescent="0.2">
      <c r="S727" s="96"/>
    </row>
    <row r="728" spans="19:19" x14ac:dyDescent="0.2">
      <c r="S728" s="96"/>
    </row>
    <row r="729" spans="19:19" x14ac:dyDescent="0.2">
      <c r="S729" s="96"/>
    </row>
    <row r="730" spans="19:19" x14ac:dyDescent="0.2">
      <c r="S730" s="96"/>
    </row>
    <row r="731" spans="19:19" x14ac:dyDescent="0.2">
      <c r="S731" s="96"/>
    </row>
    <row r="732" spans="19:19" x14ac:dyDescent="0.2">
      <c r="S732" s="96"/>
    </row>
    <row r="733" spans="19:19" x14ac:dyDescent="0.2">
      <c r="S733" s="96"/>
    </row>
    <row r="734" spans="19:19" x14ac:dyDescent="0.2">
      <c r="S734" s="96"/>
    </row>
    <row r="735" spans="19:19" x14ac:dyDescent="0.2">
      <c r="S735" s="96"/>
    </row>
    <row r="736" spans="19:19" x14ac:dyDescent="0.2">
      <c r="S736" s="96"/>
    </row>
    <row r="737" spans="19:19" x14ac:dyDescent="0.2">
      <c r="S737" s="96"/>
    </row>
    <row r="738" spans="19:19" x14ac:dyDescent="0.2">
      <c r="S738" s="96"/>
    </row>
    <row r="739" spans="19:19" x14ac:dyDescent="0.2">
      <c r="S739" s="96"/>
    </row>
    <row r="740" spans="19:19" x14ac:dyDescent="0.2">
      <c r="S740" s="96"/>
    </row>
    <row r="741" spans="19:19" x14ac:dyDescent="0.2">
      <c r="S741" s="96"/>
    </row>
    <row r="742" spans="19:19" x14ac:dyDescent="0.2">
      <c r="S742" s="96"/>
    </row>
    <row r="743" spans="19:19" x14ac:dyDescent="0.2">
      <c r="S743" s="96"/>
    </row>
    <row r="744" spans="19:19" x14ac:dyDescent="0.2">
      <c r="S744" s="96"/>
    </row>
    <row r="745" spans="19:19" x14ac:dyDescent="0.2">
      <c r="S745" s="96"/>
    </row>
    <row r="746" spans="19:19" x14ac:dyDescent="0.2">
      <c r="S746" s="96"/>
    </row>
    <row r="747" spans="19:19" x14ac:dyDescent="0.2">
      <c r="S747" s="96"/>
    </row>
    <row r="748" spans="19:19" x14ac:dyDescent="0.2">
      <c r="S748" s="96"/>
    </row>
    <row r="749" spans="19:19" x14ac:dyDescent="0.2">
      <c r="S749" s="96"/>
    </row>
    <row r="750" spans="19:19" x14ac:dyDescent="0.2">
      <c r="S750" s="96"/>
    </row>
    <row r="751" spans="19:19" x14ac:dyDescent="0.2">
      <c r="S751" s="96"/>
    </row>
    <row r="752" spans="19:19" x14ac:dyDescent="0.2">
      <c r="S752" s="96"/>
    </row>
    <row r="753" spans="19:19" x14ac:dyDescent="0.2">
      <c r="S753" s="96"/>
    </row>
    <row r="754" spans="19:19" x14ac:dyDescent="0.2">
      <c r="S754" s="96"/>
    </row>
    <row r="755" spans="19:19" x14ac:dyDescent="0.2">
      <c r="S755" s="96"/>
    </row>
    <row r="756" spans="19:19" x14ac:dyDescent="0.2">
      <c r="S756" s="96"/>
    </row>
    <row r="757" spans="19:19" x14ac:dyDescent="0.2">
      <c r="S757" s="96"/>
    </row>
    <row r="758" spans="19:19" x14ac:dyDescent="0.2">
      <c r="S758" s="96"/>
    </row>
    <row r="759" spans="19:19" x14ac:dyDescent="0.2">
      <c r="S759" s="96"/>
    </row>
    <row r="760" spans="19:19" x14ac:dyDescent="0.2">
      <c r="S760" s="96"/>
    </row>
    <row r="761" spans="19:19" x14ac:dyDescent="0.2">
      <c r="S761" s="96"/>
    </row>
    <row r="762" spans="19:19" x14ac:dyDescent="0.2">
      <c r="S762" s="96"/>
    </row>
    <row r="763" spans="19:19" x14ac:dyDescent="0.2">
      <c r="S763" s="96"/>
    </row>
    <row r="764" spans="19:19" x14ac:dyDescent="0.2">
      <c r="S764" s="96"/>
    </row>
    <row r="765" spans="19:19" x14ac:dyDescent="0.2">
      <c r="S765" s="96"/>
    </row>
    <row r="766" spans="19:19" x14ac:dyDescent="0.2">
      <c r="S766" s="96"/>
    </row>
    <row r="767" spans="19:19" x14ac:dyDescent="0.2">
      <c r="S767" s="96"/>
    </row>
    <row r="768" spans="19:19" x14ac:dyDescent="0.2">
      <c r="S768" s="96"/>
    </row>
    <row r="769" spans="19:19" x14ac:dyDescent="0.2">
      <c r="S769" s="96"/>
    </row>
    <row r="770" spans="19:19" x14ac:dyDescent="0.2">
      <c r="S770" s="96"/>
    </row>
    <row r="771" spans="19:19" x14ac:dyDescent="0.2">
      <c r="S771" s="96"/>
    </row>
    <row r="772" spans="19:19" x14ac:dyDescent="0.2">
      <c r="S772" s="96"/>
    </row>
    <row r="773" spans="19:19" x14ac:dyDescent="0.2">
      <c r="S773" s="96"/>
    </row>
    <row r="774" spans="19:19" x14ac:dyDescent="0.2">
      <c r="S774" s="96"/>
    </row>
    <row r="775" spans="19:19" x14ac:dyDescent="0.2">
      <c r="S775" s="96"/>
    </row>
    <row r="776" spans="19:19" x14ac:dyDescent="0.2">
      <c r="S776" s="96"/>
    </row>
    <row r="777" spans="19:19" x14ac:dyDescent="0.2">
      <c r="S777" s="96"/>
    </row>
    <row r="778" spans="19:19" x14ac:dyDescent="0.2">
      <c r="S778" s="96"/>
    </row>
    <row r="779" spans="19:19" x14ac:dyDescent="0.2">
      <c r="S779" s="96"/>
    </row>
    <row r="780" spans="19:19" x14ac:dyDescent="0.2">
      <c r="S780" s="96"/>
    </row>
    <row r="781" spans="19:19" x14ac:dyDescent="0.2">
      <c r="S781" s="96"/>
    </row>
    <row r="782" spans="19:19" x14ac:dyDescent="0.2">
      <c r="S782" s="96"/>
    </row>
    <row r="783" spans="19:19" x14ac:dyDescent="0.2">
      <c r="S783" s="96"/>
    </row>
    <row r="784" spans="19:19" x14ac:dyDescent="0.2">
      <c r="S784" s="96"/>
    </row>
    <row r="785" spans="19:19" x14ac:dyDescent="0.2">
      <c r="S785" s="96"/>
    </row>
    <row r="786" spans="19:19" x14ac:dyDescent="0.2">
      <c r="S786" s="96"/>
    </row>
    <row r="787" spans="19:19" x14ac:dyDescent="0.2">
      <c r="S787" s="96"/>
    </row>
    <row r="788" spans="19:19" x14ac:dyDescent="0.2">
      <c r="S788" s="96"/>
    </row>
    <row r="789" spans="19:19" x14ac:dyDescent="0.2">
      <c r="S789" s="96"/>
    </row>
    <row r="790" spans="19:19" x14ac:dyDescent="0.2">
      <c r="S790" s="96"/>
    </row>
    <row r="791" spans="19:19" x14ac:dyDescent="0.2">
      <c r="S791" s="96"/>
    </row>
    <row r="792" spans="19:19" x14ac:dyDescent="0.2">
      <c r="S792" s="96"/>
    </row>
  </sheetData>
  <sheetProtection sheet="1" objects="1" scenarios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79"/>
  <sheetViews>
    <sheetView workbookViewId="0">
      <selection activeCell="A76" sqref="A76:D79"/>
    </sheetView>
  </sheetViews>
  <sheetFormatPr defaultRowHeight="12.75" x14ac:dyDescent="0.2"/>
  <cols>
    <col min="1" max="1" width="28.85546875" style="99" customWidth="1"/>
    <col min="2" max="2" width="5.28515625" style="5" customWidth="1"/>
    <col min="3" max="3" width="13" style="99" customWidth="1"/>
    <col min="4" max="4" width="5.85546875" customWidth="1"/>
    <col min="5" max="5" width="13.7109375" customWidth="1"/>
    <col min="6" max="6" width="24.7109375" customWidth="1"/>
    <col min="9" max="13" width="24.7109375" customWidth="1"/>
    <col min="14" max="14" width="8.7109375" customWidth="1"/>
    <col min="16" max="16" width="26.85546875" customWidth="1"/>
  </cols>
  <sheetData>
    <row r="1" spans="1:13" ht="18" x14ac:dyDescent="0.25">
      <c r="A1" s="100" t="s">
        <v>249</v>
      </c>
      <c r="C1" s="100"/>
    </row>
    <row r="11" spans="1:13" x14ac:dyDescent="0.2">
      <c r="A11" t="s">
        <v>282</v>
      </c>
      <c r="B11" s="5" t="s">
        <v>48</v>
      </c>
      <c r="C11" s="99">
        <v>38882.885699999999</v>
      </c>
      <c r="D11" t="s">
        <v>190</v>
      </c>
      <c r="E11">
        <f>VLOOKUP(C11,'A (old)'!C$21:E$166,3,FALSE)</f>
        <v>-40610.374901148112</v>
      </c>
      <c r="F11" t="s">
        <v>256</v>
      </c>
      <c r="J11" t="s">
        <v>206</v>
      </c>
      <c r="K11">
        <v>3.5000000000000001E-3</v>
      </c>
      <c r="L11">
        <v>4.0000000000000002E-4</v>
      </c>
      <c r="M11">
        <v>1</v>
      </c>
    </row>
    <row r="12" spans="1:13" x14ac:dyDescent="0.2">
      <c r="A12" t="s">
        <v>282</v>
      </c>
      <c r="B12" s="5" t="s">
        <v>53</v>
      </c>
      <c r="C12" s="99">
        <v>38883.760399999999</v>
      </c>
      <c r="D12" t="s">
        <v>190</v>
      </c>
      <c r="E12">
        <f>VLOOKUP(C12,'A (old)'!C$21:E$166,3,FALSE)</f>
        <v>-40607.87624326619</v>
      </c>
      <c r="F12" t="s">
        <v>254</v>
      </c>
      <c r="J12" t="s">
        <v>207</v>
      </c>
      <c r="K12">
        <v>3.0000000000000001E-3</v>
      </c>
      <c r="L12" t="s">
        <v>208</v>
      </c>
      <c r="M12">
        <v>1</v>
      </c>
    </row>
    <row r="13" spans="1:13" x14ac:dyDescent="0.2">
      <c r="A13" t="s">
        <v>282</v>
      </c>
      <c r="B13" s="5" t="s">
        <v>53</v>
      </c>
      <c r="C13" s="99">
        <v>38884.810400000002</v>
      </c>
      <c r="D13" t="s">
        <v>190</v>
      </c>
      <c r="E13">
        <f>VLOOKUP(C13,'A (old)'!C$21:E$166,3,FALSE)</f>
        <v>-40604.87682543604</v>
      </c>
      <c r="F13" t="s">
        <v>255</v>
      </c>
      <c r="J13" t="s">
        <v>209</v>
      </c>
      <c r="K13">
        <v>2.8E-3</v>
      </c>
      <c r="L13" t="s">
        <v>210</v>
      </c>
      <c r="M13">
        <v>1</v>
      </c>
    </row>
    <row r="14" spans="1:13" x14ac:dyDescent="0.2">
      <c r="A14" t="s">
        <v>282</v>
      </c>
      <c r="B14" s="5" t="s">
        <v>48</v>
      </c>
      <c r="C14" s="99">
        <v>38941.696900000003</v>
      </c>
      <c r="D14" t="s">
        <v>190</v>
      </c>
      <c r="E14">
        <f>VLOOKUP(C14,'A (old)'!C$21:E$166,3,FALSE)</f>
        <v>-40442.375508870151</v>
      </c>
      <c r="F14" t="s">
        <v>257</v>
      </c>
      <c r="J14" t="s">
        <v>211</v>
      </c>
      <c r="K14">
        <v>3.5000000000000001E-3</v>
      </c>
      <c r="L14">
        <v>5.9999999999999995E-4</v>
      </c>
      <c r="M14">
        <v>1</v>
      </c>
    </row>
    <row r="15" spans="1:13" x14ac:dyDescent="0.2">
      <c r="A15" t="s">
        <v>279</v>
      </c>
      <c r="B15" s="5" t="s">
        <v>53</v>
      </c>
      <c r="C15" s="99">
        <v>40362.788500000002</v>
      </c>
      <c r="D15" t="s">
        <v>190</v>
      </c>
      <c r="E15">
        <f>VLOOKUP(C15,'A (old)'!C$21:E$166,3,FALSE)</f>
        <v>-36382.90171525078</v>
      </c>
      <c r="F15" t="s">
        <v>250</v>
      </c>
      <c r="J15" t="s">
        <v>206</v>
      </c>
      <c r="K15" t="s">
        <v>212</v>
      </c>
      <c r="L15" t="s">
        <v>212</v>
      </c>
      <c r="M15">
        <v>2</v>
      </c>
    </row>
    <row r="16" spans="1:13" x14ac:dyDescent="0.2">
      <c r="A16" t="s">
        <v>280</v>
      </c>
      <c r="B16" s="5" t="s">
        <v>53</v>
      </c>
      <c r="C16" s="99">
        <v>42470.893100000001</v>
      </c>
      <c r="D16" t="s">
        <v>190</v>
      </c>
      <c r="E16">
        <f>VLOOKUP(C16,'A (old)'!C$21:E$166,3,FALSE)</f>
        <v>-30360.914548548488</v>
      </c>
      <c r="F16" t="s">
        <v>251</v>
      </c>
      <c r="J16" t="s">
        <v>213</v>
      </c>
      <c r="K16">
        <v>8.0000000000000004E-4</v>
      </c>
      <c r="L16">
        <v>1E-4</v>
      </c>
      <c r="M16">
        <v>3</v>
      </c>
    </row>
    <row r="17" spans="1:13" x14ac:dyDescent="0.2">
      <c r="A17" t="s">
        <v>280</v>
      </c>
      <c r="B17" s="5" t="s">
        <v>53</v>
      </c>
      <c r="C17" s="99">
        <v>42471.943200000002</v>
      </c>
      <c r="D17" t="s">
        <v>190</v>
      </c>
      <c r="E17">
        <f>VLOOKUP(C17,'A (old)'!C$21:E$166,3,FALSE)</f>
        <v>-30357.914845059506</v>
      </c>
      <c r="F17" t="s">
        <v>252</v>
      </c>
      <c r="J17" t="s">
        <v>214</v>
      </c>
      <c r="K17">
        <v>6.9999999999999999E-4</v>
      </c>
      <c r="L17">
        <v>0</v>
      </c>
      <c r="M17">
        <v>3</v>
      </c>
    </row>
    <row r="18" spans="1:13" x14ac:dyDescent="0.2">
      <c r="A18" t="s">
        <v>280</v>
      </c>
      <c r="B18" s="5" t="s">
        <v>53</v>
      </c>
      <c r="C18" s="99">
        <v>42472.992299999998</v>
      </c>
      <c r="D18" t="s">
        <v>190</v>
      </c>
      <c r="E18">
        <f>VLOOKUP(C18,'A (old)'!C$21:E$166,3,FALSE)</f>
        <v>-30354.917998158948</v>
      </c>
      <c r="F18" t="s">
        <v>253</v>
      </c>
      <c r="J18" t="s">
        <v>215</v>
      </c>
      <c r="K18" t="s">
        <v>216</v>
      </c>
      <c r="L18" t="s">
        <v>217</v>
      </c>
      <c r="M18">
        <v>3</v>
      </c>
    </row>
    <row r="19" spans="1:13" x14ac:dyDescent="0.2">
      <c r="A19" t="s">
        <v>277</v>
      </c>
      <c r="B19" s="5" t="s">
        <v>48</v>
      </c>
      <c r="C19" s="99">
        <v>42858.243699999999</v>
      </c>
      <c r="D19" t="s">
        <v>190</v>
      </c>
      <c r="E19">
        <f>VLOOKUP(C19,'A (old)'!C$21:E$166,3,FALSE)</f>
        <v>-29254.413314115234</v>
      </c>
      <c r="F19">
        <v>0.5</v>
      </c>
      <c r="J19">
        <v>0</v>
      </c>
      <c r="K19">
        <v>2.3999999999999998E-3</v>
      </c>
      <c r="L19">
        <v>1.2999999999999999E-3</v>
      </c>
      <c r="M19">
        <v>4</v>
      </c>
    </row>
    <row r="20" spans="1:13" x14ac:dyDescent="0.2">
      <c r="A20" t="s">
        <v>278</v>
      </c>
      <c r="B20" s="5" t="s">
        <v>53</v>
      </c>
      <c r="C20" s="99">
        <v>42878.372000000003</v>
      </c>
      <c r="D20" t="s">
        <v>190</v>
      </c>
      <c r="E20">
        <f>VLOOKUP(C20,'A (old)'!C$21:E$166,3,FALSE)</f>
        <v>-29196.915045629146</v>
      </c>
      <c r="F20">
        <v>58</v>
      </c>
      <c r="J20" t="s">
        <v>218</v>
      </c>
      <c r="K20">
        <v>1.9E-3</v>
      </c>
      <c r="L20">
        <v>8.0000000000000004E-4</v>
      </c>
      <c r="M20">
        <v>5</v>
      </c>
    </row>
    <row r="21" spans="1:13" x14ac:dyDescent="0.2">
      <c r="A21" t="s">
        <v>278</v>
      </c>
      <c r="B21" s="5" t="s">
        <v>48</v>
      </c>
      <c r="C21" s="99">
        <v>42878.546999999999</v>
      </c>
      <c r="D21" t="s">
        <v>190</v>
      </c>
      <c r="E21">
        <f>VLOOKUP(C21,'A (old)'!C$21:E$166,3,FALSE)</f>
        <v>-29196.415142657468</v>
      </c>
      <c r="F21">
        <v>58.5</v>
      </c>
      <c r="J21" t="s">
        <v>218</v>
      </c>
      <c r="K21">
        <v>1.9E-3</v>
      </c>
      <c r="L21">
        <v>8.0000000000000004E-4</v>
      </c>
      <c r="M21">
        <v>5</v>
      </c>
    </row>
    <row r="22" spans="1:13" x14ac:dyDescent="0.2">
      <c r="A22" t="s">
        <v>277</v>
      </c>
      <c r="B22" s="5" t="s">
        <v>48</v>
      </c>
      <c r="C22" s="99">
        <v>43215.310400000002</v>
      </c>
      <c r="D22" t="s">
        <v>190</v>
      </c>
      <c r="E22">
        <f>VLOOKUP(C22,'A (old)'!C$21:E$166,3,FALSE)</f>
        <v>-28234.420717421141</v>
      </c>
      <c r="F22">
        <v>1020.5</v>
      </c>
      <c r="J22" t="s">
        <v>210</v>
      </c>
      <c r="K22">
        <v>1E-3</v>
      </c>
      <c r="L22" t="s">
        <v>210</v>
      </c>
      <c r="M22">
        <v>4</v>
      </c>
    </row>
    <row r="23" spans="1:13" x14ac:dyDescent="0.2">
      <c r="A23" t="s">
        <v>277</v>
      </c>
      <c r="B23" s="5" t="s">
        <v>53</v>
      </c>
      <c r="C23" s="99">
        <v>43244.190399999999</v>
      </c>
      <c r="D23" t="s">
        <v>190</v>
      </c>
      <c r="E23">
        <f>VLOOKUP(C23,'A (old)'!C$21:E$166,3,FALSE)</f>
        <v>-28151.922444150288</v>
      </c>
      <c r="F23">
        <v>1103</v>
      </c>
      <c r="J23" t="s">
        <v>219</v>
      </c>
      <c r="K23">
        <v>5.0000000000000001E-4</v>
      </c>
      <c r="L23" t="s">
        <v>220</v>
      </c>
      <c r="M23">
        <v>4</v>
      </c>
    </row>
    <row r="24" spans="1:13" x14ac:dyDescent="0.2">
      <c r="A24" t="s">
        <v>277</v>
      </c>
      <c r="B24" s="5" t="s">
        <v>53</v>
      </c>
      <c r="C24" s="99">
        <v>43277.097199999997</v>
      </c>
      <c r="D24" t="s">
        <v>190</v>
      </c>
      <c r="E24">
        <f>VLOOKUP(C24,'A (old)'!C$21:E$166,3,FALSE)</f>
        <v>-28057.921260671432</v>
      </c>
      <c r="F24">
        <v>1197</v>
      </c>
      <c r="J24" t="s">
        <v>208</v>
      </c>
      <c r="K24">
        <v>1E-3</v>
      </c>
      <c r="L24" t="s">
        <v>216</v>
      </c>
      <c r="M24">
        <v>4</v>
      </c>
    </row>
    <row r="25" spans="1:13" x14ac:dyDescent="0.2">
      <c r="A25" t="s">
        <v>277</v>
      </c>
      <c r="B25" s="5" t="s">
        <v>48</v>
      </c>
      <c r="C25" s="99">
        <v>43280.074200000003</v>
      </c>
      <c r="D25" t="s">
        <v>190</v>
      </c>
      <c r="E25">
        <f>VLOOKUP(C25,'A (old)'!C$21:E$166,3,FALSE)</f>
        <v>-28049.417196975868</v>
      </c>
      <c r="F25">
        <v>1205.5</v>
      </c>
      <c r="J25">
        <v>1.2999999999999999E-3</v>
      </c>
      <c r="K25">
        <v>2.3999999999999998E-3</v>
      </c>
      <c r="L25">
        <v>1E-3</v>
      </c>
      <c r="M25">
        <v>4</v>
      </c>
    </row>
    <row r="26" spans="1:13" x14ac:dyDescent="0.2">
      <c r="A26" t="s">
        <v>278</v>
      </c>
      <c r="B26" s="5" t="s">
        <v>53</v>
      </c>
      <c r="C26" s="99">
        <v>44053.543899999997</v>
      </c>
      <c r="D26" t="s">
        <v>190</v>
      </c>
      <c r="E26">
        <f>VLOOKUP(C26,'A (old)'!C$21:E$166,3,FALSE)</f>
        <v>-25839.932616735852</v>
      </c>
      <c r="F26">
        <v>3415</v>
      </c>
      <c r="J26">
        <v>8.0000000000000004E-4</v>
      </c>
      <c r="K26" t="s">
        <v>221</v>
      </c>
      <c r="L26" t="s">
        <v>222</v>
      </c>
      <c r="M26">
        <v>5</v>
      </c>
    </row>
    <row r="27" spans="1:13" x14ac:dyDescent="0.2">
      <c r="A27" t="s">
        <v>278</v>
      </c>
      <c r="B27" s="5" t="s">
        <v>48</v>
      </c>
      <c r="C27" s="99">
        <v>44129.335299999999</v>
      </c>
      <c r="D27" t="s">
        <v>190</v>
      </c>
      <c r="E27">
        <f>VLOOKUP(C27,'A (old)'!C$21:E$166,3,FALSE)</f>
        <v>-25623.427781944254</v>
      </c>
      <c r="F27">
        <v>3631.5</v>
      </c>
      <c r="J27">
        <v>3.0000000000000001E-3</v>
      </c>
      <c r="K27">
        <v>1.2999999999999999E-3</v>
      </c>
      <c r="L27" t="s">
        <v>208</v>
      </c>
      <c r="M27">
        <v>5</v>
      </c>
    </row>
    <row r="28" spans="1:13" x14ac:dyDescent="0.2">
      <c r="A28" t="s">
        <v>278</v>
      </c>
      <c r="B28" s="5" t="s">
        <v>53</v>
      </c>
      <c r="C28" s="99">
        <v>44140.361100000002</v>
      </c>
      <c r="D28" t="s">
        <v>190</v>
      </c>
      <c r="E28">
        <f>VLOOKUP(C28,'A (old)'!C$21:E$166,3,FALSE)</f>
        <v>-25591.93160945706</v>
      </c>
      <c r="F28">
        <v>3663</v>
      </c>
      <c r="J28">
        <v>1.6999999999999999E-3</v>
      </c>
      <c r="K28">
        <v>0</v>
      </c>
      <c r="L28" t="s">
        <v>223</v>
      </c>
      <c r="M28">
        <v>5</v>
      </c>
    </row>
    <row r="29" spans="1:13" x14ac:dyDescent="0.2">
      <c r="A29" t="s">
        <v>278</v>
      </c>
      <c r="B29" s="5" t="s">
        <v>53</v>
      </c>
      <c r="C29" s="99">
        <v>44344.448700000001</v>
      </c>
      <c r="D29" t="s">
        <v>190</v>
      </c>
      <c r="E29">
        <f>VLOOKUP(C29,'A (old)'!C$21:E$166,3,FALSE)</f>
        <v>-25008.937336742572</v>
      </c>
      <c r="F29">
        <v>4246</v>
      </c>
      <c r="J29">
        <v>1E-3</v>
      </c>
      <c r="K29" t="s">
        <v>223</v>
      </c>
      <c r="L29" t="s">
        <v>224</v>
      </c>
      <c r="M29">
        <v>5</v>
      </c>
    </row>
    <row r="30" spans="1:13" x14ac:dyDescent="0.2">
      <c r="A30" t="s">
        <v>278</v>
      </c>
      <c r="B30" s="5" t="s">
        <v>53</v>
      </c>
      <c r="C30" s="99">
        <v>44345.500599999999</v>
      </c>
      <c r="D30" t="s">
        <v>190</v>
      </c>
      <c r="E30">
        <f>VLOOKUP(C30,'A (old)'!C$21:E$166,3,FALSE)</f>
        <v>-25005.932491394462</v>
      </c>
      <c r="F30">
        <v>4249</v>
      </c>
      <c r="J30">
        <v>2.7000000000000001E-3</v>
      </c>
      <c r="K30">
        <v>2.9999999999999997E-4</v>
      </c>
      <c r="L30" t="s">
        <v>225</v>
      </c>
      <c r="M30">
        <v>5</v>
      </c>
    </row>
    <row r="31" spans="1:13" x14ac:dyDescent="0.2">
      <c r="A31" t="s">
        <v>281</v>
      </c>
      <c r="B31" s="5" t="s">
        <v>48</v>
      </c>
      <c r="C31" s="99">
        <v>44473.451200000003</v>
      </c>
      <c r="D31" t="s">
        <v>190</v>
      </c>
      <c r="E31">
        <f>VLOOKUP(C31,'A (old)'!C$21:E$166,3,FALSE)</f>
        <v>-24640.430290425931</v>
      </c>
      <c r="F31">
        <v>4614.5</v>
      </c>
      <c r="J31">
        <v>4.3E-3</v>
      </c>
      <c r="K31">
        <v>1.5E-3</v>
      </c>
      <c r="L31">
        <v>2.9999999999999997E-4</v>
      </c>
      <c r="M31">
        <v>6</v>
      </c>
    </row>
    <row r="32" spans="1:13" x14ac:dyDescent="0.2">
      <c r="A32" t="s">
        <v>281</v>
      </c>
      <c r="B32" s="5" t="s">
        <v>53</v>
      </c>
      <c r="C32" s="99">
        <v>44474.326699999998</v>
      </c>
      <c r="D32" t="s">
        <v>190</v>
      </c>
      <c r="E32">
        <f>VLOOKUP(C32,'A (old)'!C$21:E$166,3,FALSE)</f>
        <v>-24637.929347273293</v>
      </c>
      <c r="F32">
        <v>4617</v>
      </c>
      <c r="J32">
        <v>4.5999999999999999E-3</v>
      </c>
      <c r="K32">
        <v>1.8E-3</v>
      </c>
      <c r="L32">
        <v>5.9999999999999995E-4</v>
      </c>
      <c r="M32">
        <v>6</v>
      </c>
    </row>
    <row r="33" spans="1:16" x14ac:dyDescent="0.2">
      <c r="A33" t="s">
        <v>281</v>
      </c>
      <c r="B33" s="5" t="s">
        <v>53</v>
      </c>
      <c r="C33" s="99">
        <v>44475.378100000002</v>
      </c>
      <c r="D33" t="s">
        <v>190</v>
      </c>
      <c r="E33">
        <f>VLOOKUP(C33,'A (old)'!C$21:E$166,3,FALSE)</f>
        <v>-24634.925930219368</v>
      </c>
      <c r="F33">
        <v>4620</v>
      </c>
      <c r="J33">
        <v>5.7999999999999996E-3</v>
      </c>
      <c r="K33">
        <v>3.0000000000000001E-3</v>
      </c>
      <c r="L33">
        <v>1.8E-3</v>
      </c>
      <c r="M33">
        <v>6</v>
      </c>
    </row>
    <row r="34" spans="1:16" x14ac:dyDescent="0.2">
      <c r="A34" t="s">
        <v>281</v>
      </c>
      <c r="B34" s="5" t="s">
        <v>53</v>
      </c>
      <c r="C34" s="99">
        <v>44476.4283</v>
      </c>
      <c r="D34" t="s">
        <v>190</v>
      </c>
      <c r="E34">
        <f>VLOOKUP(C34,'A (old)'!C$21:E$166,3,FALSE)</f>
        <v>-24631.925941071553</v>
      </c>
      <c r="F34">
        <v>4623</v>
      </c>
      <c r="J34">
        <v>5.8999999999999999E-3</v>
      </c>
      <c r="K34">
        <v>3.0999999999999999E-3</v>
      </c>
      <c r="L34">
        <v>1.9E-3</v>
      </c>
      <c r="M34">
        <v>6</v>
      </c>
    </row>
    <row r="35" spans="1:16" x14ac:dyDescent="0.2">
      <c r="A35" t="s">
        <v>281</v>
      </c>
      <c r="B35" s="5" t="s">
        <v>48</v>
      </c>
      <c r="C35" s="99">
        <v>44478.352899999998</v>
      </c>
      <c r="D35" t="s">
        <v>190</v>
      </c>
      <c r="E35">
        <f>VLOOKUP(C35,'A (old)'!C$21:E$166,3,FALSE)</f>
        <v>-24626.428151018335</v>
      </c>
      <c r="F35">
        <v>4628.5</v>
      </c>
      <c r="J35">
        <v>5.1000000000000004E-3</v>
      </c>
      <c r="K35">
        <v>2.3E-3</v>
      </c>
      <c r="L35">
        <v>1.1000000000000001E-3</v>
      </c>
      <c r="M35">
        <v>6</v>
      </c>
    </row>
    <row r="36" spans="1:16" x14ac:dyDescent="0.2">
      <c r="A36" t="s">
        <v>281</v>
      </c>
      <c r="B36" s="5" t="s">
        <v>53</v>
      </c>
      <c r="C36" s="99">
        <v>44480.277199999997</v>
      </c>
      <c r="D36" t="s">
        <v>190</v>
      </c>
      <c r="E36">
        <f>VLOOKUP(C36,'A (old)'!C$21:E$166,3,FALSE)</f>
        <v>-24620.931217941637</v>
      </c>
      <c r="F36">
        <v>4634</v>
      </c>
      <c r="J36">
        <v>4.0000000000000001E-3</v>
      </c>
      <c r="K36">
        <v>1.1999999999999999E-3</v>
      </c>
      <c r="L36">
        <v>0</v>
      </c>
      <c r="M36">
        <v>6</v>
      </c>
    </row>
    <row r="37" spans="1:16" x14ac:dyDescent="0.2">
      <c r="A37" t="s">
        <v>281</v>
      </c>
      <c r="B37" s="5" t="s">
        <v>48</v>
      </c>
      <c r="C37" s="99">
        <v>44480.453099999999</v>
      </c>
      <c r="D37" t="s">
        <v>190</v>
      </c>
      <c r="E37">
        <f>VLOOKUP(C37,'A (old)'!C$21:E$166,3,FALSE)</f>
        <v>-24620.428744040375</v>
      </c>
      <c r="F37">
        <v>4634.5</v>
      </c>
      <c r="J37">
        <v>4.8999999999999998E-3</v>
      </c>
      <c r="K37">
        <v>2.0999999999999999E-3</v>
      </c>
      <c r="L37">
        <v>8.9999999999999998E-4</v>
      </c>
      <c r="M37">
        <v>6</v>
      </c>
    </row>
    <row r="38" spans="1:16" x14ac:dyDescent="0.2">
      <c r="A38" t="s">
        <v>281</v>
      </c>
      <c r="B38" s="5" t="s">
        <v>48</v>
      </c>
      <c r="C38" s="99">
        <v>44500.405100000004</v>
      </c>
      <c r="D38" t="s">
        <v>190</v>
      </c>
      <c r="E38">
        <f>VLOOKUP(C38,'A (old)'!C$21:E$166,3,FALSE)</f>
        <v>-24563.434092090905</v>
      </c>
      <c r="F38">
        <v>4691.5</v>
      </c>
      <c r="J38">
        <v>3.2000000000000002E-3</v>
      </c>
      <c r="K38">
        <v>2.9999999999999997E-4</v>
      </c>
      <c r="L38" t="s">
        <v>226</v>
      </c>
      <c r="M38">
        <v>6</v>
      </c>
    </row>
    <row r="39" spans="1:16" x14ac:dyDescent="0.2">
      <c r="A39" t="s">
        <v>281</v>
      </c>
      <c r="B39" s="5" t="s">
        <v>48</v>
      </c>
      <c r="C39" s="99">
        <v>44506.357799999998</v>
      </c>
      <c r="D39" t="s">
        <v>190</v>
      </c>
      <c r="E39">
        <f>VLOOKUP(C39,'A (old)'!C$21:E$166,3,FALSE)</f>
        <v>-24546.429678264762</v>
      </c>
      <c r="F39">
        <v>4708.5</v>
      </c>
      <c r="J39">
        <v>4.7000000000000002E-3</v>
      </c>
      <c r="K39">
        <v>1.8E-3</v>
      </c>
      <c r="L39">
        <v>5.9999999999999995E-4</v>
      </c>
      <c r="M39">
        <v>6</v>
      </c>
    </row>
    <row r="40" spans="1:16" x14ac:dyDescent="0.2">
      <c r="A40" t="s">
        <v>281</v>
      </c>
      <c r="B40" s="5" t="s">
        <v>48</v>
      </c>
      <c r="C40" s="99">
        <v>44752.457900000001</v>
      </c>
      <c r="D40" t="s">
        <v>190</v>
      </c>
      <c r="E40">
        <f>VLOOKUP(C40,'A (old)'!C$21:E$166,3,FALSE)</f>
        <v>-23843.422984989593</v>
      </c>
      <c r="F40">
        <v>5411.5</v>
      </c>
      <c r="J40">
        <v>8.6E-3</v>
      </c>
      <c r="K40">
        <v>4.8999999999999998E-3</v>
      </c>
      <c r="L40">
        <v>4.0000000000000001E-3</v>
      </c>
      <c r="M40">
        <v>6</v>
      </c>
      <c r="O40">
        <v>1</v>
      </c>
      <c r="P40" t="s">
        <v>258</v>
      </c>
    </row>
    <row r="41" spans="1:16" x14ac:dyDescent="0.2">
      <c r="A41" t="s">
        <v>264</v>
      </c>
      <c r="B41" s="5" t="s">
        <v>48</v>
      </c>
      <c r="C41" s="99">
        <v>45739.289700000001</v>
      </c>
      <c r="D41" t="s">
        <v>190</v>
      </c>
      <c r="E41">
        <f>VLOOKUP(C41,'A (old)'!C$21:E$166,3,FALSE)</f>
        <v>-21024.450702829719</v>
      </c>
      <c r="F41">
        <v>8230.5</v>
      </c>
      <c r="J41">
        <v>5.1999999999999998E-3</v>
      </c>
      <c r="K41" t="s">
        <v>227</v>
      </c>
      <c r="L41" t="s">
        <v>226</v>
      </c>
      <c r="M41">
        <v>7</v>
      </c>
      <c r="O41">
        <v>2</v>
      </c>
      <c r="P41" t="s">
        <v>259</v>
      </c>
    </row>
    <row r="42" spans="1:16" x14ac:dyDescent="0.2">
      <c r="A42" t="s">
        <v>264</v>
      </c>
      <c r="B42" s="5" t="s">
        <v>48</v>
      </c>
      <c r="C42" s="99">
        <v>45740.339399999997</v>
      </c>
      <c r="D42" t="s">
        <v>190</v>
      </c>
      <c r="E42">
        <f>VLOOKUP(C42,'A (old)'!C$21:E$166,3,FALSE)</f>
        <v>-21021.452141976115</v>
      </c>
      <c r="F42">
        <v>8233.5</v>
      </c>
      <c r="J42">
        <v>4.7000000000000002E-3</v>
      </c>
      <c r="K42" t="s">
        <v>228</v>
      </c>
      <c r="L42" t="s">
        <v>223</v>
      </c>
      <c r="M42">
        <v>7</v>
      </c>
      <c r="O42">
        <v>3</v>
      </c>
      <c r="P42" t="s">
        <v>260</v>
      </c>
    </row>
    <row r="43" spans="1:16" x14ac:dyDescent="0.2">
      <c r="A43" t="s">
        <v>264</v>
      </c>
      <c r="B43" s="5" t="s">
        <v>53</v>
      </c>
      <c r="C43" s="99">
        <v>45740.513099999996</v>
      </c>
      <c r="D43" t="s">
        <v>190</v>
      </c>
      <c r="E43">
        <f>VLOOKUP(C43,'A (old)'!C$21:E$166,3,FALSE)</f>
        <v>-21020.955952569358</v>
      </c>
      <c r="F43">
        <v>8234</v>
      </c>
      <c r="J43">
        <v>3.3999999999999998E-3</v>
      </c>
      <c r="K43" t="s">
        <v>229</v>
      </c>
      <c r="L43" t="s">
        <v>224</v>
      </c>
      <c r="M43">
        <v>7</v>
      </c>
      <c r="O43">
        <v>4</v>
      </c>
      <c r="P43" t="s">
        <v>261</v>
      </c>
    </row>
    <row r="44" spans="1:16" x14ac:dyDescent="0.2">
      <c r="A44" t="s">
        <v>264</v>
      </c>
      <c r="B44" s="5" t="s">
        <v>48</v>
      </c>
      <c r="C44" s="99">
        <v>45753.292000000001</v>
      </c>
      <c r="D44" t="s">
        <v>190</v>
      </c>
      <c r="E44">
        <f>VLOOKUP(C44,'A (old)'!C$21:E$166,3,FALSE)</f>
        <v>-20984.451894941194</v>
      </c>
      <c r="F44">
        <v>8270.5</v>
      </c>
      <c r="J44">
        <v>4.8999999999999998E-3</v>
      </c>
      <c r="K44" t="s">
        <v>230</v>
      </c>
      <c r="L44" t="s">
        <v>217</v>
      </c>
      <c r="M44">
        <v>7</v>
      </c>
      <c r="O44">
        <v>5</v>
      </c>
      <c r="P44" t="s">
        <v>262</v>
      </c>
    </row>
    <row r="45" spans="1:16" x14ac:dyDescent="0.2">
      <c r="A45" t="s">
        <v>264</v>
      </c>
      <c r="B45" s="5" t="s">
        <v>53</v>
      </c>
      <c r="C45" s="99">
        <v>45761.519099999998</v>
      </c>
      <c r="D45" t="s">
        <v>190</v>
      </c>
      <c r="E45" t="e">
        <f>VLOOKUP(C45,'A (old)'!C$21:E$166,3,FALSE)</f>
        <v>#N/A</v>
      </c>
      <c r="F45">
        <v>8294</v>
      </c>
      <c r="J45">
        <v>5.4000000000000003E-3</v>
      </c>
      <c r="K45" t="s">
        <v>231</v>
      </c>
      <c r="L45" t="s">
        <v>221</v>
      </c>
      <c r="M45">
        <v>7</v>
      </c>
      <c r="O45">
        <v>6</v>
      </c>
      <c r="P45" t="s">
        <v>263</v>
      </c>
    </row>
    <row r="46" spans="1:16" x14ac:dyDescent="0.2">
      <c r="A46" t="s">
        <v>264</v>
      </c>
      <c r="B46" s="5" t="s">
        <v>53</v>
      </c>
      <c r="C46" s="99">
        <v>45762.2192</v>
      </c>
      <c r="D46" t="s">
        <v>190</v>
      </c>
      <c r="E46" t="e">
        <f>VLOOKUP(C46,'A (old)'!C$21:E$166,3,FALSE)</f>
        <v>#N/A</v>
      </c>
      <c r="F46">
        <v>8296</v>
      </c>
      <c r="J46">
        <v>5.4000000000000003E-3</v>
      </c>
      <c r="K46" t="s">
        <v>231</v>
      </c>
      <c r="L46" t="s">
        <v>221</v>
      </c>
      <c r="M46">
        <v>7</v>
      </c>
      <c r="O46">
        <v>7</v>
      </c>
      <c r="P46" t="s">
        <v>264</v>
      </c>
    </row>
    <row r="47" spans="1:16" x14ac:dyDescent="0.2">
      <c r="A47" t="s">
        <v>264</v>
      </c>
      <c r="B47" s="5" t="s">
        <v>48</v>
      </c>
      <c r="C47" s="99">
        <v>45762.393700000001</v>
      </c>
      <c r="D47" t="s">
        <v>190</v>
      </c>
      <c r="E47" t="e">
        <f>VLOOKUP(C47,'A (old)'!C$21:E$166,3,FALSE)</f>
        <v>#N/A</v>
      </c>
      <c r="F47">
        <v>8296.5</v>
      </c>
      <c r="J47">
        <v>4.8999999999999998E-3</v>
      </c>
      <c r="K47" t="s">
        <v>230</v>
      </c>
      <c r="L47" t="s">
        <v>217</v>
      </c>
      <c r="M47">
        <v>7</v>
      </c>
      <c r="O47">
        <v>8</v>
      </c>
      <c r="P47" t="s">
        <v>265</v>
      </c>
    </row>
    <row r="48" spans="1:16" x14ac:dyDescent="0.2">
      <c r="A48" t="s">
        <v>264</v>
      </c>
      <c r="B48" s="5" t="s">
        <v>53</v>
      </c>
      <c r="C48" s="99">
        <v>45763.273099999999</v>
      </c>
      <c r="D48" t="s">
        <v>190</v>
      </c>
      <c r="E48" t="e">
        <f>VLOOKUP(C48,'A (old)'!C$21:E$166,3,FALSE)</f>
        <v>#N/A</v>
      </c>
      <c r="F48">
        <v>8299</v>
      </c>
      <c r="J48">
        <v>9.1000000000000004E-3</v>
      </c>
      <c r="K48">
        <v>2.0999999999999999E-3</v>
      </c>
      <c r="L48">
        <v>3.0000000000000001E-3</v>
      </c>
      <c r="M48">
        <v>7</v>
      </c>
      <c r="O48">
        <v>9</v>
      </c>
      <c r="P48" t="s">
        <v>266</v>
      </c>
    </row>
    <row r="49" spans="1:16" x14ac:dyDescent="0.2">
      <c r="A49" t="s">
        <v>264</v>
      </c>
      <c r="B49" s="5" t="s">
        <v>48</v>
      </c>
      <c r="C49" s="99">
        <v>45802.302600000003</v>
      </c>
      <c r="D49" t="s">
        <v>190</v>
      </c>
      <c r="E49" t="e">
        <f>VLOOKUP(C49,'A (old)'!C$21:E$166,3,FALSE)</f>
        <v>#N/A</v>
      </c>
      <c r="F49">
        <v>8410.5</v>
      </c>
      <c r="J49">
        <v>6.3E-3</v>
      </c>
      <c r="K49" t="s">
        <v>220</v>
      </c>
      <c r="L49">
        <v>2.0000000000000001E-4</v>
      </c>
      <c r="M49">
        <v>7</v>
      </c>
      <c r="O49">
        <v>10</v>
      </c>
      <c r="P49" t="s">
        <v>267</v>
      </c>
    </row>
    <row r="50" spans="1:16" x14ac:dyDescent="0.2">
      <c r="A50" t="s">
        <v>264</v>
      </c>
      <c r="B50" s="5" t="s">
        <v>53</v>
      </c>
      <c r="C50" s="99">
        <v>45813.329100000003</v>
      </c>
      <c r="D50" t="s">
        <v>190</v>
      </c>
      <c r="E50" t="e">
        <f>VLOOKUP(C50,'A (old)'!C$21:E$166,3,FALSE)</f>
        <v>#N/A</v>
      </c>
      <c r="F50">
        <v>8442</v>
      </c>
      <c r="J50">
        <v>5.7000000000000002E-3</v>
      </c>
      <c r="K50" t="s">
        <v>223</v>
      </c>
      <c r="L50" t="s">
        <v>216</v>
      </c>
      <c r="M50">
        <v>7</v>
      </c>
      <c r="O50">
        <v>11</v>
      </c>
      <c r="P50" t="s">
        <v>268</v>
      </c>
    </row>
    <row r="51" spans="1:16" x14ac:dyDescent="0.2">
      <c r="A51" t="s">
        <v>264</v>
      </c>
      <c r="B51" s="5" t="s">
        <v>53</v>
      </c>
      <c r="C51" s="99">
        <v>45814.379200000003</v>
      </c>
      <c r="D51" t="s">
        <v>190</v>
      </c>
      <c r="E51" t="e">
        <f>VLOOKUP(C51,'A (old)'!C$21:E$166,3,FALSE)</f>
        <v>#N/A</v>
      </c>
      <c r="F51">
        <v>8445</v>
      </c>
      <c r="J51">
        <v>5.5999999999999999E-3</v>
      </c>
      <c r="K51" t="s">
        <v>231</v>
      </c>
      <c r="L51" t="s">
        <v>218</v>
      </c>
      <c r="M51">
        <v>7</v>
      </c>
      <c r="O51">
        <v>12</v>
      </c>
      <c r="P51" t="s">
        <v>269</v>
      </c>
    </row>
    <row r="52" spans="1:16" x14ac:dyDescent="0.2">
      <c r="A52" t="s">
        <v>265</v>
      </c>
      <c r="B52" s="5" t="s">
        <v>48</v>
      </c>
      <c r="C52" s="99">
        <v>45857.262199999997</v>
      </c>
      <c r="D52" t="s">
        <v>190</v>
      </c>
      <c r="E52">
        <f>VLOOKUP(C52,'A (old)'!C$21:E$166,3,FALSE)</f>
        <v>-20687.4518266716</v>
      </c>
      <c r="F52">
        <v>8567.5</v>
      </c>
      <c r="J52">
        <v>5.5999999999999999E-3</v>
      </c>
      <c r="K52" t="s">
        <v>227</v>
      </c>
      <c r="L52" t="s">
        <v>221</v>
      </c>
      <c r="M52">
        <v>8</v>
      </c>
      <c r="O52">
        <v>13</v>
      </c>
      <c r="P52" t="s">
        <v>270</v>
      </c>
    </row>
    <row r="53" spans="1:16" x14ac:dyDescent="0.2">
      <c r="A53" t="s">
        <v>265</v>
      </c>
      <c r="B53" s="5" t="s">
        <v>53</v>
      </c>
      <c r="C53" s="99">
        <v>45860.239200000004</v>
      </c>
      <c r="D53" t="s">
        <v>190</v>
      </c>
      <c r="E53">
        <f>VLOOKUP(C53,'A (old)'!C$21:E$166,3,FALSE)</f>
        <v>-20678.947762976037</v>
      </c>
      <c r="F53">
        <v>8576</v>
      </c>
      <c r="J53">
        <v>7.0000000000000001E-3</v>
      </c>
      <c r="K53" t="s">
        <v>210</v>
      </c>
      <c r="L53">
        <v>8.0000000000000004E-4</v>
      </c>
      <c r="M53">
        <v>8</v>
      </c>
      <c r="O53">
        <v>14</v>
      </c>
      <c r="P53" t="s">
        <v>271</v>
      </c>
    </row>
    <row r="54" spans="1:16" x14ac:dyDescent="0.2">
      <c r="A54" t="s">
        <v>292</v>
      </c>
      <c r="B54" s="5" t="s">
        <v>53</v>
      </c>
      <c r="C54" s="99">
        <v>46127.688800000004</v>
      </c>
      <c r="D54" t="s">
        <v>232</v>
      </c>
      <c r="E54">
        <f>VLOOKUP(C54,'A (old)'!C$21:E$166,3,FALSE)</f>
        <v>-19914.954335448929</v>
      </c>
      <c r="F54">
        <v>9340</v>
      </c>
      <c r="J54">
        <v>6.4000000000000003E-3</v>
      </c>
      <c r="K54" t="s">
        <v>227</v>
      </c>
      <c r="L54">
        <v>0</v>
      </c>
      <c r="M54">
        <v>9</v>
      </c>
      <c r="O54">
        <v>15</v>
      </c>
      <c r="P54" t="s">
        <v>272</v>
      </c>
    </row>
    <row r="55" spans="1:16" x14ac:dyDescent="0.2">
      <c r="A55" t="s">
        <v>286</v>
      </c>
      <c r="B55" s="5" t="s">
        <v>53</v>
      </c>
      <c r="C55" s="99">
        <v>48396.468399999998</v>
      </c>
      <c r="D55" t="s">
        <v>190</v>
      </c>
      <c r="E55">
        <f>VLOOKUP(C55,'A (old)'!C$21:E$166,3,FALSE)</f>
        <v>-13433.984826025184</v>
      </c>
      <c r="F55">
        <v>15821</v>
      </c>
      <c r="J55">
        <v>1.01E-2</v>
      </c>
      <c r="K55" t="s">
        <v>241</v>
      </c>
      <c r="L55" t="s">
        <v>242</v>
      </c>
      <c r="M55">
        <v>13</v>
      </c>
      <c r="O55">
        <v>16</v>
      </c>
      <c r="P55" t="s">
        <v>273</v>
      </c>
    </row>
    <row r="56" spans="1:16" x14ac:dyDescent="0.2">
      <c r="A56" t="s">
        <v>286</v>
      </c>
      <c r="B56" s="5" t="s">
        <v>53</v>
      </c>
      <c r="C56" s="99">
        <v>48397.518700000001</v>
      </c>
      <c r="D56" t="s">
        <v>190</v>
      </c>
      <c r="E56">
        <f>VLOOKUP(C56,'A (old)'!C$21:E$166,3,FALSE)</f>
        <v>-13430.984551218515</v>
      </c>
      <c r="F56">
        <v>15824</v>
      </c>
      <c r="J56">
        <v>1.0200000000000001E-2</v>
      </c>
      <c r="K56" t="s">
        <v>244</v>
      </c>
      <c r="L56" t="s">
        <v>208</v>
      </c>
      <c r="M56">
        <v>13</v>
      </c>
      <c r="O56">
        <v>17</v>
      </c>
      <c r="P56" t="s">
        <v>274</v>
      </c>
    </row>
    <row r="57" spans="1:16" x14ac:dyDescent="0.2">
      <c r="A57" t="s">
        <v>291</v>
      </c>
      <c r="B57" s="5" t="s">
        <v>48</v>
      </c>
      <c r="C57" s="99">
        <v>50330.414499999999</v>
      </c>
      <c r="D57" t="s">
        <v>245</v>
      </c>
      <c r="E57">
        <f>VLOOKUP(C57,'A (old)'!C$21:E$166,3,FALSE)</f>
        <v>-7909.4968118659399</v>
      </c>
      <c r="F57">
        <v>21345.5</v>
      </c>
      <c r="J57">
        <v>1.8200000000000001E-2</v>
      </c>
      <c r="K57" t="s">
        <v>229</v>
      </c>
      <c r="L57" t="s">
        <v>246</v>
      </c>
      <c r="M57">
        <v>14</v>
      </c>
      <c r="O57">
        <v>18</v>
      </c>
      <c r="P57" t="s">
        <v>275</v>
      </c>
    </row>
    <row r="58" spans="1:16" x14ac:dyDescent="0.2">
      <c r="A58" t="s">
        <v>291</v>
      </c>
      <c r="B58" s="5" t="s">
        <v>48</v>
      </c>
      <c r="C58" s="99">
        <v>50653.526400000002</v>
      </c>
      <c r="D58" t="s">
        <v>245</v>
      </c>
      <c r="E58">
        <f>VLOOKUP(C58,'A (old)'!C$21:E$166,3,FALSE)</f>
        <v>-6986.4991033040315</v>
      </c>
      <c r="F58">
        <v>22268.5</v>
      </c>
      <c r="J58">
        <v>1.95E-2</v>
      </c>
      <c r="K58" t="s">
        <v>247</v>
      </c>
      <c r="L58" t="s">
        <v>248</v>
      </c>
      <c r="M58">
        <v>14</v>
      </c>
      <c r="O58">
        <v>19</v>
      </c>
      <c r="P58" t="s">
        <v>249</v>
      </c>
    </row>
    <row r="59" spans="1:16" x14ac:dyDescent="0.2">
      <c r="A59" t="s">
        <v>287</v>
      </c>
      <c r="B59" s="5" t="s">
        <v>53</v>
      </c>
      <c r="C59" s="99">
        <v>51636.342299999997</v>
      </c>
      <c r="D59" t="s">
        <v>190</v>
      </c>
      <c r="E59">
        <f>VLOOKUP(C59,'A (old)'!C$21:E$166,3,FALSE)</f>
        <v>-4178.9985945385115</v>
      </c>
      <c r="F59">
        <v>25076</v>
      </c>
      <c r="J59">
        <v>2.5899999999999999E-2</v>
      </c>
      <c r="K59">
        <v>0</v>
      </c>
      <c r="L59" t="s">
        <v>223</v>
      </c>
      <c r="M59">
        <v>15</v>
      </c>
      <c r="O59">
        <v>20</v>
      </c>
      <c r="P59" t="s">
        <v>276</v>
      </c>
    </row>
    <row r="60" spans="1:16" x14ac:dyDescent="0.2">
      <c r="A60" t="s">
        <v>289</v>
      </c>
      <c r="B60" s="5" t="s">
        <v>53</v>
      </c>
      <c r="C60" s="99">
        <v>52717.002999999997</v>
      </c>
      <c r="D60" t="s">
        <v>245</v>
      </c>
      <c r="E60">
        <f>VLOOKUP(C60,'A (old)'!C$21:E$166,3,FALSE)</f>
        <v>-1091.9957641478729</v>
      </c>
      <c r="F60">
        <v>28163</v>
      </c>
      <c r="J60">
        <v>3.3700000000000001E-2</v>
      </c>
      <c r="K60">
        <v>4.3E-3</v>
      </c>
      <c r="L60">
        <v>4.0000000000000002E-4</v>
      </c>
      <c r="M60">
        <v>16</v>
      </c>
    </row>
    <row r="61" spans="1:16" x14ac:dyDescent="0.2">
      <c r="A61" t="s">
        <v>289</v>
      </c>
      <c r="B61" s="5" t="s">
        <v>48</v>
      </c>
      <c r="C61" s="99">
        <v>52717.178399999997</v>
      </c>
      <c r="D61" t="s">
        <v>245</v>
      </c>
      <c r="E61">
        <f>VLOOKUP(C61,'A (old)'!C$21:E$166,3,FALSE)</f>
        <v>-1091.4947185408189</v>
      </c>
      <c r="F61">
        <v>28163.5</v>
      </c>
      <c r="J61">
        <v>3.4099999999999998E-2</v>
      </c>
      <c r="K61">
        <v>4.7000000000000002E-3</v>
      </c>
      <c r="L61">
        <v>8.0000000000000004E-4</v>
      </c>
      <c r="M61">
        <v>16</v>
      </c>
    </row>
    <row r="62" spans="1:16" x14ac:dyDescent="0.2">
      <c r="A62" t="s">
        <v>290</v>
      </c>
      <c r="B62" s="5" t="s">
        <v>48</v>
      </c>
      <c r="C62" s="99">
        <v>52729.781999999999</v>
      </c>
      <c r="D62" t="s">
        <v>245</v>
      </c>
      <c r="E62">
        <f>VLOOKUP(C62,'A (old)'!C$21:E$166,3,FALSE)</f>
        <v>-1055.4914208608736</v>
      </c>
      <c r="F62">
        <v>28199.5</v>
      </c>
      <c r="J62">
        <v>3.5299999999999998E-2</v>
      </c>
      <c r="K62">
        <v>5.7999999999999996E-3</v>
      </c>
      <c r="L62">
        <v>1.9E-3</v>
      </c>
      <c r="M62">
        <v>17</v>
      </c>
    </row>
    <row r="63" spans="1:16" x14ac:dyDescent="0.2">
      <c r="A63" t="s">
        <v>288</v>
      </c>
      <c r="B63" s="5" t="s">
        <v>48</v>
      </c>
      <c r="C63" s="99">
        <v>53092.451399999998</v>
      </c>
      <c r="D63" t="s">
        <v>190</v>
      </c>
      <c r="E63">
        <f>VLOOKUP(C63,'A (old)'!C$21:E$166,3,FALSE)</f>
        <v>-19.494216284015426</v>
      </c>
      <c r="F63">
        <v>29235.5</v>
      </c>
      <c r="J63">
        <v>3.6700000000000003E-2</v>
      </c>
      <c r="K63">
        <v>6.0000000000000001E-3</v>
      </c>
      <c r="L63">
        <v>1.6000000000000001E-3</v>
      </c>
      <c r="M63">
        <v>18</v>
      </c>
    </row>
    <row r="64" spans="1:16" x14ac:dyDescent="0.2">
      <c r="A64" t="s">
        <v>288</v>
      </c>
      <c r="B64" s="5" t="s">
        <v>48</v>
      </c>
      <c r="C64" s="99">
        <v>53099.450700000001</v>
      </c>
      <c r="D64" t="s">
        <v>190</v>
      </c>
      <c r="E64">
        <f>VLOOKUP(C64,'A (old)'!C$21:E$166,3,FALSE)</f>
        <v>0.49990297169809716</v>
      </c>
      <c r="F64">
        <v>29255.5</v>
      </c>
      <c r="J64">
        <v>3.4700000000000002E-2</v>
      </c>
      <c r="K64">
        <v>4.0000000000000001E-3</v>
      </c>
      <c r="L64" t="s">
        <v>216</v>
      </c>
      <c r="M64">
        <v>18</v>
      </c>
    </row>
    <row r="65" spans="1:39" x14ac:dyDescent="0.2">
      <c r="A65" t="s">
        <v>283</v>
      </c>
      <c r="B65" s="5" t="s">
        <v>53</v>
      </c>
      <c r="C65" s="99">
        <v>47398.424700000003</v>
      </c>
      <c r="D65" t="s">
        <v>190</v>
      </c>
      <c r="E65">
        <f>VLOOKUP(C65,'A (old)'!C$21:E$166,3,FALSE)</f>
        <v>-16284.984891775264</v>
      </c>
      <c r="F65">
        <v>12970</v>
      </c>
      <c r="J65">
        <v>3.8E-3</v>
      </c>
      <c r="K65" t="s">
        <v>233</v>
      </c>
      <c r="L65" t="s">
        <v>215</v>
      </c>
      <c r="M65">
        <v>10</v>
      </c>
    </row>
    <row r="66" spans="1:39" x14ac:dyDescent="0.2">
      <c r="A66" t="s">
        <v>284</v>
      </c>
      <c r="B66" s="5" t="s">
        <v>53</v>
      </c>
      <c r="C66" s="99">
        <v>47672.532700000003</v>
      </c>
      <c r="D66" t="s">
        <v>190</v>
      </c>
      <c r="E66">
        <f>VLOOKUP(C66,'A (old)'!C$21:E$166,3,FALSE)</f>
        <v>-15501.971155981302</v>
      </c>
      <c r="F66">
        <v>13753</v>
      </c>
      <c r="J66">
        <v>1.03E-2</v>
      </c>
      <c r="K66" t="s">
        <v>236</v>
      </c>
      <c r="L66">
        <v>1.9E-3</v>
      </c>
      <c r="M66">
        <v>11</v>
      </c>
    </row>
    <row r="67" spans="1:39" x14ac:dyDescent="0.2">
      <c r="A67" t="s">
        <v>284</v>
      </c>
      <c r="B67" s="5" t="s">
        <v>53</v>
      </c>
      <c r="C67" s="99">
        <v>47676.3799</v>
      </c>
      <c r="D67" t="s">
        <v>190</v>
      </c>
      <c r="E67">
        <f>VLOOKUP(C67,'A (old)'!C$21:E$166,3,FALSE)</f>
        <v>-15490.981289051684</v>
      </c>
      <c r="F67">
        <v>13764</v>
      </c>
      <c r="J67">
        <v>6.7999999999999996E-3</v>
      </c>
      <c r="K67" t="s">
        <v>237</v>
      </c>
      <c r="L67" t="s">
        <v>238</v>
      </c>
      <c r="M67">
        <v>11</v>
      </c>
    </row>
    <row r="68" spans="1:39" x14ac:dyDescent="0.2">
      <c r="A68" t="s">
        <v>285</v>
      </c>
      <c r="B68" s="5" t="s">
        <v>53</v>
      </c>
      <c r="C68" s="99">
        <v>48028.548999999999</v>
      </c>
      <c r="D68" t="s">
        <v>190</v>
      </c>
      <c r="E68">
        <f>VLOOKUP(C68,'A (old)'!C$21:E$166,3,FALSE)</f>
        <v>-14484.979119752734</v>
      </c>
      <c r="F68">
        <v>14770</v>
      </c>
      <c r="J68">
        <v>9.7999999999999997E-3</v>
      </c>
      <c r="K68" t="s">
        <v>239</v>
      </c>
      <c r="L68">
        <v>5.0000000000000001E-4</v>
      </c>
      <c r="M68">
        <v>12</v>
      </c>
    </row>
    <row r="69" spans="1:39" x14ac:dyDescent="0.2">
      <c r="A69" t="s">
        <v>284</v>
      </c>
      <c r="B69" s="5" t="s">
        <v>48</v>
      </c>
      <c r="C69" s="99">
        <v>47668.506600000001</v>
      </c>
      <c r="D69" t="s">
        <v>190</v>
      </c>
      <c r="E69">
        <f>VLOOKUP(C69,'A (old)'!C$21:E$166,3,FALSE)</f>
        <v>-15513.472066577426</v>
      </c>
      <c r="F69">
        <v>13741.5</v>
      </c>
      <c r="J69">
        <v>0.01</v>
      </c>
      <c r="K69" t="s">
        <v>234</v>
      </c>
      <c r="L69">
        <v>1.6000000000000001E-3</v>
      </c>
      <c r="M69">
        <v>11</v>
      </c>
    </row>
    <row r="70" spans="1:39" x14ac:dyDescent="0.2">
      <c r="A70" t="s">
        <v>284</v>
      </c>
      <c r="B70" s="5" t="s">
        <v>48</v>
      </c>
      <c r="C70" s="99">
        <v>47672.356099999997</v>
      </c>
      <c r="D70" t="s">
        <v>190</v>
      </c>
      <c r="E70">
        <f>VLOOKUP(C70,'A (old)'!C$21:E$166,3,FALSE)</f>
        <v>-15502.475629494465</v>
      </c>
      <c r="F70">
        <v>13752.5</v>
      </c>
      <c r="J70">
        <v>8.8000000000000005E-3</v>
      </c>
      <c r="K70" t="s">
        <v>235</v>
      </c>
      <c r="L70">
        <v>4.0000000000000002E-4</v>
      </c>
      <c r="M70">
        <v>11</v>
      </c>
    </row>
    <row r="71" spans="1:39" x14ac:dyDescent="0.2">
      <c r="A71" t="s">
        <v>285</v>
      </c>
      <c r="B71" s="5" t="s">
        <v>48</v>
      </c>
      <c r="C71" s="99">
        <v>48028.374400000001</v>
      </c>
      <c r="D71" t="s">
        <v>190</v>
      </c>
      <c r="E71">
        <f>VLOOKUP(C71,'A (old)'!C$21:E$166,3,FALSE)</f>
        <v>-14485.477880089056</v>
      </c>
      <c r="F71">
        <v>14769.5</v>
      </c>
      <c r="J71">
        <v>1.0200000000000001E-2</v>
      </c>
      <c r="K71" t="s">
        <v>215</v>
      </c>
      <c r="L71">
        <v>8.9999999999999998E-4</v>
      </c>
      <c r="M71">
        <v>12</v>
      </c>
    </row>
    <row r="72" spans="1:39" x14ac:dyDescent="0.2">
      <c r="A72" t="s">
        <v>285</v>
      </c>
      <c r="B72" s="5" t="s">
        <v>48</v>
      </c>
      <c r="C72" s="99">
        <v>48030.475400000003</v>
      </c>
      <c r="D72" t="s">
        <v>190</v>
      </c>
      <c r="E72">
        <f>VLOOKUP(C72,'A (old)'!C$21:E$166,3,FALSE)</f>
        <v>-14479.476187840362</v>
      </c>
      <c r="F72">
        <v>14775.5</v>
      </c>
      <c r="J72">
        <v>1.0800000000000001E-2</v>
      </c>
      <c r="K72" t="s">
        <v>229</v>
      </c>
      <c r="L72">
        <v>1.5E-3</v>
      </c>
      <c r="M72">
        <v>12</v>
      </c>
    </row>
    <row r="73" spans="1:39" x14ac:dyDescent="0.2">
      <c r="A73" t="s">
        <v>285</v>
      </c>
      <c r="B73" s="5" t="s">
        <v>48</v>
      </c>
      <c r="C73" s="99">
        <v>48035.375899999999</v>
      </c>
      <c r="D73" t="s">
        <v>190</v>
      </c>
      <c r="E73">
        <f>VLOOKUP(C73,'A (old)'!C$21:E$166,3,FALSE)</f>
        <v>-14465.477476338854</v>
      </c>
      <c r="F73">
        <v>14789.5</v>
      </c>
      <c r="J73">
        <v>1.04E-2</v>
      </c>
      <c r="K73" t="s">
        <v>240</v>
      </c>
      <c r="L73">
        <v>1.1000000000000001E-3</v>
      </c>
      <c r="M73">
        <v>12</v>
      </c>
    </row>
    <row r="74" spans="1:39" x14ac:dyDescent="0.2">
      <c r="A74" t="s">
        <v>286</v>
      </c>
      <c r="B74" s="5" t="s">
        <v>48</v>
      </c>
      <c r="C74" s="99">
        <v>48397.344299999997</v>
      </c>
      <c r="D74" t="s">
        <v>190</v>
      </c>
      <c r="E74">
        <f>VLOOKUP(C74,'A (old)'!C$21:E$166,3,FALSE)</f>
        <v>-13431.482740237168</v>
      </c>
      <c r="F74">
        <v>15823.5</v>
      </c>
      <c r="J74">
        <v>1.09E-2</v>
      </c>
      <c r="K74" t="s">
        <v>243</v>
      </c>
      <c r="L74">
        <v>5.9999999999999995E-4</v>
      </c>
      <c r="M74">
        <v>13</v>
      </c>
    </row>
    <row r="75" spans="1:39" x14ac:dyDescent="0.2">
      <c r="A75" t="s">
        <v>286</v>
      </c>
      <c r="B75" s="5" t="s">
        <v>48</v>
      </c>
      <c r="C75" s="99">
        <v>48398.394999999997</v>
      </c>
      <c r="D75" t="s">
        <v>190</v>
      </c>
      <c r="E75">
        <f>VLOOKUP(C75,'A (old)'!C$21:E$166,3,FALSE)</f>
        <v>-13428.481322795144</v>
      </c>
      <c r="F75">
        <v>15826.5</v>
      </c>
      <c r="J75">
        <v>1.14E-2</v>
      </c>
      <c r="K75" t="s">
        <v>215</v>
      </c>
      <c r="L75">
        <v>1.1000000000000001E-3</v>
      </c>
      <c r="M75">
        <v>13</v>
      </c>
    </row>
    <row r="76" spans="1:39" x14ac:dyDescent="0.2">
      <c r="A76" s="108" t="s">
        <v>300</v>
      </c>
      <c r="B76" s="109"/>
      <c r="C76" s="108">
        <v>53172.089699999997</v>
      </c>
      <c r="D76" s="110" t="s">
        <v>245</v>
      </c>
    </row>
    <row r="77" spans="1:39" x14ac:dyDescent="0.2">
      <c r="A77" s="108" t="s">
        <v>300</v>
      </c>
      <c r="B77" s="109"/>
      <c r="C77" s="108">
        <v>53425.1898</v>
      </c>
      <c r="D77" s="110" t="s">
        <v>245</v>
      </c>
    </row>
    <row r="78" spans="1:39" x14ac:dyDescent="0.2">
      <c r="A78" s="108" t="s">
        <v>301</v>
      </c>
      <c r="B78" s="109"/>
      <c r="C78" s="108">
        <v>53634.357799999998</v>
      </c>
      <c r="D78" s="110" t="s">
        <v>190</v>
      </c>
    </row>
    <row r="79" spans="1:39" x14ac:dyDescent="0.2">
      <c r="A79" s="108" t="s">
        <v>301</v>
      </c>
      <c r="B79" s="108"/>
      <c r="C79" s="108">
        <v>53634.521999999997</v>
      </c>
      <c r="D79" s="110" t="s">
        <v>190</v>
      </c>
      <c r="E79" s="99"/>
      <c r="F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</row>
  </sheetData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39"/>
  <sheetViews>
    <sheetView topLeftCell="A121" workbookViewId="0">
      <selection activeCell="A132" sqref="A132:D145"/>
    </sheetView>
  </sheetViews>
  <sheetFormatPr defaultRowHeight="12.75" x14ac:dyDescent="0.2"/>
  <cols>
    <col min="1" max="1" width="19.7109375" style="99" customWidth="1"/>
    <col min="2" max="2" width="4.42578125" style="45" customWidth="1"/>
    <col min="3" max="3" width="12.7109375" style="99" customWidth="1"/>
    <col min="4" max="4" width="5.42578125" style="45" customWidth="1"/>
    <col min="5" max="5" width="14.85546875" style="45" customWidth="1"/>
    <col min="6" max="6" width="9.140625" style="45"/>
    <col min="7" max="7" width="12" style="45" customWidth="1"/>
    <col min="8" max="8" width="14.140625" style="99" customWidth="1"/>
    <col min="9" max="9" width="22.5703125" style="45" customWidth="1"/>
    <col min="10" max="10" width="25.140625" style="45" customWidth="1"/>
    <col min="11" max="11" width="15.7109375" style="45" customWidth="1"/>
    <col min="12" max="12" width="14.140625" style="45" customWidth="1"/>
    <col min="13" max="13" width="9.5703125" style="45" customWidth="1"/>
    <col min="14" max="14" width="14.140625" style="45" customWidth="1"/>
    <col min="15" max="15" width="23.42578125" style="45" customWidth="1"/>
    <col min="16" max="16" width="16.5703125" style="45" customWidth="1"/>
    <col min="17" max="17" width="41" style="45" customWidth="1"/>
    <col min="18" max="16384" width="9.140625" style="45"/>
  </cols>
  <sheetData>
    <row r="1" spans="1:16" ht="15.75" x14ac:dyDescent="0.25">
      <c r="A1" s="119" t="s">
        <v>306</v>
      </c>
      <c r="I1" s="120" t="s">
        <v>117</v>
      </c>
      <c r="J1" s="121" t="s">
        <v>245</v>
      </c>
    </row>
    <row r="2" spans="1:16" x14ac:dyDescent="0.2">
      <c r="I2" s="122" t="s">
        <v>128</v>
      </c>
      <c r="J2" s="123" t="s">
        <v>294</v>
      </c>
    </row>
    <row r="3" spans="1:16" x14ac:dyDescent="0.2">
      <c r="A3" s="124" t="s">
        <v>307</v>
      </c>
      <c r="I3" s="122" t="s">
        <v>132</v>
      </c>
      <c r="J3" s="123" t="s">
        <v>293</v>
      </c>
    </row>
    <row r="4" spans="1:16" x14ac:dyDescent="0.2">
      <c r="I4" s="122" t="s">
        <v>147</v>
      </c>
      <c r="J4" s="123" t="s">
        <v>293</v>
      </c>
    </row>
    <row r="5" spans="1:16" ht="13.5" thickBot="1" x14ac:dyDescent="0.25">
      <c r="I5" s="125" t="s">
        <v>171</v>
      </c>
      <c r="J5" s="126" t="s">
        <v>96</v>
      </c>
    </row>
    <row r="10" spans="1:16" ht="13.5" thickBot="1" x14ac:dyDescent="0.25"/>
    <row r="11" spans="1:16" ht="12.75" customHeight="1" thickBot="1" x14ac:dyDescent="0.25">
      <c r="A11" s="99" t="str">
        <f t="shared" ref="A11:A42" si="0">P11</f>
        <v> BAAS 2.357 </v>
      </c>
      <c r="B11" s="5" t="str">
        <f t="shared" ref="B11:B42" si="1">IF(H11=INT(H11),"I","II")</f>
        <v>I</v>
      </c>
      <c r="C11" s="99">
        <f t="shared" ref="C11:C42" si="2">1*G11</f>
        <v>40362.788500000002</v>
      </c>
      <c r="D11" s="45" t="str">
        <f t="shared" ref="D11:D42" si="3">VLOOKUP(F11,I$1:J$5,2,FALSE)</f>
        <v>vis</v>
      </c>
      <c r="E11" s="127">
        <f>VLOOKUP(C11,Active!C$21:E$973,3,FALSE)</f>
        <v>-36382.90171525078</v>
      </c>
      <c r="F11" s="5" t="s">
        <v>171</v>
      </c>
      <c r="G11" s="45" t="str">
        <f t="shared" ref="G11:G42" si="4">MID(I11,3,LEN(I11)-3)</f>
        <v>40362.7885</v>
      </c>
      <c r="H11" s="99">
        <f t="shared" ref="H11:H42" si="5">1*K11</f>
        <v>-11745</v>
      </c>
      <c r="I11" s="128" t="s">
        <v>310</v>
      </c>
      <c r="J11" s="129" t="s">
        <v>311</v>
      </c>
      <c r="K11" s="128">
        <v>-11745</v>
      </c>
      <c r="L11" s="128" t="s">
        <v>312</v>
      </c>
      <c r="M11" s="129" t="s">
        <v>313</v>
      </c>
      <c r="N11" s="129" t="s">
        <v>314</v>
      </c>
      <c r="O11" s="130" t="s">
        <v>315</v>
      </c>
      <c r="P11" s="130" t="s">
        <v>316</v>
      </c>
    </row>
    <row r="12" spans="1:16" ht="12.75" customHeight="1" thickBot="1" x14ac:dyDescent="0.25">
      <c r="A12" s="99" t="str">
        <f t="shared" si="0"/>
        <v> ASS 88.438 </v>
      </c>
      <c r="B12" s="5" t="str">
        <f t="shared" si="1"/>
        <v>I</v>
      </c>
      <c r="C12" s="99">
        <f t="shared" si="2"/>
        <v>42470.893100000001</v>
      </c>
      <c r="D12" s="45" t="str">
        <f t="shared" si="3"/>
        <v>vis</v>
      </c>
      <c r="E12" s="127">
        <f>VLOOKUP(C12,Active!C$21:E$973,3,FALSE)</f>
        <v>-30360.914548548488</v>
      </c>
      <c r="F12" s="5" t="s">
        <v>171</v>
      </c>
      <c r="G12" s="45" t="str">
        <f t="shared" si="4"/>
        <v>42470.8931</v>
      </c>
      <c r="H12" s="99">
        <f t="shared" si="5"/>
        <v>-5723</v>
      </c>
      <c r="I12" s="128" t="s">
        <v>317</v>
      </c>
      <c r="J12" s="129" t="s">
        <v>318</v>
      </c>
      <c r="K12" s="128">
        <v>-5723</v>
      </c>
      <c r="L12" s="128" t="s">
        <v>319</v>
      </c>
      <c r="M12" s="129" t="s">
        <v>313</v>
      </c>
      <c r="N12" s="129" t="s">
        <v>314</v>
      </c>
      <c r="O12" s="130" t="s">
        <v>320</v>
      </c>
      <c r="P12" s="130" t="s">
        <v>321</v>
      </c>
    </row>
    <row r="13" spans="1:16" ht="12.75" customHeight="1" thickBot="1" x14ac:dyDescent="0.25">
      <c r="A13" s="99" t="str">
        <f t="shared" si="0"/>
        <v> ASS 88.438 </v>
      </c>
      <c r="B13" s="5" t="str">
        <f t="shared" si="1"/>
        <v>I</v>
      </c>
      <c r="C13" s="99">
        <f t="shared" si="2"/>
        <v>42471.943200000002</v>
      </c>
      <c r="D13" s="45" t="str">
        <f t="shared" si="3"/>
        <v>vis</v>
      </c>
      <c r="E13" s="127">
        <f>VLOOKUP(C13,Active!C$21:E$973,3,FALSE)</f>
        <v>-30357.914845059506</v>
      </c>
      <c r="F13" s="5" t="s">
        <v>171</v>
      </c>
      <c r="G13" s="45" t="str">
        <f t="shared" si="4"/>
        <v>42471.9432</v>
      </c>
      <c r="H13" s="99">
        <f t="shared" si="5"/>
        <v>-5720</v>
      </c>
      <c r="I13" s="128" t="s">
        <v>322</v>
      </c>
      <c r="J13" s="129" t="s">
        <v>323</v>
      </c>
      <c r="K13" s="128">
        <v>-5720</v>
      </c>
      <c r="L13" s="128" t="s">
        <v>324</v>
      </c>
      <c r="M13" s="129" t="s">
        <v>313</v>
      </c>
      <c r="N13" s="129" t="s">
        <v>314</v>
      </c>
      <c r="O13" s="130" t="s">
        <v>320</v>
      </c>
      <c r="P13" s="130" t="s">
        <v>321</v>
      </c>
    </row>
    <row r="14" spans="1:16" ht="12.75" customHeight="1" thickBot="1" x14ac:dyDescent="0.25">
      <c r="A14" s="99" t="str">
        <f t="shared" si="0"/>
        <v> ASS 88.438 </v>
      </c>
      <c r="B14" s="5" t="str">
        <f t="shared" si="1"/>
        <v>I</v>
      </c>
      <c r="C14" s="99">
        <f t="shared" si="2"/>
        <v>42472.992299999998</v>
      </c>
      <c r="D14" s="45" t="str">
        <f t="shared" si="3"/>
        <v>vis</v>
      </c>
      <c r="E14" s="127">
        <f>VLOOKUP(C14,Active!C$21:E$973,3,FALSE)</f>
        <v>-30354.917998158948</v>
      </c>
      <c r="F14" s="5" t="s">
        <v>171</v>
      </c>
      <c r="G14" s="45" t="str">
        <f t="shared" si="4"/>
        <v>42472.9923</v>
      </c>
      <c r="H14" s="99">
        <f t="shared" si="5"/>
        <v>-5717</v>
      </c>
      <c r="I14" s="128" t="s">
        <v>325</v>
      </c>
      <c r="J14" s="129" t="s">
        <v>326</v>
      </c>
      <c r="K14" s="128">
        <v>-5717</v>
      </c>
      <c r="L14" s="128" t="s">
        <v>327</v>
      </c>
      <c r="M14" s="129" t="s">
        <v>313</v>
      </c>
      <c r="N14" s="129" t="s">
        <v>314</v>
      </c>
      <c r="O14" s="130" t="s">
        <v>320</v>
      </c>
      <c r="P14" s="130" t="s">
        <v>321</v>
      </c>
    </row>
    <row r="15" spans="1:16" ht="12.75" customHeight="1" thickBot="1" x14ac:dyDescent="0.25">
      <c r="A15" s="99" t="str">
        <f t="shared" si="0"/>
        <v> ASS 60.174 </v>
      </c>
      <c r="B15" s="5" t="str">
        <f t="shared" si="1"/>
        <v>II</v>
      </c>
      <c r="C15" s="99">
        <f t="shared" si="2"/>
        <v>42858.243699999999</v>
      </c>
      <c r="D15" s="45" t="str">
        <f t="shared" si="3"/>
        <v>vis</v>
      </c>
      <c r="E15" s="127">
        <f>VLOOKUP(C15,Active!C$21:E$973,3,FALSE)</f>
        <v>-29254.413314115234</v>
      </c>
      <c r="F15" s="5" t="s">
        <v>171</v>
      </c>
      <c r="G15" s="45" t="str">
        <f t="shared" si="4"/>
        <v>42858.2437</v>
      </c>
      <c r="H15" s="99">
        <f t="shared" si="5"/>
        <v>-4616.5</v>
      </c>
      <c r="I15" s="128" t="s">
        <v>328</v>
      </c>
      <c r="J15" s="129" t="s">
        <v>329</v>
      </c>
      <c r="K15" s="128">
        <v>-4616.5</v>
      </c>
      <c r="L15" s="128" t="s">
        <v>330</v>
      </c>
      <c r="M15" s="129" t="s">
        <v>313</v>
      </c>
      <c r="N15" s="129" t="s">
        <v>314</v>
      </c>
      <c r="O15" s="130" t="s">
        <v>331</v>
      </c>
      <c r="P15" s="130" t="s">
        <v>332</v>
      </c>
    </row>
    <row r="16" spans="1:16" ht="12.75" customHeight="1" thickBot="1" x14ac:dyDescent="0.25">
      <c r="A16" s="99" t="str">
        <f t="shared" si="0"/>
        <v> AAPS 48.85 </v>
      </c>
      <c r="B16" s="5" t="str">
        <f t="shared" si="1"/>
        <v>I</v>
      </c>
      <c r="C16" s="99">
        <f t="shared" si="2"/>
        <v>42878.372000000003</v>
      </c>
      <c r="D16" s="45" t="str">
        <f t="shared" si="3"/>
        <v>vis</v>
      </c>
      <c r="E16" s="127">
        <f>VLOOKUP(C16,Active!C$21:E$973,3,FALSE)</f>
        <v>-29196.915045629146</v>
      </c>
      <c r="F16" s="5" t="s">
        <v>171</v>
      </c>
      <c r="G16" s="45" t="str">
        <f t="shared" si="4"/>
        <v>42878.3720</v>
      </c>
      <c r="H16" s="99">
        <f t="shared" si="5"/>
        <v>-4559</v>
      </c>
      <c r="I16" s="128" t="s">
        <v>333</v>
      </c>
      <c r="J16" s="129" t="s">
        <v>334</v>
      </c>
      <c r="K16" s="128">
        <v>-4559</v>
      </c>
      <c r="L16" s="128" t="s">
        <v>335</v>
      </c>
      <c r="M16" s="129" t="s">
        <v>313</v>
      </c>
      <c r="N16" s="129" t="s">
        <v>314</v>
      </c>
      <c r="O16" s="130" t="s">
        <v>336</v>
      </c>
      <c r="P16" s="130" t="s">
        <v>337</v>
      </c>
    </row>
    <row r="17" spans="1:16" ht="12.75" customHeight="1" thickBot="1" x14ac:dyDescent="0.25">
      <c r="A17" s="99" t="str">
        <f t="shared" si="0"/>
        <v> AAPS 48.85 </v>
      </c>
      <c r="B17" s="5" t="str">
        <f t="shared" si="1"/>
        <v>II</v>
      </c>
      <c r="C17" s="99">
        <f t="shared" si="2"/>
        <v>42878.546999999999</v>
      </c>
      <c r="D17" s="45" t="str">
        <f t="shared" si="3"/>
        <v>vis</v>
      </c>
      <c r="E17" s="127">
        <f>VLOOKUP(C17,Active!C$21:E$973,3,FALSE)</f>
        <v>-29196.415142657468</v>
      </c>
      <c r="F17" s="5" t="s">
        <v>171</v>
      </c>
      <c r="G17" s="45" t="str">
        <f t="shared" si="4"/>
        <v>42878.5470</v>
      </c>
      <c r="H17" s="99">
        <f t="shared" si="5"/>
        <v>-4558.5</v>
      </c>
      <c r="I17" s="128" t="s">
        <v>338</v>
      </c>
      <c r="J17" s="129" t="s">
        <v>339</v>
      </c>
      <c r="K17" s="128">
        <v>-4558.5</v>
      </c>
      <c r="L17" s="128" t="s">
        <v>335</v>
      </c>
      <c r="M17" s="129" t="s">
        <v>313</v>
      </c>
      <c r="N17" s="129" t="s">
        <v>314</v>
      </c>
      <c r="O17" s="130" t="s">
        <v>336</v>
      </c>
      <c r="P17" s="130" t="s">
        <v>337</v>
      </c>
    </row>
    <row r="18" spans="1:16" ht="12.75" customHeight="1" thickBot="1" x14ac:dyDescent="0.25">
      <c r="A18" s="99" t="str">
        <f t="shared" si="0"/>
        <v> GEOS 3 </v>
      </c>
      <c r="B18" s="5" t="str">
        <f t="shared" si="1"/>
        <v>II</v>
      </c>
      <c r="C18" s="99">
        <f t="shared" si="2"/>
        <v>42912.510999999999</v>
      </c>
      <c r="D18" s="45" t="str">
        <f t="shared" si="3"/>
        <v>vis</v>
      </c>
      <c r="E18" s="127">
        <f>VLOOKUP(C18,Active!C$21:E$973,3,FALSE)</f>
        <v>-29099.393973911916</v>
      </c>
      <c r="F18" s="5" t="s">
        <v>171</v>
      </c>
      <c r="G18" s="45" t="str">
        <f t="shared" si="4"/>
        <v>42912.511</v>
      </c>
      <c r="H18" s="99">
        <f t="shared" si="5"/>
        <v>-4461.5</v>
      </c>
      <c r="I18" s="128" t="s">
        <v>340</v>
      </c>
      <c r="J18" s="129" t="s">
        <v>341</v>
      </c>
      <c r="K18" s="128">
        <v>-4461.5</v>
      </c>
      <c r="L18" s="128" t="s">
        <v>342</v>
      </c>
      <c r="M18" s="129" t="s">
        <v>343</v>
      </c>
      <c r="N18" s="129"/>
      <c r="O18" s="130" t="s">
        <v>344</v>
      </c>
      <c r="P18" s="130" t="s">
        <v>345</v>
      </c>
    </row>
    <row r="19" spans="1:16" ht="12.75" customHeight="1" thickBot="1" x14ac:dyDescent="0.25">
      <c r="A19" s="99" t="str">
        <f t="shared" si="0"/>
        <v> GEOS 3 </v>
      </c>
      <c r="B19" s="5" t="str">
        <f t="shared" si="1"/>
        <v>I</v>
      </c>
      <c r="C19" s="99">
        <f t="shared" si="2"/>
        <v>42921.417999999998</v>
      </c>
      <c r="D19" s="45" t="str">
        <f t="shared" si="3"/>
        <v>vis</v>
      </c>
      <c r="E19" s="127">
        <f>VLOOKUP(C19,Active!C$21:E$973,3,FALSE)</f>
        <v>-29073.950340947111</v>
      </c>
      <c r="F19" s="5" t="s">
        <v>171</v>
      </c>
      <c r="G19" s="45" t="str">
        <f t="shared" si="4"/>
        <v>42921.418</v>
      </c>
      <c r="H19" s="99">
        <f t="shared" si="5"/>
        <v>-4436</v>
      </c>
      <c r="I19" s="128" t="s">
        <v>346</v>
      </c>
      <c r="J19" s="129" t="s">
        <v>347</v>
      </c>
      <c r="K19" s="128">
        <v>-4436</v>
      </c>
      <c r="L19" s="128" t="s">
        <v>348</v>
      </c>
      <c r="M19" s="129" t="s">
        <v>343</v>
      </c>
      <c r="N19" s="129"/>
      <c r="O19" s="130" t="s">
        <v>344</v>
      </c>
      <c r="P19" s="130" t="s">
        <v>345</v>
      </c>
    </row>
    <row r="20" spans="1:16" ht="12.75" customHeight="1" thickBot="1" x14ac:dyDescent="0.25">
      <c r="A20" s="99" t="str">
        <f t="shared" si="0"/>
        <v> GEOS 3 </v>
      </c>
      <c r="B20" s="5" t="str">
        <f t="shared" si="1"/>
        <v>II</v>
      </c>
      <c r="C20" s="99">
        <f t="shared" si="2"/>
        <v>43014.36</v>
      </c>
      <c r="D20" s="45" t="str">
        <f t="shared" si="3"/>
        <v>vis</v>
      </c>
      <c r="E20" s="127">
        <f>VLOOKUP(C20,Active!C$21:E$973,3,FALSE)</f>
        <v>-28808.453300976864</v>
      </c>
      <c r="F20" s="5" t="s">
        <v>171</v>
      </c>
      <c r="G20" s="45" t="str">
        <f t="shared" si="4"/>
        <v>43014.360</v>
      </c>
      <c r="H20" s="99">
        <f t="shared" si="5"/>
        <v>-4170.5</v>
      </c>
      <c r="I20" s="128" t="s">
        <v>349</v>
      </c>
      <c r="J20" s="129" t="s">
        <v>350</v>
      </c>
      <c r="K20" s="128">
        <v>-4170.5</v>
      </c>
      <c r="L20" s="128" t="s">
        <v>351</v>
      </c>
      <c r="M20" s="129" t="s">
        <v>343</v>
      </c>
      <c r="N20" s="129"/>
      <c r="O20" s="130" t="s">
        <v>352</v>
      </c>
      <c r="P20" s="130" t="s">
        <v>345</v>
      </c>
    </row>
    <row r="21" spans="1:16" ht="12.75" customHeight="1" thickBot="1" x14ac:dyDescent="0.25">
      <c r="A21" s="99" t="str">
        <f t="shared" si="0"/>
        <v> ASS 60.174 </v>
      </c>
      <c r="B21" s="5" t="str">
        <f t="shared" si="1"/>
        <v>II</v>
      </c>
      <c r="C21" s="99">
        <f t="shared" si="2"/>
        <v>43215.310400000002</v>
      </c>
      <c r="D21" s="45" t="str">
        <f t="shared" si="3"/>
        <v>vis</v>
      </c>
      <c r="E21" s="127">
        <f>VLOOKUP(C21,Active!C$21:E$973,3,FALSE)</f>
        <v>-28234.420717421141</v>
      </c>
      <c r="F21" s="5" t="s">
        <v>171</v>
      </c>
      <c r="G21" s="45" t="str">
        <f t="shared" si="4"/>
        <v>43215.3104</v>
      </c>
      <c r="H21" s="99">
        <f t="shared" si="5"/>
        <v>-3596.5</v>
      </c>
      <c r="I21" s="128" t="s">
        <v>353</v>
      </c>
      <c r="J21" s="129" t="s">
        <v>354</v>
      </c>
      <c r="K21" s="128">
        <v>-3596.5</v>
      </c>
      <c r="L21" s="128" t="s">
        <v>355</v>
      </c>
      <c r="M21" s="129" t="s">
        <v>313</v>
      </c>
      <c r="N21" s="129" t="s">
        <v>314</v>
      </c>
      <c r="O21" s="130" t="s">
        <v>331</v>
      </c>
      <c r="P21" s="130" t="s">
        <v>332</v>
      </c>
    </row>
    <row r="22" spans="1:16" ht="12.75" customHeight="1" thickBot="1" x14ac:dyDescent="0.25">
      <c r="A22" s="99" t="str">
        <f t="shared" si="0"/>
        <v> ASS 60.174 </v>
      </c>
      <c r="B22" s="5" t="str">
        <f t="shared" si="1"/>
        <v>I</v>
      </c>
      <c r="C22" s="99">
        <f t="shared" si="2"/>
        <v>43244.190399999999</v>
      </c>
      <c r="D22" s="45" t="str">
        <f t="shared" si="3"/>
        <v>vis</v>
      </c>
      <c r="E22" s="127">
        <f>VLOOKUP(C22,Active!C$21:E$973,3,FALSE)</f>
        <v>-28151.922444150288</v>
      </c>
      <c r="F22" s="5" t="s">
        <v>171</v>
      </c>
      <c r="G22" s="45" t="str">
        <f t="shared" si="4"/>
        <v>43244.1904</v>
      </c>
      <c r="H22" s="99">
        <f t="shared" si="5"/>
        <v>-3514</v>
      </c>
      <c r="I22" s="128" t="s">
        <v>356</v>
      </c>
      <c r="J22" s="129" t="s">
        <v>357</v>
      </c>
      <c r="K22" s="128">
        <v>-3514</v>
      </c>
      <c r="L22" s="128" t="s">
        <v>358</v>
      </c>
      <c r="M22" s="129" t="s">
        <v>313</v>
      </c>
      <c r="N22" s="129" t="s">
        <v>314</v>
      </c>
      <c r="O22" s="130" t="s">
        <v>331</v>
      </c>
      <c r="P22" s="130" t="s">
        <v>332</v>
      </c>
    </row>
    <row r="23" spans="1:16" ht="12.75" customHeight="1" thickBot="1" x14ac:dyDescent="0.25">
      <c r="A23" s="99" t="str">
        <f t="shared" si="0"/>
        <v> GEOS 3 </v>
      </c>
      <c r="B23" s="5" t="str">
        <f t="shared" si="1"/>
        <v>I</v>
      </c>
      <c r="C23" s="99">
        <f t="shared" si="2"/>
        <v>43248.389000000003</v>
      </c>
      <c r="D23" s="45" t="str">
        <f t="shared" si="3"/>
        <v>vis</v>
      </c>
      <c r="E23" s="127">
        <f>VLOOKUP(C23,Active!C$21:E$973,3,FALSE)</f>
        <v>-28139.928772053496</v>
      </c>
      <c r="F23" s="5" t="s">
        <v>171</v>
      </c>
      <c r="G23" s="45" t="str">
        <f t="shared" si="4"/>
        <v>43248.389</v>
      </c>
      <c r="H23" s="99">
        <f t="shared" si="5"/>
        <v>-3502</v>
      </c>
      <c r="I23" s="128" t="s">
        <v>359</v>
      </c>
      <c r="J23" s="129" t="s">
        <v>360</v>
      </c>
      <c r="K23" s="128">
        <v>-3502</v>
      </c>
      <c r="L23" s="128" t="s">
        <v>308</v>
      </c>
      <c r="M23" s="129" t="s">
        <v>343</v>
      </c>
      <c r="N23" s="129"/>
      <c r="O23" s="130" t="s">
        <v>361</v>
      </c>
      <c r="P23" s="130" t="s">
        <v>345</v>
      </c>
    </row>
    <row r="24" spans="1:16" ht="12.75" customHeight="1" thickBot="1" x14ac:dyDescent="0.25">
      <c r="A24" s="99" t="str">
        <f t="shared" si="0"/>
        <v> GEOS 3 </v>
      </c>
      <c r="B24" s="5" t="str">
        <f t="shared" si="1"/>
        <v>II</v>
      </c>
      <c r="C24" s="99">
        <f t="shared" si="2"/>
        <v>43258.368000000002</v>
      </c>
      <c r="D24" s="45" t="str">
        <f t="shared" si="3"/>
        <v>vis</v>
      </c>
      <c r="E24" s="127">
        <f>VLOOKUP(C24,Active!C$21:E$973,3,FALSE)</f>
        <v>-28111.422876313543</v>
      </c>
      <c r="F24" s="5" t="s">
        <v>171</v>
      </c>
      <c r="G24" s="45" t="str">
        <f t="shared" si="4"/>
        <v>43258.368</v>
      </c>
      <c r="H24" s="99">
        <f t="shared" si="5"/>
        <v>-3473.5</v>
      </c>
      <c r="I24" s="128" t="s">
        <v>362</v>
      </c>
      <c r="J24" s="129" t="s">
        <v>363</v>
      </c>
      <c r="K24" s="128">
        <v>-3473.5</v>
      </c>
      <c r="L24" s="128" t="s">
        <v>364</v>
      </c>
      <c r="M24" s="129" t="s">
        <v>343</v>
      </c>
      <c r="N24" s="129"/>
      <c r="O24" s="130" t="s">
        <v>361</v>
      </c>
      <c r="P24" s="130" t="s">
        <v>345</v>
      </c>
    </row>
    <row r="25" spans="1:16" ht="12.75" customHeight="1" thickBot="1" x14ac:dyDescent="0.25">
      <c r="A25" s="99" t="str">
        <f t="shared" si="0"/>
        <v> ASS 60.174 </v>
      </c>
      <c r="B25" s="5" t="str">
        <f t="shared" si="1"/>
        <v>I</v>
      </c>
      <c r="C25" s="99">
        <f t="shared" si="2"/>
        <v>43277.097199999997</v>
      </c>
      <c r="D25" s="45" t="str">
        <f t="shared" si="3"/>
        <v>vis</v>
      </c>
      <c r="E25" s="127">
        <f>VLOOKUP(C25,Active!C$21:E$973,3,FALSE)</f>
        <v>-28057.921260671432</v>
      </c>
      <c r="F25" s="5" t="s">
        <v>171</v>
      </c>
      <c r="G25" s="45" t="str">
        <f t="shared" si="4"/>
        <v>43277.0972</v>
      </c>
      <c r="H25" s="99">
        <f t="shared" si="5"/>
        <v>-3420</v>
      </c>
      <c r="I25" s="128" t="s">
        <v>365</v>
      </c>
      <c r="J25" s="129" t="s">
        <v>366</v>
      </c>
      <c r="K25" s="128">
        <v>-3420</v>
      </c>
      <c r="L25" s="128" t="s">
        <v>355</v>
      </c>
      <c r="M25" s="129" t="s">
        <v>313</v>
      </c>
      <c r="N25" s="129" t="s">
        <v>314</v>
      </c>
      <c r="O25" s="130" t="s">
        <v>331</v>
      </c>
      <c r="P25" s="130" t="s">
        <v>332</v>
      </c>
    </row>
    <row r="26" spans="1:16" ht="12.75" customHeight="1" thickBot="1" x14ac:dyDescent="0.25">
      <c r="A26" s="99" t="str">
        <f t="shared" si="0"/>
        <v> ASS 60.174 </v>
      </c>
      <c r="B26" s="5" t="str">
        <f t="shared" si="1"/>
        <v>II</v>
      </c>
      <c r="C26" s="99">
        <f t="shared" si="2"/>
        <v>43280.074200000003</v>
      </c>
      <c r="D26" s="45" t="str">
        <f t="shared" si="3"/>
        <v>vis</v>
      </c>
      <c r="E26" s="127">
        <f>VLOOKUP(C26,Active!C$21:E$973,3,FALSE)</f>
        <v>-28049.417196975868</v>
      </c>
      <c r="F26" s="5" t="s">
        <v>171</v>
      </c>
      <c r="G26" s="45" t="str">
        <f t="shared" si="4"/>
        <v>43280.0742</v>
      </c>
      <c r="H26" s="99">
        <f t="shared" si="5"/>
        <v>-3411.5</v>
      </c>
      <c r="I26" s="128" t="s">
        <v>367</v>
      </c>
      <c r="J26" s="129" t="s">
        <v>368</v>
      </c>
      <c r="K26" s="128">
        <v>-3411.5</v>
      </c>
      <c r="L26" s="128" t="s">
        <v>369</v>
      </c>
      <c r="M26" s="129" t="s">
        <v>313</v>
      </c>
      <c r="N26" s="129" t="s">
        <v>314</v>
      </c>
      <c r="O26" s="130" t="s">
        <v>331</v>
      </c>
      <c r="P26" s="130" t="s">
        <v>332</v>
      </c>
    </row>
    <row r="27" spans="1:16" ht="12.75" customHeight="1" thickBot="1" x14ac:dyDescent="0.25">
      <c r="A27" s="99" t="str">
        <f t="shared" si="0"/>
        <v> GEOS 3 </v>
      </c>
      <c r="B27" s="5" t="str">
        <f t="shared" si="1"/>
        <v>I</v>
      </c>
      <c r="C27" s="99">
        <f t="shared" si="2"/>
        <v>43292.508999999998</v>
      </c>
      <c r="D27" s="45" t="str">
        <f t="shared" si="3"/>
        <v>vis</v>
      </c>
      <c r="E27" s="127">
        <f>VLOOKUP(C27,Active!C$21:E$973,3,FALSE)</f>
        <v>-28013.89609141949</v>
      </c>
      <c r="F27" s="5" t="s">
        <v>171</v>
      </c>
      <c r="G27" s="45" t="str">
        <f t="shared" si="4"/>
        <v>43292.509</v>
      </c>
      <c r="H27" s="99">
        <f t="shared" si="5"/>
        <v>-3376</v>
      </c>
      <c r="I27" s="128" t="s">
        <v>370</v>
      </c>
      <c r="J27" s="129" t="s">
        <v>371</v>
      </c>
      <c r="K27" s="128">
        <v>-3376</v>
      </c>
      <c r="L27" s="128" t="s">
        <v>372</v>
      </c>
      <c r="M27" s="129" t="s">
        <v>343</v>
      </c>
      <c r="N27" s="129"/>
      <c r="O27" s="130" t="s">
        <v>361</v>
      </c>
      <c r="P27" s="130" t="s">
        <v>345</v>
      </c>
    </row>
    <row r="28" spans="1:16" ht="12.75" customHeight="1" thickBot="1" x14ac:dyDescent="0.25">
      <c r="A28" s="99" t="str">
        <f t="shared" si="0"/>
        <v> GEOS 3 </v>
      </c>
      <c r="B28" s="5" t="str">
        <f t="shared" si="1"/>
        <v>II</v>
      </c>
      <c r="C28" s="99">
        <f t="shared" si="2"/>
        <v>43294.438999999998</v>
      </c>
      <c r="D28" s="45" t="str">
        <f t="shared" si="3"/>
        <v>vis</v>
      </c>
      <c r="E28" s="127">
        <f>VLOOKUP(C28,Active!C$21:E$973,3,FALSE)</f>
        <v>-28008.382875788855</v>
      </c>
      <c r="F28" s="5" t="s">
        <v>171</v>
      </c>
      <c r="G28" s="45" t="str">
        <f t="shared" si="4"/>
        <v>43294.439</v>
      </c>
      <c r="H28" s="99">
        <f t="shared" si="5"/>
        <v>-3370.5</v>
      </c>
      <c r="I28" s="128" t="s">
        <v>373</v>
      </c>
      <c r="J28" s="129" t="s">
        <v>374</v>
      </c>
      <c r="K28" s="128">
        <v>-3370.5</v>
      </c>
      <c r="L28" s="128" t="s">
        <v>375</v>
      </c>
      <c r="M28" s="129" t="s">
        <v>343</v>
      </c>
      <c r="N28" s="129"/>
      <c r="O28" s="130" t="s">
        <v>361</v>
      </c>
      <c r="P28" s="130" t="s">
        <v>345</v>
      </c>
    </row>
    <row r="29" spans="1:16" ht="12.75" customHeight="1" thickBot="1" x14ac:dyDescent="0.25">
      <c r="A29" s="99" t="str">
        <f t="shared" si="0"/>
        <v> GEOS 3 </v>
      </c>
      <c r="B29" s="5" t="str">
        <f t="shared" si="1"/>
        <v>II</v>
      </c>
      <c r="C29" s="99">
        <f t="shared" si="2"/>
        <v>43296.540999999997</v>
      </c>
      <c r="D29" s="45" t="str">
        <f t="shared" si="3"/>
        <v>vis</v>
      </c>
      <c r="E29" s="127">
        <f>VLOOKUP(C29,Active!C$21:E$973,3,FALSE)</f>
        <v>-28002.378326951759</v>
      </c>
      <c r="F29" s="5" t="s">
        <v>171</v>
      </c>
      <c r="G29" s="45" t="str">
        <f t="shared" si="4"/>
        <v>43296.541</v>
      </c>
      <c r="H29" s="99">
        <f t="shared" si="5"/>
        <v>-3364.5</v>
      </c>
      <c r="I29" s="128" t="s">
        <v>376</v>
      </c>
      <c r="J29" s="129" t="s">
        <v>377</v>
      </c>
      <c r="K29" s="128">
        <v>-3364.5</v>
      </c>
      <c r="L29" s="128" t="s">
        <v>378</v>
      </c>
      <c r="M29" s="129" t="s">
        <v>343</v>
      </c>
      <c r="N29" s="129"/>
      <c r="O29" s="130" t="s">
        <v>361</v>
      </c>
      <c r="P29" s="130" t="s">
        <v>345</v>
      </c>
    </row>
    <row r="30" spans="1:16" ht="12.75" customHeight="1" thickBot="1" x14ac:dyDescent="0.25">
      <c r="A30" s="99" t="str">
        <f t="shared" si="0"/>
        <v> VSSC 58.17 </v>
      </c>
      <c r="B30" s="5" t="str">
        <f t="shared" si="1"/>
        <v>II</v>
      </c>
      <c r="C30" s="99">
        <f t="shared" si="2"/>
        <v>43657.444000000003</v>
      </c>
      <c r="D30" s="45" t="str">
        <f t="shared" si="3"/>
        <v>vis</v>
      </c>
      <c r="E30" s="127">
        <f>VLOOKUP(C30,Active!C$21:E$973,3,FALSE)</f>
        <v>-26971.427000141699</v>
      </c>
      <c r="F30" s="5" t="s">
        <v>171</v>
      </c>
      <c r="G30" s="45" t="str">
        <f t="shared" si="4"/>
        <v>43657.444</v>
      </c>
      <c r="H30" s="99">
        <f t="shared" si="5"/>
        <v>-2333.5</v>
      </c>
      <c r="I30" s="128" t="s">
        <v>379</v>
      </c>
      <c r="J30" s="129" t="s">
        <v>380</v>
      </c>
      <c r="K30" s="128">
        <v>-2333.5</v>
      </c>
      <c r="L30" s="128" t="s">
        <v>364</v>
      </c>
      <c r="M30" s="129" t="s">
        <v>343</v>
      </c>
      <c r="N30" s="129"/>
      <c r="O30" s="130" t="s">
        <v>381</v>
      </c>
      <c r="P30" s="130" t="s">
        <v>382</v>
      </c>
    </row>
    <row r="31" spans="1:16" ht="12.75" customHeight="1" thickBot="1" x14ac:dyDescent="0.25">
      <c r="A31" s="99" t="str">
        <f t="shared" si="0"/>
        <v> AAPS 48.85 </v>
      </c>
      <c r="B31" s="5" t="str">
        <f t="shared" si="1"/>
        <v>I</v>
      </c>
      <c r="C31" s="99">
        <f t="shared" si="2"/>
        <v>44053.543899999997</v>
      </c>
      <c r="D31" s="45" t="str">
        <f t="shared" si="3"/>
        <v>vis</v>
      </c>
      <c r="E31" s="127">
        <f>VLOOKUP(C31,Active!C$21:E$973,3,FALSE)</f>
        <v>-25839.932616735852</v>
      </c>
      <c r="F31" s="5" t="s">
        <v>171</v>
      </c>
      <c r="G31" s="45" t="str">
        <f t="shared" si="4"/>
        <v>44053.5439</v>
      </c>
      <c r="H31" s="99">
        <f t="shared" si="5"/>
        <v>-1202</v>
      </c>
      <c r="I31" s="128" t="s">
        <v>383</v>
      </c>
      <c r="J31" s="129" t="s">
        <v>384</v>
      </c>
      <c r="K31" s="128">
        <v>-1202</v>
      </c>
      <c r="L31" s="128" t="s">
        <v>385</v>
      </c>
      <c r="M31" s="129" t="s">
        <v>313</v>
      </c>
      <c r="N31" s="129" t="s">
        <v>314</v>
      </c>
      <c r="O31" s="130" t="s">
        <v>336</v>
      </c>
      <c r="P31" s="130" t="s">
        <v>337</v>
      </c>
    </row>
    <row r="32" spans="1:16" ht="12.75" customHeight="1" thickBot="1" x14ac:dyDescent="0.25">
      <c r="A32" s="99" t="str">
        <f t="shared" si="0"/>
        <v> AAPS 48.85 </v>
      </c>
      <c r="B32" s="5" t="str">
        <f t="shared" si="1"/>
        <v>II</v>
      </c>
      <c r="C32" s="99">
        <f t="shared" si="2"/>
        <v>44129.335299999999</v>
      </c>
      <c r="D32" s="45" t="str">
        <f t="shared" si="3"/>
        <v>vis</v>
      </c>
      <c r="E32" s="127">
        <f>VLOOKUP(C32,Active!C$21:E$973,3,FALSE)</f>
        <v>-25623.427781944254</v>
      </c>
      <c r="F32" s="5" t="s">
        <v>171</v>
      </c>
      <c r="G32" s="45" t="str">
        <f t="shared" si="4"/>
        <v>44129.3353</v>
      </c>
      <c r="H32" s="99">
        <f t="shared" si="5"/>
        <v>-985.5</v>
      </c>
      <c r="I32" s="128" t="s">
        <v>386</v>
      </c>
      <c r="J32" s="129" t="s">
        <v>387</v>
      </c>
      <c r="K32" s="128">
        <v>-985.5</v>
      </c>
      <c r="L32" s="128" t="s">
        <v>388</v>
      </c>
      <c r="M32" s="129" t="s">
        <v>313</v>
      </c>
      <c r="N32" s="129" t="s">
        <v>314</v>
      </c>
      <c r="O32" s="130" t="s">
        <v>336</v>
      </c>
      <c r="P32" s="130" t="s">
        <v>337</v>
      </c>
    </row>
    <row r="33" spans="1:16" ht="12.75" customHeight="1" thickBot="1" x14ac:dyDescent="0.25">
      <c r="A33" s="99" t="str">
        <f t="shared" si="0"/>
        <v> AAPS 48.85 </v>
      </c>
      <c r="B33" s="5" t="str">
        <f t="shared" si="1"/>
        <v>I</v>
      </c>
      <c r="C33" s="99">
        <f t="shared" si="2"/>
        <v>44140.361100000002</v>
      </c>
      <c r="D33" s="45" t="str">
        <f t="shared" si="3"/>
        <v>vis</v>
      </c>
      <c r="E33" s="127">
        <f>VLOOKUP(C33,Active!C$21:E$973,3,FALSE)</f>
        <v>-25591.93160945706</v>
      </c>
      <c r="F33" s="5" t="s">
        <v>171</v>
      </c>
      <c r="G33" s="45" t="str">
        <f t="shared" si="4"/>
        <v>44140.3611</v>
      </c>
      <c r="H33" s="99">
        <f t="shared" si="5"/>
        <v>-954</v>
      </c>
      <c r="I33" s="128" t="s">
        <v>389</v>
      </c>
      <c r="J33" s="129" t="s">
        <v>390</v>
      </c>
      <c r="K33" s="128">
        <v>-954</v>
      </c>
      <c r="L33" s="128" t="s">
        <v>391</v>
      </c>
      <c r="M33" s="129" t="s">
        <v>313</v>
      </c>
      <c r="N33" s="129" t="s">
        <v>314</v>
      </c>
      <c r="O33" s="130" t="s">
        <v>336</v>
      </c>
      <c r="P33" s="130" t="s">
        <v>337</v>
      </c>
    </row>
    <row r="34" spans="1:16" ht="12.75" customHeight="1" thickBot="1" x14ac:dyDescent="0.25">
      <c r="A34" s="99" t="str">
        <f t="shared" si="0"/>
        <v> AAPS 48.85 </v>
      </c>
      <c r="B34" s="5" t="str">
        <f t="shared" si="1"/>
        <v>I</v>
      </c>
      <c r="C34" s="99">
        <f t="shared" si="2"/>
        <v>44344.448700000001</v>
      </c>
      <c r="D34" s="45" t="str">
        <f t="shared" si="3"/>
        <v>vis</v>
      </c>
      <c r="E34" s="127">
        <f>VLOOKUP(C34,Active!C$21:E$973,3,FALSE)</f>
        <v>-25008.937336742572</v>
      </c>
      <c r="F34" s="5" t="s">
        <v>171</v>
      </c>
      <c r="G34" s="45" t="str">
        <f t="shared" si="4"/>
        <v>44344.4487</v>
      </c>
      <c r="H34" s="99">
        <f t="shared" si="5"/>
        <v>-371</v>
      </c>
      <c r="I34" s="128" t="s">
        <v>392</v>
      </c>
      <c r="J34" s="129" t="s">
        <v>393</v>
      </c>
      <c r="K34" s="128">
        <v>-371</v>
      </c>
      <c r="L34" s="128" t="s">
        <v>394</v>
      </c>
      <c r="M34" s="129" t="s">
        <v>313</v>
      </c>
      <c r="N34" s="129" t="s">
        <v>314</v>
      </c>
      <c r="O34" s="130" t="s">
        <v>336</v>
      </c>
      <c r="P34" s="130" t="s">
        <v>337</v>
      </c>
    </row>
    <row r="35" spans="1:16" ht="12.75" customHeight="1" thickBot="1" x14ac:dyDescent="0.25">
      <c r="A35" s="99" t="str">
        <f t="shared" si="0"/>
        <v> AAPS 48.85 </v>
      </c>
      <c r="B35" s="5" t="str">
        <f t="shared" si="1"/>
        <v>I</v>
      </c>
      <c r="C35" s="99">
        <f t="shared" si="2"/>
        <v>44345.500599999999</v>
      </c>
      <c r="D35" s="45" t="str">
        <f t="shared" si="3"/>
        <v>vis</v>
      </c>
      <c r="E35" s="127">
        <f>VLOOKUP(C35,Active!C$21:E$973,3,FALSE)</f>
        <v>-25005.932491394462</v>
      </c>
      <c r="F35" s="5" t="s">
        <v>171</v>
      </c>
      <c r="G35" s="45" t="str">
        <f t="shared" si="4"/>
        <v>44345.5006</v>
      </c>
      <c r="H35" s="99">
        <f t="shared" si="5"/>
        <v>-368</v>
      </c>
      <c r="I35" s="128" t="s">
        <v>395</v>
      </c>
      <c r="J35" s="129" t="s">
        <v>396</v>
      </c>
      <c r="K35" s="128">
        <v>-368</v>
      </c>
      <c r="L35" s="128" t="s">
        <v>397</v>
      </c>
      <c r="M35" s="129" t="s">
        <v>313</v>
      </c>
      <c r="N35" s="129" t="s">
        <v>314</v>
      </c>
      <c r="O35" s="130" t="s">
        <v>336</v>
      </c>
      <c r="P35" s="130" t="s">
        <v>337</v>
      </c>
    </row>
    <row r="36" spans="1:16" ht="12.75" customHeight="1" thickBot="1" x14ac:dyDescent="0.25">
      <c r="A36" s="99" t="str">
        <f t="shared" si="0"/>
        <v>IBVS 1994 </v>
      </c>
      <c r="B36" s="5" t="str">
        <f t="shared" si="1"/>
        <v>II</v>
      </c>
      <c r="C36" s="99">
        <f t="shared" si="2"/>
        <v>44473.451200000003</v>
      </c>
      <c r="D36" s="45" t="str">
        <f t="shared" si="3"/>
        <v>vis</v>
      </c>
      <c r="E36" s="127">
        <f>VLOOKUP(C36,Active!C$21:E$973,3,FALSE)</f>
        <v>-24640.430290425931</v>
      </c>
      <c r="F36" s="5" t="s">
        <v>171</v>
      </c>
      <c r="G36" s="45" t="str">
        <f t="shared" si="4"/>
        <v>44473.4512</v>
      </c>
      <c r="H36" s="99">
        <f t="shared" si="5"/>
        <v>-2.5</v>
      </c>
      <c r="I36" s="128" t="s">
        <v>398</v>
      </c>
      <c r="J36" s="129" t="s">
        <v>399</v>
      </c>
      <c r="K36" s="128">
        <v>-2.5</v>
      </c>
      <c r="L36" s="128" t="s">
        <v>388</v>
      </c>
      <c r="M36" s="129" t="s">
        <v>313</v>
      </c>
      <c r="N36" s="129" t="s">
        <v>314</v>
      </c>
      <c r="O36" s="130" t="s">
        <v>400</v>
      </c>
      <c r="P36" s="131" t="s">
        <v>401</v>
      </c>
    </row>
    <row r="37" spans="1:16" ht="12.75" customHeight="1" thickBot="1" x14ac:dyDescent="0.25">
      <c r="A37" s="99" t="str">
        <f t="shared" si="0"/>
        <v>IBVS 1994 </v>
      </c>
      <c r="B37" s="5" t="str">
        <f t="shared" si="1"/>
        <v>I</v>
      </c>
      <c r="C37" s="99">
        <f t="shared" si="2"/>
        <v>44474.326699999998</v>
      </c>
      <c r="D37" s="45" t="str">
        <f t="shared" si="3"/>
        <v>vis</v>
      </c>
      <c r="E37" s="127">
        <f>VLOOKUP(C37,Active!C$21:E$973,3,FALSE)</f>
        <v>-24637.929347273293</v>
      </c>
      <c r="F37" s="5" t="s">
        <v>171</v>
      </c>
      <c r="G37" s="45" t="str">
        <f t="shared" si="4"/>
        <v>44474.3267</v>
      </c>
      <c r="H37" s="99">
        <f t="shared" si="5"/>
        <v>0</v>
      </c>
      <c r="I37" s="128" t="s">
        <v>402</v>
      </c>
      <c r="J37" s="129" t="s">
        <v>403</v>
      </c>
      <c r="K37" s="128">
        <v>0</v>
      </c>
      <c r="L37" s="128" t="s">
        <v>355</v>
      </c>
      <c r="M37" s="129" t="s">
        <v>313</v>
      </c>
      <c r="N37" s="129" t="s">
        <v>314</v>
      </c>
      <c r="O37" s="130" t="s">
        <v>400</v>
      </c>
      <c r="P37" s="131" t="s">
        <v>401</v>
      </c>
    </row>
    <row r="38" spans="1:16" ht="12.75" customHeight="1" thickBot="1" x14ac:dyDescent="0.25">
      <c r="A38" s="99" t="str">
        <f t="shared" si="0"/>
        <v>IBVS 1994 </v>
      </c>
      <c r="B38" s="5" t="str">
        <f t="shared" si="1"/>
        <v>I</v>
      </c>
      <c r="C38" s="99">
        <f t="shared" si="2"/>
        <v>44475.378100000002</v>
      </c>
      <c r="D38" s="45" t="str">
        <f t="shared" si="3"/>
        <v>vis</v>
      </c>
      <c r="E38" s="127">
        <f>VLOOKUP(C38,Active!C$21:E$973,3,FALSE)</f>
        <v>-24634.925930219368</v>
      </c>
      <c r="F38" s="5" t="s">
        <v>171</v>
      </c>
      <c r="G38" s="45" t="str">
        <f t="shared" si="4"/>
        <v>44475.3781</v>
      </c>
      <c r="H38" s="99">
        <f t="shared" si="5"/>
        <v>3</v>
      </c>
      <c r="I38" s="128" t="s">
        <v>404</v>
      </c>
      <c r="J38" s="129" t="s">
        <v>405</v>
      </c>
      <c r="K38" s="128">
        <v>3</v>
      </c>
      <c r="L38" s="128" t="s">
        <v>335</v>
      </c>
      <c r="M38" s="129" t="s">
        <v>313</v>
      </c>
      <c r="N38" s="129" t="s">
        <v>314</v>
      </c>
      <c r="O38" s="130" t="s">
        <v>400</v>
      </c>
      <c r="P38" s="131" t="s">
        <v>401</v>
      </c>
    </row>
    <row r="39" spans="1:16" ht="12.75" customHeight="1" thickBot="1" x14ac:dyDescent="0.25">
      <c r="A39" s="99" t="str">
        <f t="shared" si="0"/>
        <v>IBVS 1994 </v>
      </c>
      <c r="B39" s="5" t="str">
        <f t="shared" si="1"/>
        <v>I</v>
      </c>
      <c r="C39" s="99">
        <f t="shared" si="2"/>
        <v>44476.4283</v>
      </c>
      <c r="D39" s="45" t="str">
        <f t="shared" si="3"/>
        <v>vis</v>
      </c>
      <c r="E39" s="127">
        <f>VLOOKUP(C39,Active!C$21:E$973,3,FALSE)</f>
        <v>-24631.925941071553</v>
      </c>
      <c r="F39" s="5" t="s">
        <v>171</v>
      </c>
      <c r="G39" s="45" t="str">
        <f t="shared" si="4"/>
        <v>44476.4283</v>
      </c>
      <c r="H39" s="99">
        <f t="shared" si="5"/>
        <v>6</v>
      </c>
      <c r="I39" s="128" t="s">
        <v>406</v>
      </c>
      <c r="J39" s="129" t="s">
        <v>407</v>
      </c>
      <c r="K39" s="128">
        <v>6</v>
      </c>
      <c r="L39" s="128" t="s">
        <v>335</v>
      </c>
      <c r="M39" s="129" t="s">
        <v>313</v>
      </c>
      <c r="N39" s="129" t="s">
        <v>314</v>
      </c>
      <c r="O39" s="130" t="s">
        <v>400</v>
      </c>
      <c r="P39" s="131" t="s">
        <v>401</v>
      </c>
    </row>
    <row r="40" spans="1:16" ht="12.75" customHeight="1" thickBot="1" x14ac:dyDescent="0.25">
      <c r="A40" s="99" t="str">
        <f t="shared" si="0"/>
        <v>IBVS 1994 </v>
      </c>
      <c r="B40" s="5" t="str">
        <f t="shared" si="1"/>
        <v>II</v>
      </c>
      <c r="C40" s="99">
        <f t="shared" si="2"/>
        <v>44478.352899999998</v>
      </c>
      <c r="D40" s="45" t="str">
        <f t="shared" si="3"/>
        <v>vis</v>
      </c>
      <c r="E40" s="127">
        <f>VLOOKUP(C40,Active!C$21:E$973,3,FALSE)</f>
        <v>-24626.428151018335</v>
      </c>
      <c r="F40" s="5" t="s">
        <v>171</v>
      </c>
      <c r="G40" s="45" t="str">
        <f t="shared" si="4"/>
        <v>44478.3529</v>
      </c>
      <c r="H40" s="99">
        <f t="shared" si="5"/>
        <v>11.5</v>
      </c>
      <c r="I40" s="128" t="s">
        <v>408</v>
      </c>
      <c r="J40" s="129" t="s">
        <v>409</v>
      </c>
      <c r="K40" s="128">
        <v>11.5</v>
      </c>
      <c r="L40" s="128" t="s">
        <v>319</v>
      </c>
      <c r="M40" s="129" t="s">
        <v>313</v>
      </c>
      <c r="N40" s="129" t="s">
        <v>314</v>
      </c>
      <c r="O40" s="130" t="s">
        <v>400</v>
      </c>
      <c r="P40" s="131" t="s">
        <v>401</v>
      </c>
    </row>
    <row r="41" spans="1:16" ht="12.75" customHeight="1" thickBot="1" x14ac:dyDescent="0.25">
      <c r="A41" s="99" t="str">
        <f t="shared" si="0"/>
        <v>IBVS 1994 </v>
      </c>
      <c r="B41" s="5" t="str">
        <f t="shared" si="1"/>
        <v>I</v>
      </c>
      <c r="C41" s="99">
        <f t="shared" si="2"/>
        <v>44480.277199999997</v>
      </c>
      <c r="D41" s="45" t="str">
        <f t="shared" si="3"/>
        <v>vis</v>
      </c>
      <c r="E41" s="127">
        <f>VLOOKUP(C41,Active!C$21:E$973,3,FALSE)</f>
        <v>-24620.931217941637</v>
      </c>
      <c r="F41" s="5" t="s">
        <v>171</v>
      </c>
      <c r="G41" s="45" t="str">
        <f t="shared" si="4"/>
        <v>44480.2772</v>
      </c>
      <c r="H41" s="99">
        <f t="shared" si="5"/>
        <v>17</v>
      </c>
      <c r="I41" s="128" t="s">
        <v>410</v>
      </c>
      <c r="J41" s="129" t="s">
        <v>411</v>
      </c>
      <c r="K41" s="128">
        <v>17</v>
      </c>
      <c r="L41" s="128" t="s">
        <v>412</v>
      </c>
      <c r="M41" s="129" t="s">
        <v>313</v>
      </c>
      <c r="N41" s="129" t="s">
        <v>314</v>
      </c>
      <c r="O41" s="130" t="s">
        <v>400</v>
      </c>
      <c r="P41" s="131" t="s">
        <v>401</v>
      </c>
    </row>
    <row r="42" spans="1:16" ht="12.75" customHeight="1" thickBot="1" x14ac:dyDescent="0.25">
      <c r="A42" s="99" t="str">
        <f t="shared" si="0"/>
        <v>IBVS 1994 </v>
      </c>
      <c r="B42" s="5" t="str">
        <f t="shared" si="1"/>
        <v>II</v>
      </c>
      <c r="C42" s="99">
        <f t="shared" si="2"/>
        <v>44480.453099999999</v>
      </c>
      <c r="D42" s="45" t="str">
        <f t="shared" si="3"/>
        <v>vis</v>
      </c>
      <c r="E42" s="127">
        <f>VLOOKUP(C42,Active!C$21:E$973,3,FALSE)</f>
        <v>-24620.428744040375</v>
      </c>
      <c r="F42" s="5" t="s">
        <v>171</v>
      </c>
      <c r="G42" s="45" t="str">
        <f t="shared" si="4"/>
        <v>44480.4531</v>
      </c>
      <c r="H42" s="99">
        <f t="shared" si="5"/>
        <v>17.5</v>
      </c>
      <c r="I42" s="128" t="s">
        <v>413</v>
      </c>
      <c r="J42" s="129" t="s">
        <v>414</v>
      </c>
      <c r="K42" s="128">
        <v>17.5</v>
      </c>
      <c r="L42" s="128" t="s">
        <v>415</v>
      </c>
      <c r="M42" s="129" t="s">
        <v>313</v>
      </c>
      <c r="N42" s="129" t="s">
        <v>314</v>
      </c>
      <c r="O42" s="130" t="s">
        <v>400</v>
      </c>
      <c r="P42" s="131" t="s">
        <v>401</v>
      </c>
    </row>
    <row r="43" spans="1:16" ht="12.75" customHeight="1" thickBot="1" x14ac:dyDescent="0.25">
      <c r="A43" s="99" t="str">
        <f t="shared" ref="A43:A74" si="6">P43</f>
        <v>IBVS 1994 </v>
      </c>
      <c r="B43" s="5" t="str">
        <f t="shared" ref="B43:B74" si="7">IF(H43=INT(H43),"I","II")</f>
        <v>II</v>
      </c>
      <c r="C43" s="99">
        <f t="shared" ref="C43:C74" si="8">1*G43</f>
        <v>44500.405100000004</v>
      </c>
      <c r="D43" s="45" t="str">
        <f t="shared" ref="D43:D74" si="9">VLOOKUP(F43,I$1:J$5,2,FALSE)</f>
        <v>vis</v>
      </c>
      <c r="E43" s="127">
        <f>VLOOKUP(C43,Active!C$21:E$973,3,FALSE)</f>
        <v>-24563.434092090905</v>
      </c>
      <c r="F43" s="5" t="s">
        <v>171</v>
      </c>
      <c r="G43" s="45" t="str">
        <f t="shared" ref="G43:G74" si="10">MID(I43,3,LEN(I43)-3)</f>
        <v>44500.4051</v>
      </c>
      <c r="H43" s="99">
        <f t="shared" ref="H43:H74" si="11">1*K43</f>
        <v>74.5</v>
      </c>
      <c r="I43" s="128" t="s">
        <v>416</v>
      </c>
      <c r="J43" s="129" t="s">
        <v>417</v>
      </c>
      <c r="K43" s="128">
        <v>74.5</v>
      </c>
      <c r="L43" s="128" t="s">
        <v>391</v>
      </c>
      <c r="M43" s="129" t="s">
        <v>313</v>
      </c>
      <c r="N43" s="129" t="s">
        <v>314</v>
      </c>
      <c r="O43" s="130" t="s">
        <v>400</v>
      </c>
      <c r="P43" s="131" t="s">
        <v>401</v>
      </c>
    </row>
    <row r="44" spans="1:16" ht="12.75" customHeight="1" thickBot="1" x14ac:dyDescent="0.25">
      <c r="A44" s="99" t="str">
        <f t="shared" si="6"/>
        <v>IBVS 1994 </v>
      </c>
      <c r="B44" s="5" t="str">
        <f t="shared" si="7"/>
        <v>II</v>
      </c>
      <c r="C44" s="99">
        <f t="shared" si="8"/>
        <v>44506.357799999998</v>
      </c>
      <c r="D44" s="45" t="str">
        <f t="shared" si="9"/>
        <v>vis</v>
      </c>
      <c r="E44" s="127">
        <f>VLOOKUP(C44,Active!C$21:E$973,3,FALSE)</f>
        <v>-24546.429678264762</v>
      </c>
      <c r="F44" s="5" t="s">
        <v>171</v>
      </c>
      <c r="G44" s="45" t="str">
        <f t="shared" si="10"/>
        <v>44506.3578</v>
      </c>
      <c r="H44" s="99">
        <f t="shared" si="11"/>
        <v>91.5</v>
      </c>
      <c r="I44" s="128" t="s">
        <v>418</v>
      </c>
      <c r="J44" s="129" t="s">
        <v>419</v>
      </c>
      <c r="K44" s="128">
        <v>91.5</v>
      </c>
      <c r="L44" s="128" t="s">
        <v>355</v>
      </c>
      <c r="M44" s="129" t="s">
        <v>313</v>
      </c>
      <c r="N44" s="129" t="s">
        <v>314</v>
      </c>
      <c r="O44" s="130" t="s">
        <v>400</v>
      </c>
      <c r="P44" s="131" t="s">
        <v>401</v>
      </c>
    </row>
    <row r="45" spans="1:16" ht="12.75" customHeight="1" thickBot="1" x14ac:dyDescent="0.25">
      <c r="A45" s="99" t="str">
        <f t="shared" si="6"/>
        <v> BRNO 26 </v>
      </c>
      <c r="B45" s="5" t="str">
        <f t="shared" si="7"/>
        <v>I</v>
      </c>
      <c r="C45" s="99">
        <f t="shared" si="8"/>
        <v>44707.453000000001</v>
      </c>
      <c r="D45" s="45" t="str">
        <f t="shared" si="9"/>
        <v>vis</v>
      </c>
      <c r="E45" s="127">
        <f>VLOOKUP(C45,Active!C$21:E$973,3,FALSE)</f>
        <v>-23971.983460707317</v>
      </c>
      <c r="F45" s="5" t="s">
        <v>171</v>
      </c>
      <c r="G45" s="45" t="str">
        <f t="shared" si="10"/>
        <v>44707.453</v>
      </c>
      <c r="H45" s="99">
        <f t="shared" si="11"/>
        <v>666</v>
      </c>
      <c r="I45" s="128" t="s">
        <v>420</v>
      </c>
      <c r="J45" s="129" t="s">
        <v>421</v>
      </c>
      <c r="K45" s="128">
        <v>666</v>
      </c>
      <c r="L45" s="128" t="s">
        <v>422</v>
      </c>
      <c r="M45" s="129" t="s">
        <v>309</v>
      </c>
      <c r="N45" s="129"/>
      <c r="O45" s="130" t="s">
        <v>423</v>
      </c>
      <c r="P45" s="130" t="s">
        <v>424</v>
      </c>
    </row>
    <row r="46" spans="1:16" ht="12.75" customHeight="1" thickBot="1" x14ac:dyDescent="0.25">
      <c r="A46" s="99" t="str">
        <f t="shared" si="6"/>
        <v>IBVS 1994 </v>
      </c>
      <c r="B46" s="5" t="str">
        <f t="shared" si="7"/>
        <v>II</v>
      </c>
      <c r="C46" s="99">
        <f t="shared" si="8"/>
        <v>44752.457900000001</v>
      </c>
      <c r="D46" s="45" t="str">
        <f t="shared" si="9"/>
        <v>vis</v>
      </c>
      <c r="E46" s="127">
        <f>VLOOKUP(C46,Active!C$21:E$973,3,FALSE)</f>
        <v>-23843.422984989593</v>
      </c>
      <c r="F46" s="5" t="s">
        <v>171</v>
      </c>
      <c r="G46" s="45" t="str">
        <f t="shared" si="10"/>
        <v>44752.4579</v>
      </c>
      <c r="H46" s="99">
        <f t="shared" si="11"/>
        <v>794.5</v>
      </c>
      <c r="I46" s="128" t="s">
        <v>425</v>
      </c>
      <c r="J46" s="129" t="s">
        <v>426</v>
      </c>
      <c r="K46" s="128">
        <v>794.5</v>
      </c>
      <c r="L46" s="128" t="s">
        <v>427</v>
      </c>
      <c r="M46" s="129" t="s">
        <v>313</v>
      </c>
      <c r="N46" s="129" t="s">
        <v>314</v>
      </c>
      <c r="O46" s="130" t="s">
        <v>400</v>
      </c>
      <c r="P46" s="131" t="s">
        <v>401</v>
      </c>
    </row>
    <row r="47" spans="1:16" ht="12.75" customHeight="1" thickBot="1" x14ac:dyDescent="0.25">
      <c r="A47" s="99" t="str">
        <f t="shared" si="6"/>
        <v>IBVS 2906 </v>
      </c>
      <c r="B47" s="5" t="str">
        <f t="shared" si="7"/>
        <v>II</v>
      </c>
      <c r="C47" s="99">
        <f t="shared" si="8"/>
        <v>45739.289700000001</v>
      </c>
      <c r="D47" s="45" t="str">
        <f t="shared" si="9"/>
        <v>vis</v>
      </c>
      <c r="E47" s="127">
        <f>VLOOKUP(C47,Active!C$21:E$973,3,FALSE)</f>
        <v>-21024.450702829719</v>
      </c>
      <c r="F47" s="5" t="s">
        <v>171</v>
      </c>
      <c r="G47" s="45" t="str">
        <f t="shared" si="10"/>
        <v>45739.2897</v>
      </c>
      <c r="H47" s="99">
        <f t="shared" si="11"/>
        <v>3613.5</v>
      </c>
      <c r="I47" s="128" t="s">
        <v>428</v>
      </c>
      <c r="J47" s="129" t="s">
        <v>429</v>
      </c>
      <c r="K47" s="128">
        <v>3613.5</v>
      </c>
      <c r="L47" s="128" t="s">
        <v>430</v>
      </c>
      <c r="M47" s="129" t="s">
        <v>313</v>
      </c>
      <c r="N47" s="129" t="s">
        <v>314</v>
      </c>
      <c r="O47" s="130" t="s">
        <v>431</v>
      </c>
      <c r="P47" s="131" t="s">
        <v>432</v>
      </c>
    </row>
    <row r="48" spans="1:16" ht="12.75" customHeight="1" thickBot="1" x14ac:dyDescent="0.25">
      <c r="A48" s="99" t="str">
        <f t="shared" si="6"/>
        <v>IBVS 2906 </v>
      </c>
      <c r="B48" s="5" t="str">
        <f t="shared" si="7"/>
        <v>II</v>
      </c>
      <c r="C48" s="99">
        <f t="shared" si="8"/>
        <v>45740.339399999997</v>
      </c>
      <c r="D48" s="45" t="str">
        <f t="shared" si="9"/>
        <v>vis</v>
      </c>
      <c r="E48" s="127">
        <f>VLOOKUP(C48,Active!C$21:E$973,3,FALSE)</f>
        <v>-21021.452141976115</v>
      </c>
      <c r="F48" s="5" t="s">
        <v>171</v>
      </c>
      <c r="G48" s="45" t="str">
        <f t="shared" si="10"/>
        <v>45740.3394</v>
      </c>
      <c r="H48" s="99">
        <f t="shared" si="11"/>
        <v>3616.5</v>
      </c>
      <c r="I48" s="128" t="s">
        <v>433</v>
      </c>
      <c r="J48" s="129" t="s">
        <v>434</v>
      </c>
      <c r="K48" s="128">
        <v>3616.5</v>
      </c>
      <c r="L48" s="128" t="s">
        <v>435</v>
      </c>
      <c r="M48" s="129" t="s">
        <v>313</v>
      </c>
      <c r="N48" s="129" t="s">
        <v>314</v>
      </c>
      <c r="O48" s="130" t="s">
        <v>431</v>
      </c>
      <c r="P48" s="131" t="s">
        <v>432</v>
      </c>
    </row>
    <row r="49" spans="1:16" ht="12.75" customHeight="1" thickBot="1" x14ac:dyDescent="0.25">
      <c r="A49" s="99" t="str">
        <f t="shared" si="6"/>
        <v>IBVS 2906 </v>
      </c>
      <c r="B49" s="5" t="str">
        <f t="shared" si="7"/>
        <v>I</v>
      </c>
      <c r="C49" s="99">
        <f t="shared" si="8"/>
        <v>45740.513099999996</v>
      </c>
      <c r="D49" s="45" t="str">
        <f t="shared" si="9"/>
        <v>vis</v>
      </c>
      <c r="E49" s="127">
        <f>VLOOKUP(C49,Active!C$21:E$973,3,FALSE)</f>
        <v>-21020.955952569358</v>
      </c>
      <c r="F49" s="5" t="s">
        <v>171</v>
      </c>
      <c r="G49" s="45" t="str">
        <f t="shared" si="10"/>
        <v>45740.5131</v>
      </c>
      <c r="H49" s="99">
        <f t="shared" si="11"/>
        <v>3617</v>
      </c>
      <c r="I49" s="128" t="s">
        <v>436</v>
      </c>
      <c r="J49" s="129" t="s">
        <v>437</v>
      </c>
      <c r="K49" s="128">
        <v>3617</v>
      </c>
      <c r="L49" s="128" t="s">
        <v>438</v>
      </c>
      <c r="M49" s="129" t="s">
        <v>313</v>
      </c>
      <c r="N49" s="129" t="s">
        <v>314</v>
      </c>
      <c r="O49" s="130" t="s">
        <v>431</v>
      </c>
      <c r="P49" s="131" t="s">
        <v>432</v>
      </c>
    </row>
    <row r="50" spans="1:16" ht="12.75" customHeight="1" thickBot="1" x14ac:dyDescent="0.25">
      <c r="A50" s="99" t="str">
        <f t="shared" si="6"/>
        <v>IBVS 2906 </v>
      </c>
      <c r="B50" s="5" t="str">
        <f t="shared" si="7"/>
        <v>II</v>
      </c>
      <c r="C50" s="99">
        <f t="shared" si="8"/>
        <v>45753.292000000001</v>
      </c>
      <c r="D50" s="45" t="str">
        <f t="shared" si="9"/>
        <v>vis</v>
      </c>
      <c r="E50" s="127">
        <f>VLOOKUP(C50,Active!C$21:E$973,3,FALSE)</f>
        <v>-20984.451894941194</v>
      </c>
      <c r="F50" s="5" t="s">
        <v>171</v>
      </c>
      <c r="G50" s="45" t="str">
        <f t="shared" si="10"/>
        <v>45753.2920</v>
      </c>
      <c r="H50" s="99">
        <f t="shared" si="11"/>
        <v>3653.5</v>
      </c>
      <c r="I50" s="128" t="s">
        <v>439</v>
      </c>
      <c r="J50" s="129" t="s">
        <v>440</v>
      </c>
      <c r="K50" s="128">
        <v>3653.5</v>
      </c>
      <c r="L50" s="128" t="s">
        <v>441</v>
      </c>
      <c r="M50" s="129" t="s">
        <v>313</v>
      </c>
      <c r="N50" s="129" t="s">
        <v>314</v>
      </c>
      <c r="O50" s="130" t="s">
        <v>431</v>
      </c>
      <c r="P50" s="131" t="s">
        <v>432</v>
      </c>
    </row>
    <row r="51" spans="1:16" ht="12.75" customHeight="1" thickBot="1" x14ac:dyDescent="0.25">
      <c r="A51" s="99" t="str">
        <f t="shared" si="6"/>
        <v>IBVS 2906 </v>
      </c>
      <c r="B51" s="5" t="str">
        <f t="shared" si="7"/>
        <v>I</v>
      </c>
      <c r="C51" s="99">
        <f t="shared" si="8"/>
        <v>45761.519099999998</v>
      </c>
      <c r="D51" s="45" t="str">
        <f t="shared" si="9"/>
        <v>vis</v>
      </c>
      <c r="E51" s="127">
        <f>VLOOKUP(C51,Active!C$21:E$973,3,FALSE)</f>
        <v>-20960.950456436123</v>
      </c>
      <c r="F51" s="5" t="s">
        <v>171</v>
      </c>
      <c r="G51" s="45" t="str">
        <f t="shared" si="10"/>
        <v>45761.5191</v>
      </c>
      <c r="H51" s="99">
        <f t="shared" si="11"/>
        <v>3677</v>
      </c>
      <c r="I51" s="128" t="s">
        <v>442</v>
      </c>
      <c r="J51" s="129" t="s">
        <v>443</v>
      </c>
      <c r="K51" s="128">
        <v>3677</v>
      </c>
      <c r="L51" s="128" t="s">
        <v>444</v>
      </c>
      <c r="M51" s="129" t="s">
        <v>313</v>
      </c>
      <c r="N51" s="129" t="s">
        <v>314</v>
      </c>
      <c r="O51" s="130" t="s">
        <v>431</v>
      </c>
      <c r="P51" s="131" t="s">
        <v>432</v>
      </c>
    </row>
    <row r="52" spans="1:16" ht="12.75" customHeight="1" thickBot="1" x14ac:dyDescent="0.25">
      <c r="A52" s="99" t="str">
        <f t="shared" si="6"/>
        <v>IBVS 2906 </v>
      </c>
      <c r="B52" s="5" t="str">
        <f t="shared" si="7"/>
        <v>I</v>
      </c>
      <c r="C52" s="99">
        <f t="shared" si="8"/>
        <v>45762.2192</v>
      </c>
      <c r="D52" s="45" t="str">
        <f t="shared" si="9"/>
        <v>vis</v>
      </c>
      <c r="E52" s="127">
        <f>VLOOKUP(C52,Active!C$21:E$973,3,FALSE)</f>
        <v>-20958.950558890519</v>
      </c>
      <c r="F52" s="5" t="s">
        <v>171</v>
      </c>
      <c r="G52" s="45" t="str">
        <f t="shared" si="10"/>
        <v>45762.2192</v>
      </c>
      <c r="H52" s="99">
        <f t="shared" si="11"/>
        <v>3679</v>
      </c>
      <c r="I52" s="128" t="s">
        <v>445</v>
      </c>
      <c r="J52" s="129" t="s">
        <v>446</v>
      </c>
      <c r="K52" s="128">
        <v>3679</v>
      </c>
      <c r="L52" s="128" t="s">
        <v>447</v>
      </c>
      <c r="M52" s="129" t="s">
        <v>313</v>
      </c>
      <c r="N52" s="129" t="s">
        <v>314</v>
      </c>
      <c r="O52" s="130" t="s">
        <v>431</v>
      </c>
      <c r="P52" s="131" t="s">
        <v>432</v>
      </c>
    </row>
    <row r="53" spans="1:16" ht="12.75" customHeight="1" thickBot="1" x14ac:dyDescent="0.25">
      <c r="A53" s="99" t="str">
        <f t="shared" si="6"/>
        <v>IBVS 2906 </v>
      </c>
      <c r="B53" s="5" t="str">
        <f t="shared" si="7"/>
        <v>II</v>
      </c>
      <c r="C53" s="99">
        <f t="shared" si="8"/>
        <v>45762.393700000001</v>
      </c>
      <c r="D53" s="45" t="str">
        <f t="shared" si="9"/>
        <v>vis</v>
      </c>
      <c r="E53" s="127">
        <f>VLOOKUP(C53,Active!C$21:E$973,3,FALSE)</f>
        <v>-20958.45208421303</v>
      </c>
      <c r="F53" s="5" t="s">
        <v>171</v>
      </c>
      <c r="G53" s="45" t="str">
        <f t="shared" si="10"/>
        <v>45762.3937</v>
      </c>
      <c r="H53" s="99">
        <f t="shared" si="11"/>
        <v>3679.5</v>
      </c>
      <c r="I53" s="128" t="s">
        <v>448</v>
      </c>
      <c r="J53" s="129" t="s">
        <v>449</v>
      </c>
      <c r="K53" s="128">
        <v>3679.5</v>
      </c>
      <c r="L53" s="128" t="s">
        <v>450</v>
      </c>
      <c r="M53" s="129" t="s">
        <v>313</v>
      </c>
      <c r="N53" s="129" t="s">
        <v>314</v>
      </c>
      <c r="O53" s="130" t="s">
        <v>431</v>
      </c>
      <c r="P53" s="131" t="s">
        <v>432</v>
      </c>
    </row>
    <row r="54" spans="1:16" ht="12.75" customHeight="1" thickBot="1" x14ac:dyDescent="0.25">
      <c r="A54" s="99" t="str">
        <f t="shared" si="6"/>
        <v>IBVS 2906 </v>
      </c>
      <c r="B54" s="5" t="str">
        <f t="shared" si="7"/>
        <v>I</v>
      </c>
      <c r="C54" s="99">
        <f t="shared" si="8"/>
        <v>45763.273099999999</v>
      </c>
      <c r="D54" s="45" t="str">
        <f t="shared" si="9"/>
        <v>vis</v>
      </c>
      <c r="E54" s="127">
        <f>VLOOKUP(C54,Active!C$21:E$973,3,FALSE)</f>
        <v>-20955.940000365586</v>
      </c>
      <c r="F54" s="5" t="s">
        <v>171</v>
      </c>
      <c r="G54" s="45" t="str">
        <f t="shared" si="10"/>
        <v>45763.2731</v>
      </c>
      <c r="H54" s="99">
        <f t="shared" si="11"/>
        <v>3682</v>
      </c>
      <c r="I54" s="128" t="s">
        <v>451</v>
      </c>
      <c r="J54" s="129" t="s">
        <v>452</v>
      </c>
      <c r="K54" s="128">
        <v>3682</v>
      </c>
      <c r="L54" s="128" t="s">
        <v>453</v>
      </c>
      <c r="M54" s="129" t="s">
        <v>313</v>
      </c>
      <c r="N54" s="129" t="s">
        <v>314</v>
      </c>
      <c r="O54" s="130" t="s">
        <v>431</v>
      </c>
      <c r="P54" s="131" t="s">
        <v>432</v>
      </c>
    </row>
    <row r="55" spans="1:16" ht="12.75" customHeight="1" thickBot="1" x14ac:dyDescent="0.25">
      <c r="A55" s="99" t="str">
        <f t="shared" si="6"/>
        <v>IBVS 2906 </v>
      </c>
      <c r="B55" s="5" t="str">
        <f t="shared" si="7"/>
        <v>II</v>
      </c>
      <c r="C55" s="99">
        <f t="shared" si="8"/>
        <v>45802.302600000003</v>
      </c>
      <c r="D55" s="45" t="str">
        <f t="shared" si="9"/>
        <v>vis</v>
      </c>
      <c r="E55" s="127">
        <f>VLOOKUP(C55,Active!C$21:E$973,3,FALSE)</f>
        <v>-20844.448783030908</v>
      </c>
      <c r="F55" s="5" t="s">
        <v>171</v>
      </c>
      <c r="G55" s="45" t="str">
        <f t="shared" si="10"/>
        <v>45802.3026</v>
      </c>
      <c r="H55" s="99">
        <f t="shared" si="11"/>
        <v>3793.5</v>
      </c>
      <c r="I55" s="128" t="s">
        <v>454</v>
      </c>
      <c r="J55" s="129" t="s">
        <v>455</v>
      </c>
      <c r="K55" s="128">
        <v>3793.5</v>
      </c>
      <c r="L55" s="128" t="s">
        <v>456</v>
      </c>
      <c r="M55" s="129" t="s">
        <v>313</v>
      </c>
      <c r="N55" s="129" t="s">
        <v>314</v>
      </c>
      <c r="O55" s="130" t="s">
        <v>431</v>
      </c>
      <c r="P55" s="131" t="s">
        <v>432</v>
      </c>
    </row>
    <row r="56" spans="1:16" ht="12.75" customHeight="1" thickBot="1" x14ac:dyDescent="0.25">
      <c r="A56" s="99" t="str">
        <f t="shared" si="6"/>
        <v>IBVS 2906 </v>
      </c>
      <c r="B56" s="5" t="str">
        <f t="shared" si="7"/>
        <v>I</v>
      </c>
      <c r="C56" s="99">
        <f t="shared" si="8"/>
        <v>45813.329100000003</v>
      </c>
      <c r="D56" s="45" t="str">
        <f t="shared" si="9"/>
        <v>vis</v>
      </c>
      <c r="E56" s="127">
        <f>VLOOKUP(C56,Active!C$21:E$973,3,FALSE)</f>
        <v>-20812.950610931839</v>
      </c>
      <c r="F56" s="5" t="s">
        <v>171</v>
      </c>
      <c r="G56" s="45" t="str">
        <f t="shared" si="10"/>
        <v>45813.3291</v>
      </c>
      <c r="H56" s="99">
        <f t="shared" si="11"/>
        <v>3825</v>
      </c>
      <c r="I56" s="128" t="s">
        <v>457</v>
      </c>
      <c r="J56" s="129" t="s">
        <v>458</v>
      </c>
      <c r="K56" s="128">
        <v>3825</v>
      </c>
      <c r="L56" s="128" t="s">
        <v>444</v>
      </c>
      <c r="M56" s="129" t="s">
        <v>313</v>
      </c>
      <c r="N56" s="129" t="s">
        <v>314</v>
      </c>
      <c r="O56" s="130" t="s">
        <v>431</v>
      </c>
      <c r="P56" s="131" t="s">
        <v>432</v>
      </c>
    </row>
    <row r="57" spans="1:16" ht="12.75" customHeight="1" thickBot="1" x14ac:dyDescent="0.25">
      <c r="A57" s="99" t="str">
        <f t="shared" si="6"/>
        <v>IBVS 2906 </v>
      </c>
      <c r="B57" s="5" t="str">
        <f t="shared" si="7"/>
        <v>I</v>
      </c>
      <c r="C57" s="99">
        <f t="shared" si="8"/>
        <v>45814.379200000003</v>
      </c>
      <c r="D57" s="45" t="str">
        <f t="shared" si="9"/>
        <v>vis</v>
      </c>
      <c r="E57" s="127">
        <f>VLOOKUP(C57,Active!C$21:E$973,3,FALSE)</f>
        <v>-20809.950907442857</v>
      </c>
      <c r="F57" s="5" t="s">
        <v>171</v>
      </c>
      <c r="G57" s="45" t="str">
        <f t="shared" si="10"/>
        <v>45814.3792</v>
      </c>
      <c r="H57" s="99">
        <f t="shared" si="11"/>
        <v>3828</v>
      </c>
      <c r="I57" s="128" t="s">
        <v>459</v>
      </c>
      <c r="J57" s="129" t="s">
        <v>460</v>
      </c>
      <c r="K57" s="128">
        <v>3828</v>
      </c>
      <c r="L57" s="128" t="s">
        <v>447</v>
      </c>
      <c r="M57" s="129" t="s">
        <v>313</v>
      </c>
      <c r="N57" s="129" t="s">
        <v>314</v>
      </c>
      <c r="O57" s="130" t="s">
        <v>431</v>
      </c>
      <c r="P57" s="131" t="s">
        <v>432</v>
      </c>
    </row>
    <row r="58" spans="1:16" ht="12.75" customHeight="1" thickBot="1" x14ac:dyDescent="0.25">
      <c r="A58" s="99" t="str">
        <f t="shared" si="6"/>
        <v>IBVS 2682 </v>
      </c>
      <c r="B58" s="5" t="str">
        <f t="shared" si="7"/>
        <v>II</v>
      </c>
      <c r="C58" s="99">
        <f t="shared" si="8"/>
        <v>45857.262199999997</v>
      </c>
      <c r="D58" s="45" t="str">
        <f t="shared" si="9"/>
        <v>vis</v>
      </c>
      <c r="E58" s="127">
        <f>VLOOKUP(C58,Active!C$21:E$973,3,FALSE)</f>
        <v>-20687.4518266716</v>
      </c>
      <c r="F58" s="5" t="s">
        <v>171</v>
      </c>
      <c r="G58" s="45" t="str">
        <f t="shared" si="10"/>
        <v>45857.2622</v>
      </c>
      <c r="H58" s="99">
        <f t="shared" si="11"/>
        <v>3950.5</v>
      </c>
      <c r="I58" s="128" t="s">
        <v>461</v>
      </c>
      <c r="J58" s="129" t="s">
        <v>462</v>
      </c>
      <c r="K58" s="128">
        <v>3950.5</v>
      </c>
      <c r="L58" s="128" t="s">
        <v>463</v>
      </c>
      <c r="M58" s="129" t="s">
        <v>313</v>
      </c>
      <c r="N58" s="129" t="s">
        <v>314</v>
      </c>
      <c r="O58" s="130" t="s">
        <v>464</v>
      </c>
      <c r="P58" s="131" t="s">
        <v>465</v>
      </c>
    </row>
    <row r="59" spans="1:16" ht="12.75" customHeight="1" thickBot="1" x14ac:dyDescent="0.25">
      <c r="A59" s="99" t="str">
        <f t="shared" si="6"/>
        <v>IBVS 2682 </v>
      </c>
      <c r="B59" s="5" t="str">
        <f t="shared" si="7"/>
        <v>I</v>
      </c>
      <c r="C59" s="99">
        <f t="shared" si="8"/>
        <v>45860.239200000004</v>
      </c>
      <c r="D59" s="45" t="str">
        <f t="shared" si="9"/>
        <v>vis</v>
      </c>
      <c r="E59" s="127">
        <f>VLOOKUP(C59,Active!C$21:E$973,3,FALSE)</f>
        <v>-20678.947762976037</v>
      </c>
      <c r="F59" s="5" t="s">
        <v>171</v>
      </c>
      <c r="G59" s="45" t="str">
        <f t="shared" si="10"/>
        <v>45860.2392</v>
      </c>
      <c r="H59" s="99">
        <f t="shared" si="11"/>
        <v>3959</v>
      </c>
      <c r="I59" s="128" t="s">
        <v>466</v>
      </c>
      <c r="J59" s="129" t="s">
        <v>467</v>
      </c>
      <c r="K59" s="128">
        <v>3959</v>
      </c>
      <c r="L59" s="128" t="s">
        <v>394</v>
      </c>
      <c r="M59" s="129" t="s">
        <v>313</v>
      </c>
      <c r="N59" s="129" t="s">
        <v>314</v>
      </c>
      <c r="O59" s="130" t="s">
        <v>464</v>
      </c>
      <c r="P59" s="131" t="s">
        <v>465</v>
      </c>
    </row>
    <row r="60" spans="1:16" ht="12.75" customHeight="1" thickBot="1" x14ac:dyDescent="0.25">
      <c r="A60" s="99" t="str">
        <f t="shared" si="6"/>
        <v> BRNO 28 </v>
      </c>
      <c r="B60" s="5" t="str">
        <f t="shared" si="7"/>
        <v>II</v>
      </c>
      <c r="C60" s="99">
        <f t="shared" si="8"/>
        <v>46649.440000000002</v>
      </c>
      <c r="D60" s="45" t="str">
        <f t="shared" si="9"/>
        <v>vis</v>
      </c>
      <c r="E60" s="127">
        <f>VLOOKUP(C60,Active!C$21:E$973,3,FALSE)</f>
        <v>-18424.525904804872</v>
      </c>
      <c r="F60" s="5" t="s">
        <v>171</v>
      </c>
      <c r="G60" s="45" t="str">
        <f t="shared" si="10"/>
        <v>46649.440</v>
      </c>
      <c r="H60" s="99">
        <f t="shared" si="11"/>
        <v>6213.5</v>
      </c>
      <c r="I60" s="128" t="s">
        <v>468</v>
      </c>
      <c r="J60" s="129" t="s">
        <v>469</v>
      </c>
      <c r="K60" s="128">
        <v>6213.5</v>
      </c>
      <c r="L60" s="128" t="s">
        <v>470</v>
      </c>
      <c r="M60" s="129" t="s">
        <v>343</v>
      </c>
      <c r="N60" s="129"/>
      <c r="O60" s="130" t="s">
        <v>471</v>
      </c>
      <c r="P60" s="130" t="s">
        <v>472</v>
      </c>
    </row>
    <row r="61" spans="1:16" ht="12.75" customHeight="1" thickBot="1" x14ac:dyDescent="0.25">
      <c r="A61" s="99" t="str">
        <f t="shared" si="6"/>
        <v> BRNO 28 </v>
      </c>
      <c r="B61" s="5" t="str">
        <f t="shared" si="7"/>
        <v>II</v>
      </c>
      <c r="C61" s="99">
        <f t="shared" si="8"/>
        <v>46649.445</v>
      </c>
      <c r="D61" s="45" t="str">
        <f t="shared" si="9"/>
        <v>vis</v>
      </c>
      <c r="E61" s="127">
        <f>VLOOKUP(C61,Active!C$21:E$973,3,FALSE)</f>
        <v>-18424.511621862832</v>
      </c>
      <c r="F61" s="5" t="s">
        <v>171</v>
      </c>
      <c r="G61" s="45" t="str">
        <f t="shared" si="10"/>
        <v>46649.445</v>
      </c>
      <c r="H61" s="99">
        <f t="shared" si="11"/>
        <v>6213.5</v>
      </c>
      <c r="I61" s="128" t="s">
        <v>473</v>
      </c>
      <c r="J61" s="129" t="s">
        <v>474</v>
      </c>
      <c r="K61" s="128">
        <v>6213.5</v>
      </c>
      <c r="L61" s="128" t="s">
        <v>475</v>
      </c>
      <c r="M61" s="129" t="s">
        <v>343</v>
      </c>
      <c r="N61" s="129"/>
      <c r="O61" s="130" t="s">
        <v>476</v>
      </c>
      <c r="P61" s="130" t="s">
        <v>472</v>
      </c>
    </row>
    <row r="62" spans="1:16" ht="12.75" customHeight="1" thickBot="1" x14ac:dyDescent="0.25">
      <c r="A62" s="99" t="str">
        <f t="shared" si="6"/>
        <v> BRNO 28 </v>
      </c>
      <c r="B62" s="5" t="str">
        <f t="shared" si="7"/>
        <v>II</v>
      </c>
      <c r="C62" s="99">
        <f t="shared" si="8"/>
        <v>46649.449000000001</v>
      </c>
      <c r="D62" s="45" t="str">
        <f t="shared" si="9"/>
        <v>vis</v>
      </c>
      <c r="E62" s="127">
        <f>VLOOKUP(C62,Active!C$21:E$973,3,FALSE)</f>
        <v>-18424.50019550919</v>
      </c>
      <c r="F62" s="5" t="s">
        <v>171</v>
      </c>
      <c r="G62" s="45" t="str">
        <f t="shared" si="10"/>
        <v>46649.449</v>
      </c>
      <c r="H62" s="99">
        <f t="shared" si="11"/>
        <v>6213.5</v>
      </c>
      <c r="I62" s="128" t="s">
        <v>477</v>
      </c>
      <c r="J62" s="129" t="s">
        <v>478</v>
      </c>
      <c r="K62" s="128">
        <v>6213.5</v>
      </c>
      <c r="L62" s="128" t="s">
        <v>479</v>
      </c>
      <c r="M62" s="129" t="s">
        <v>343</v>
      </c>
      <c r="N62" s="129"/>
      <c r="O62" s="130" t="s">
        <v>480</v>
      </c>
      <c r="P62" s="130" t="s">
        <v>472</v>
      </c>
    </row>
    <row r="63" spans="1:16" ht="12.75" customHeight="1" thickBot="1" x14ac:dyDescent="0.25">
      <c r="A63" s="99" t="str">
        <f t="shared" si="6"/>
        <v> BRNO 28 </v>
      </c>
      <c r="B63" s="5" t="str">
        <f t="shared" si="7"/>
        <v>II</v>
      </c>
      <c r="C63" s="99">
        <f t="shared" si="8"/>
        <v>46649.451000000001</v>
      </c>
      <c r="D63" s="45" t="str">
        <f t="shared" si="9"/>
        <v>vis</v>
      </c>
      <c r="E63" s="127">
        <f>VLOOKUP(C63,Active!C$21:E$973,3,FALSE)</f>
        <v>-18424.494482332368</v>
      </c>
      <c r="F63" s="5" t="s">
        <v>171</v>
      </c>
      <c r="G63" s="45" t="str">
        <f t="shared" si="10"/>
        <v>46649.451</v>
      </c>
      <c r="H63" s="99">
        <f t="shared" si="11"/>
        <v>6213.5</v>
      </c>
      <c r="I63" s="128" t="s">
        <v>481</v>
      </c>
      <c r="J63" s="129" t="s">
        <v>482</v>
      </c>
      <c r="K63" s="128">
        <v>6213.5</v>
      </c>
      <c r="L63" s="128" t="s">
        <v>483</v>
      </c>
      <c r="M63" s="129" t="s">
        <v>343</v>
      </c>
      <c r="N63" s="129"/>
      <c r="O63" s="130" t="s">
        <v>484</v>
      </c>
      <c r="P63" s="130" t="s">
        <v>472</v>
      </c>
    </row>
    <row r="64" spans="1:16" ht="12.75" customHeight="1" thickBot="1" x14ac:dyDescent="0.25">
      <c r="A64" s="99" t="str">
        <f t="shared" si="6"/>
        <v> BRNO 28 </v>
      </c>
      <c r="B64" s="5" t="str">
        <f t="shared" si="7"/>
        <v>II</v>
      </c>
      <c r="C64" s="99">
        <f t="shared" si="8"/>
        <v>46649.453999999998</v>
      </c>
      <c r="D64" s="45" t="str">
        <f t="shared" si="9"/>
        <v>vis</v>
      </c>
      <c r="E64" s="127">
        <f>VLOOKUP(C64,Active!C$21:E$973,3,FALSE)</f>
        <v>-18424.48591256715</v>
      </c>
      <c r="F64" s="5" t="s">
        <v>171</v>
      </c>
      <c r="G64" s="45" t="str">
        <f t="shared" si="10"/>
        <v>46649.454</v>
      </c>
      <c r="H64" s="99">
        <f t="shared" si="11"/>
        <v>6213.5</v>
      </c>
      <c r="I64" s="128" t="s">
        <v>485</v>
      </c>
      <c r="J64" s="129" t="s">
        <v>486</v>
      </c>
      <c r="K64" s="128">
        <v>6213.5</v>
      </c>
      <c r="L64" s="128" t="s">
        <v>487</v>
      </c>
      <c r="M64" s="129" t="s">
        <v>343</v>
      </c>
      <c r="N64" s="129"/>
      <c r="O64" s="130" t="s">
        <v>488</v>
      </c>
      <c r="P64" s="130" t="s">
        <v>472</v>
      </c>
    </row>
    <row r="65" spans="1:16" ht="12.75" customHeight="1" thickBot="1" x14ac:dyDescent="0.25">
      <c r="A65" s="99" t="str">
        <f t="shared" si="6"/>
        <v> BRNO 28 </v>
      </c>
      <c r="B65" s="5" t="str">
        <f t="shared" si="7"/>
        <v>II</v>
      </c>
      <c r="C65" s="99">
        <f t="shared" si="8"/>
        <v>46650.491999999998</v>
      </c>
      <c r="D65" s="45" t="str">
        <f t="shared" si="9"/>
        <v>vis</v>
      </c>
      <c r="E65" s="127">
        <f>VLOOKUP(C65,Active!C$21:E$973,3,FALSE)</f>
        <v>-18421.520773797925</v>
      </c>
      <c r="F65" s="5" t="s">
        <v>171</v>
      </c>
      <c r="G65" s="45" t="str">
        <f t="shared" si="10"/>
        <v>46650.492</v>
      </c>
      <c r="H65" s="99">
        <f t="shared" si="11"/>
        <v>6216.5</v>
      </c>
      <c r="I65" s="128" t="s">
        <v>489</v>
      </c>
      <c r="J65" s="129" t="s">
        <v>490</v>
      </c>
      <c r="K65" s="128">
        <v>6216.5</v>
      </c>
      <c r="L65" s="128" t="s">
        <v>491</v>
      </c>
      <c r="M65" s="129" t="s">
        <v>343</v>
      </c>
      <c r="N65" s="129"/>
      <c r="O65" s="130" t="s">
        <v>492</v>
      </c>
      <c r="P65" s="130" t="s">
        <v>472</v>
      </c>
    </row>
    <row r="66" spans="1:16" ht="12.75" customHeight="1" thickBot="1" x14ac:dyDescent="0.25">
      <c r="A66" s="99" t="str">
        <f t="shared" si="6"/>
        <v> BRNO 28 </v>
      </c>
      <c r="B66" s="5" t="str">
        <f t="shared" si="7"/>
        <v>II</v>
      </c>
      <c r="C66" s="99">
        <f t="shared" si="8"/>
        <v>46650.500999999997</v>
      </c>
      <c r="D66" s="45" t="str">
        <f t="shared" si="9"/>
        <v>vis</v>
      </c>
      <c r="E66" s="127">
        <f>VLOOKUP(C66,Active!C$21:E$973,3,FALSE)</f>
        <v>-18421.495064502244</v>
      </c>
      <c r="F66" s="5" t="s">
        <v>171</v>
      </c>
      <c r="G66" s="45" t="str">
        <f t="shared" si="10"/>
        <v>46650.501</v>
      </c>
      <c r="H66" s="99">
        <f t="shared" si="11"/>
        <v>6216.5</v>
      </c>
      <c r="I66" s="128" t="s">
        <v>493</v>
      </c>
      <c r="J66" s="129" t="s">
        <v>494</v>
      </c>
      <c r="K66" s="128">
        <v>6216.5</v>
      </c>
      <c r="L66" s="128" t="s">
        <v>483</v>
      </c>
      <c r="M66" s="129" t="s">
        <v>343</v>
      </c>
      <c r="N66" s="129"/>
      <c r="O66" s="130" t="s">
        <v>488</v>
      </c>
      <c r="P66" s="130" t="s">
        <v>472</v>
      </c>
    </row>
    <row r="67" spans="1:16" ht="12.75" customHeight="1" thickBot="1" x14ac:dyDescent="0.25">
      <c r="A67" s="99" t="str">
        <f t="shared" si="6"/>
        <v> BRNO 28 </v>
      </c>
      <c r="B67" s="5" t="str">
        <f t="shared" si="7"/>
        <v>II</v>
      </c>
      <c r="C67" s="99">
        <f t="shared" si="8"/>
        <v>46650.502</v>
      </c>
      <c r="D67" s="45" t="str">
        <f t="shared" si="9"/>
        <v>vis</v>
      </c>
      <c r="E67" s="127">
        <f>VLOOKUP(C67,Active!C$21:E$973,3,FALSE)</f>
        <v>-18421.492207913823</v>
      </c>
      <c r="F67" s="5" t="s">
        <v>171</v>
      </c>
      <c r="G67" s="45" t="str">
        <f t="shared" si="10"/>
        <v>46650.502</v>
      </c>
      <c r="H67" s="99">
        <f t="shared" si="11"/>
        <v>6216.5</v>
      </c>
      <c r="I67" s="128" t="s">
        <v>495</v>
      </c>
      <c r="J67" s="129" t="s">
        <v>496</v>
      </c>
      <c r="K67" s="128">
        <v>6216.5</v>
      </c>
      <c r="L67" s="128" t="s">
        <v>497</v>
      </c>
      <c r="M67" s="129" t="s">
        <v>343</v>
      </c>
      <c r="N67" s="129"/>
      <c r="O67" s="130" t="s">
        <v>484</v>
      </c>
      <c r="P67" s="130" t="s">
        <v>472</v>
      </c>
    </row>
    <row r="68" spans="1:16" ht="12.75" customHeight="1" thickBot="1" x14ac:dyDescent="0.25">
      <c r="A68" s="99" t="str">
        <f t="shared" si="6"/>
        <v> BRNO 28 </v>
      </c>
      <c r="B68" s="5" t="str">
        <f t="shared" si="7"/>
        <v>II</v>
      </c>
      <c r="C68" s="99">
        <f t="shared" si="8"/>
        <v>46650.502999999997</v>
      </c>
      <c r="D68" s="45" t="str">
        <f t="shared" si="9"/>
        <v>vis</v>
      </c>
      <c r="E68" s="127">
        <f>VLOOKUP(C68,Active!C$21:E$973,3,FALSE)</f>
        <v>-18421.489351325421</v>
      </c>
      <c r="F68" s="5" t="s">
        <v>171</v>
      </c>
      <c r="G68" s="45" t="str">
        <f t="shared" si="10"/>
        <v>46650.503</v>
      </c>
      <c r="H68" s="99">
        <f t="shared" si="11"/>
        <v>6216.5</v>
      </c>
      <c r="I68" s="128" t="s">
        <v>498</v>
      </c>
      <c r="J68" s="129" t="s">
        <v>499</v>
      </c>
      <c r="K68" s="128">
        <v>6216.5</v>
      </c>
      <c r="L68" s="128" t="s">
        <v>500</v>
      </c>
      <c r="M68" s="129" t="s">
        <v>343</v>
      </c>
      <c r="N68" s="129"/>
      <c r="O68" s="130" t="s">
        <v>476</v>
      </c>
      <c r="P68" s="130" t="s">
        <v>472</v>
      </c>
    </row>
    <row r="69" spans="1:16" ht="12.75" customHeight="1" thickBot="1" x14ac:dyDescent="0.25">
      <c r="A69" s="99" t="str">
        <f t="shared" si="6"/>
        <v> BRNO 30 </v>
      </c>
      <c r="B69" s="5" t="str">
        <f t="shared" si="7"/>
        <v>II</v>
      </c>
      <c r="C69" s="99">
        <f t="shared" si="8"/>
        <v>47240.364999999998</v>
      </c>
      <c r="D69" s="45" t="str">
        <f t="shared" si="9"/>
        <v>vis</v>
      </c>
      <c r="E69" s="127">
        <f>VLOOKUP(C69,Active!C$21:E$973,3,FALSE)</f>
        <v>-16736.496398828967</v>
      </c>
      <c r="F69" s="5" t="s">
        <v>171</v>
      </c>
      <c r="G69" s="45" t="str">
        <f t="shared" si="10"/>
        <v>47240.365</v>
      </c>
      <c r="H69" s="99">
        <f t="shared" si="11"/>
        <v>7901.5</v>
      </c>
      <c r="I69" s="128" t="s">
        <v>501</v>
      </c>
      <c r="J69" s="129" t="s">
        <v>502</v>
      </c>
      <c r="K69" s="128">
        <v>7901.5</v>
      </c>
      <c r="L69" s="128" t="s">
        <v>497</v>
      </c>
      <c r="M69" s="129" t="s">
        <v>343</v>
      </c>
      <c r="N69" s="129"/>
      <c r="O69" s="130" t="s">
        <v>503</v>
      </c>
      <c r="P69" s="130" t="s">
        <v>504</v>
      </c>
    </row>
    <row r="70" spans="1:16" ht="12.75" customHeight="1" thickBot="1" x14ac:dyDescent="0.25">
      <c r="A70" s="99" t="str">
        <f t="shared" si="6"/>
        <v> BRNO 30 </v>
      </c>
      <c r="B70" s="5" t="str">
        <f t="shared" si="7"/>
        <v>I</v>
      </c>
      <c r="C70" s="99">
        <f t="shared" si="8"/>
        <v>47349.425000000003</v>
      </c>
      <c r="D70" s="45" t="str">
        <f t="shared" si="9"/>
        <v>vis</v>
      </c>
      <c r="E70" s="127">
        <f>VLOOKUP(C70,Active!C$21:E$973,3,FALSE)</f>
        <v>-16424.956866871882</v>
      </c>
      <c r="F70" s="5" t="s">
        <v>171</v>
      </c>
      <c r="G70" s="45" t="str">
        <f t="shared" si="10"/>
        <v>47349.425</v>
      </c>
      <c r="H70" s="99">
        <f t="shared" si="11"/>
        <v>8213</v>
      </c>
      <c r="I70" s="128" t="s">
        <v>505</v>
      </c>
      <c r="J70" s="129" t="s">
        <v>506</v>
      </c>
      <c r="K70" s="128">
        <v>8213</v>
      </c>
      <c r="L70" s="128" t="s">
        <v>308</v>
      </c>
      <c r="M70" s="129" t="s">
        <v>343</v>
      </c>
      <c r="N70" s="129"/>
      <c r="O70" s="130" t="s">
        <v>507</v>
      </c>
      <c r="P70" s="130" t="s">
        <v>504</v>
      </c>
    </row>
    <row r="71" spans="1:16" ht="12.75" customHeight="1" thickBot="1" x14ac:dyDescent="0.25">
      <c r="A71" s="99" t="str">
        <f t="shared" si="6"/>
        <v> BRNO 30 </v>
      </c>
      <c r="B71" s="5" t="str">
        <f t="shared" si="7"/>
        <v>I</v>
      </c>
      <c r="C71" s="99">
        <f t="shared" si="8"/>
        <v>47349.436000000002</v>
      </c>
      <c r="D71" s="45" t="str">
        <f t="shared" si="9"/>
        <v>vis</v>
      </c>
      <c r="E71" s="127">
        <f>VLOOKUP(C71,Active!C$21:E$973,3,FALSE)</f>
        <v>-16424.925444399378</v>
      </c>
      <c r="F71" s="5" t="s">
        <v>171</v>
      </c>
      <c r="G71" s="45" t="str">
        <f t="shared" si="10"/>
        <v>47349.436</v>
      </c>
      <c r="H71" s="99">
        <f t="shared" si="11"/>
        <v>8213</v>
      </c>
      <c r="I71" s="128" t="s">
        <v>508</v>
      </c>
      <c r="J71" s="129" t="s">
        <v>509</v>
      </c>
      <c r="K71" s="128">
        <v>8213</v>
      </c>
      <c r="L71" s="128" t="s">
        <v>342</v>
      </c>
      <c r="M71" s="129" t="s">
        <v>343</v>
      </c>
      <c r="N71" s="129"/>
      <c r="O71" s="130" t="s">
        <v>510</v>
      </c>
      <c r="P71" s="130" t="s">
        <v>504</v>
      </c>
    </row>
    <row r="72" spans="1:16" ht="12.75" customHeight="1" thickBot="1" x14ac:dyDescent="0.25">
      <c r="A72" s="99" t="str">
        <f t="shared" si="6"/>
        <v>IBVS 3423 </v>
      </c>
      <c r="B72" s="5" t="str">
        <f t="shared" si="7"/>
        <v>I</v>
      </c>
      <c r="C72" s="99">
        <f t="shared" si="8"/>
        <v>47398.424700000003</v>
      </c>
      <c r="D72" s="45" t="str">
        <f t="shared" si="9"/>
        <v>vis</v>
      </c>
      <c r="E72" s="127">
        <f>VLOOKUP(C72,Active!C$21:E$973,3,FALSE)</f>
        <v>-16284.984891775264</v>
      </c>
      <c r="F72" s="5" t="s">
        <v>171</v>
      </c>
      <c r="G72" s="45" t="str">
        <f t="shared" si="10"/>
        <v>47398.4247</v>
      </c>
      <c r="H72" s="99">
        <f t="shared" si="11"/>
        <v>8353</v>
      </c>
      <c r="I72" s="128" t="s">
        <v>511</v>
      </c>
      <c r="J72" s="129" t="s">
        <v>512</v>
      </c>
      <c r="K72" s="128">
        <v>8353</v>
      </c>
      <c r="L72" s="128" t="s">
        <v>513</v>
      </c>
      <c r="M72" s="129" t="s">
        <v>313</v>
      </c>
      <c r="N72" s="129" t="s">
        <v>314</v>
      </c>
      <c r="O72" s="130" t="s">
        <v>480</v>
      </c>
      <c r="P72" s="131" t="s">
        <v>514</v>
      </c>
    </row>
    <row r="73" spans="1:16" ht="12.75" customHeight="1" thickBot="1" x14ac:dyDescent="0.25">
      <c r="A73" s="99" t="str">
        <f t="shared" si="6"/>
        <v>IBVS 3377 </v>
      </c>
      <c r="B73" s="5" t="str">
        <f t="shared" si="7"/>
        <v>II</v>
      </c>
      <c r="C73" s="99">
        <f t="shared" si="8"/>
        <v>47668.506600000001</v>
      </c>
      <c r="D73" s="45" t="str">
        <f t="shared" si="9"/>
        <v>vis</v>
      </c>
      <c r="E73" s="127">
        <f>VLOOKUP(C73,Active!C$21:E$973,3,FALSE)</f>
        <v>-15513.472066577426</v>
      </c>
      <c r="F73" s="5" t="s">
        <v>171</v>
      </c>
      <c r="G73" s="45" t="str">
        <f t="shared" si="10"/>
        <v>47668.5066</v>
      </c>
      <c r="H73" s="99">
        <f t="shared" si="11"/>
        <v>9124.5</v>
      </c>
      <c r="I73" s="128" t="s">
        <v>515</v>
      </c>
      <c r="J73" s="129" t="s">
        <v>516</v>
      </c>
      <c r="K73" s="128">
        <v>9124.5</v>
      </c>
      <c r="L73" s="128" t="s">
        <v>517</v>
      </c>
      <c r="M73" s="129" t="s">
        <v>313</v>
      </c>
      <c r="N73" s="129" t="s">
        <v>314</v>
      </c>
      <c r="O73" s="130" t="s">
        <v>518</v>
      </c>
      <c r="P73" s="131" t="s">
        <v>519</v>
      </c>
    </row>
    <row r="74" spans="1:16" ht="12.75" customHeight="1" thickBot="1" x14ac:dyDescent="0.25">
      <c r="A74" s="99" t="str">
        <f t="shared" si="6"/>
        <v>IBVS 3377 </v>
      </c>
      <c r="B74" s="5" t="str">
        <f t="shared" si="7"/>
        <v>II</v>
      </c>
      <c r="C74" s="99">
        <f t="shared" si="8"/>
        <v>47672.356099999997</v>
      </c>
      <c r="D74" s="45" t="str">
        <f t="shared" si="9"/>
        <v>vis</v>
      </c>
      <c r="E74" s="127">
        <f>VLOOKUP(C74,Active!C$21:E$973,3,FALSE)</f>
        <v>-15502.475629494465</v>
      </c>
      <c r="F74" s="5" t="s">
        <v>171</v>
      </c>
      <c r="G74" s="45" t="str">
        <f t="shared" si="10"/>
        <v>47672.3561</v>
      </c>
      <c r="H74" s="99">
        <f t="shared" si="11"/>
        <v>9135.5</v>
      </c>
      <c r="I74" s="128" t="s">
        <v>520</v>
      </c>
      <c r="J74" s="129" t="s">
        <v>521</v>
      </c>
      <c r="K74" s="128">
        <v>9135.5</v>
      </c>
      <c r="L74" s="128" t="s">
        <v>522</v>
      </c>
      <c r="M74" s="129" t="s">
        <v>313</v>
      </c>
      <c r="N74" s="129" t="s">
        <v>314</v>
      </c>
      <c r="O74" s="130" t="s">
        <v>518</v>
      </c>
      <c r="P74" s="131" t="s">
        <v>519</v>
      </c>
    </row>
    <row r="75" spans="1:16" ht="12.75" customHeight="1" thickBot="1" x14ac:dyDescent="0.25">
      <c r="A75" s="99" t="str">
        <f t="shared" ref="A75:A106" si="12">P75</f>
        <v>IBVS 3377 </v>
      </c>
      <c r="B75" s="5" t="str">
        <f t="shared" ref="B75:B106" si="13">IF(H75=INT(H75),"I","II")</f>
        <v>I</v>
      </c>
      <c r="C75" s="99">
        <f t="shared" ref="C75:C106" si="14">1*G75</f>
        <v>47676.3799</v>
      </c>
      <c r="D75" s="45" t="str">
        <f t="shared" ref="D75:D106" si="15">VLOOKUP(F75,I$1:J$5,2,FALSE)</f>
        <v>vis</v>
      </c>
      <c r="E75" s="127">
        <f>VLOOKUP(C75,Active!C$21:E$973,3,FALSE)</f>
        <v>-15490.981289051684</v>
      </c>
      <c r="F75" s="5" t="s">
        <v>171</v>
      </c>
      <c r="G75" s="45" t="str">
        <f t="shared" ref="G75:G106" si="16">MID(I75,3,LEN(I75)-3)</f>
        <v>47676.3799</v>
      </c>
      <c r="H75" s="99">
        <f t="shared" ref="H75:H106" si="17">1*K75</f>
        <v>9147</v>
      </c>
      <c r="I75" s="128" t="s">
        <v>526</v>
      </c>
      <c r="J75" s="129" t="s">
        <v>527</v>
      </c>
      <c r="K75" s="128">
        <v>9147</v>
      </c>
      <c r="L75" s="128" t="s">
        <v>528</v>
      </c>
      <c r="M75" s="129" t="s">
        <v>313</v>
      </c>
      <c r="N75" s="129" t="s">
        <v>314</v>
      </c>
      <c r="O75" s="130" t="s">
        <v>518</v>
      </c>
      <c r="P75" s="131" t="s">
        <v>519</v>
      </c>
    </row>
    <row r="76" spans="1:16" ht="12.75" customHeight="1" thickBot="1" x14ac:dyDescent="0.25">
      <c r="A76" s="99" t="str">
        <f t="shared" si="12"/>
        <v>IBVS 3538 </v>
      </c>
      <c r="B76" s="5" t="str">
        <f t="shared" si="13"/>
        <v>II</v>
      </c>
      <c r="C76" s="99">
        <f t="shared" si="14"/>
        <v>48028.374400000001</v>
      </c>
      <c r="D76" s="45" t="str">
        <f t="shared" si="15"/>
        <v>vis</v>
      </c>
      <c r="E76" s="127">
        <f>VLOOKUP(C76,Active!C$21:E$973,3,FALSE)</f>
        <v>-14485.477880089056</v>
      </c>
      <c r="F76" s="5" t="s">
        <v>171</v>
      </c>
      <c r="G76" s="45" t="str">
        <f t="shared" si="16"/>
        <v>48028.3744</v>
      </c>
      <c r="H76" s="99">
        <f t="shared" si="17"/>
        <v>10152.5</v>
      </c>
      <c r="I76" s="128" t="s">
        <v>529</v>
      </c>
      <c r="J76" s="129" t="s">
        <v>530</v>
      </c>
      <c r="K76" s="128">
        <v>10152.5</v>
      </c>
      <c r="L76" s="128" t="s">
        <v>531</v>
      </c>
      <c r="M76" s="129" t="s">
        <v>313</v>
      </c>
      <c r="N76" s="129" t="s">
        <v>314</v>
      </c>
      <c r="O76" s="130" t="s">
        <v>518</v>
      </c>
      <c r="P76" s="131" t="s">
        <v>532</v>
      </c>
    </row>
    <row r="77" spans="1:16" ht="12.75" customHeight="1" thickBot="1" x14ac:dyDescent="0.25">
      <c r="A77" s="99" t="str">
        <f t="shared" si="12"/>
        <v>IBVS 3538 </v>
      </c>
      <c r="B77" s="5" t="str">
        <f t="shared" si="13"/>
        <v>I</v>
      </c>
      <c r="C77" s="99">
        <f t="shared" si="14"/>
        <v>48028.548999999999</v>
      </c>
      <c r="D77" s="45" t="str">
        <f t="shared" si="15"/>
        <v>PE</v>
      </c>
      <c r="E77" s="127">
        <f>VLOOKUP(C77,Active!C$21:E$973,3,FALSE)</f>
        <v>-14484.979119752734</v>
      </c>
      <c r="F77" s="5" t="str">
        <f>LEFT(M77,1)</f>
        <v>E</v>
      </c>
      <c r="G77" s="45" t="str">
        <f t="shared" si="16"/>
        <v>48028.5490</v>
      </c>
      <c r="H77" s="99">
        <f t="shared" si="17"/>
        <v>10153</v>
      </c>
      <c r="I77" s="128" t="s">
        <v>533</v>
      </c>
      <c r="J77" s="129" t="s">
        <v>534</v>
      </c>
      <c r="K77" s="128">
        <v>10153</v>
      </c>
      <c r="L77" s="128" t="s">
        <v>535</v>
      </c>
      <c r="M77" s="129" t="s">
        <v>313</v>
      </c>
      <c r="N77" s="129" t="s">
        <v>314</v>
      </c>
      <c r="O77" s="130" t="s">
        <v>518</v>
      </c>
      <c r="P77" s="131" t="s">
        <v>532</v>
      </c>
    </row>
    <row r="78" spans="1:16" ht="12.75" customHeight="1" thickBot="1" x14ac:dyDescent="0.25">
      <c r="A78" s="99" t="str">
        <f t="shared" si="12"/>
        <v>IBVS 3538 </v>
      </c>
      <c r="B78" s="5" t="str">
        <f t="shared" si="13"/>
        <v>II</v>
      </c>
      <c r="C78" s="99">
        <f t="shared" si="14"/>
        <v>48030.475400000003</v>
      </c>
      <c r="D78" s="45" t="str">
        <f t="shared" si="15"/>
        <v>PE</v>
      </c>
      <c r="E78" s="127">
        <f>VLOOKUP(C78,Active!C$21:E$973,3,FALSE)</f>
        <v>-14479.476187840362</v>
      </c>
      <c r="F78" s="5" t="str">
        <f>LEFT(M78,1)</f>
        <v>E</v>
      </c>
      <c r="G78" s="45" t="str">
        <f t="shared" si="16"/>
        <v>48030.4754</v>
      </c>
      <c r="H78" s="99">
        <f t="shared" si="17"/>
        <v>10158.5</v>
      </c>
      <c r="I78" s="128" t="s">
        <v>536</v>
      </c>
      <c r="J78" s="129" t="s">
        <v>537</v>
      </c>
      <c r="K78" s="128">
        <v>10158.5</v>
      </c>
      <c r="L78" s="128" t="s">
        <v>538</v>
      </c>
      <c r="M78" s="129" t="s">
        <v>313</v>
      </c>
      <c r="N78" s="129" t="s">
        <v>314</v>
      </c>
      <c r="O78" s="130" t="s">
        <v>518</v>
      </c>
      <c r="P78" s="131" t="s">
        <v>532</v>
      </c>
    </row>
    <row r="79" spans="1:16" ht="12.75" customHeight="1" thickBot="1" x14ac:dyDescent="0.25">
      <c r="A79" s="99" t="str">
        <f t="shared" si="12"/>
        <v>IBVS 3714 </v>
      </c>
      <c r="B79" s="5" t="str">
        <f t="shared" si="13"/>
        <v>I</v>
      </c>
      <c r="C79" s="99">
        <f t="shared" si="14"/>
        <v>48396.468399999998</v>
      </c>
      <c r="D79" s="45" t="str">
        <f t="shared" si="15"/>
        <v>PE</v>
      </c>
      <c r="E79" s="127">
        <f>VLOOKUP(C79,Active!C$21:E$973,3,FALSE)</f>
        <v>-13433.984826025184</v>
      </c>
      <c r="F79" s="5" t="str">
        <f>LEFT(M79,1)</f>
        <v>E</v>
      </c>
      <c r="G79" s="45" t="str">
        <f t="shared" si="16"/>
        <v>48396.4684</v>
      </c>
      <c r="H79" s="99">
        <f t="shared" si="17"/>
        <v>11204</v>
      </c>
      <c r="I79" s="128" t="s">
        <v>541</v>
      </c>
      <c r="J79" s="129" t="s">
        <v>542</v>
      </c>
      <c r="K79" s="128">
        <v>11204</v>
      </c>
      <c r="L79" s="128" t="s">
        <v>543</v>
      </c>
      <c r="M79" s="129" t="s">
        <v>313</v>
      </c>
      <c r="N79" s="129" t="s">
        <v>136</v>
      </c>
      <c r="O79" s="130" t="s">
        <v>518</v>
      </c>
      <c r="P79" s="131" t="s">
        <v>544</v>
      </c>
    </row>
    <row r="80" spans="1:16" ht="12.75" customHeight="1" thickBot="1" x14ac:dyDescent="0.25">
      <c r="A80" s="99" t="str">
        <f t="shared" si="12"/>
        <v>IBVS 3714 </v>
      </c>
      <c r="B80" s="5" t="str">
        <f t="shared" si="13"/>
        <v>I</v>
      </c>
      <c r="C80" s="99">
        <f t="shared" si="14"/>
        <v>48396.468399999998</v>
      </c>
      <c r="D80" s="45" t="str">
        <f t="shared" si="15"/>
        <v>PE</v>
      </c>
      <c r="E80" s="127">
        <f>VLOOKUP(C80,Active!C$21:E$973,3,FALSE)</f>
        <v>-13433.984826025184</v>
      </c>
      <c r="F80" s="5" t="str">
        <f>LEFT(M80,1)</f>
        <v>E</v>
      </c>
      <c r="G80" s="45" t="str">
        <f t="shared" si="16"/>
        <v>48396.4684</v>
      </c>
      <c r="H80" s="99">
        <f t="shared" si="17"/>
        <v>11204</v>
      </c>
      <c r="I80" s="128" t="s">
        <v>541</v>
      </c>
      <c r="J80" s="129" t="s">
        <v>542</v>
      </c>
      <c r="K80" s="128">
        <v>11204</v>
      </c>
      <c r="L80" s="128" t="s">
        <v>543</v>
      </c>
      <c r="M80" s="129" t="s">
        <v>313</v>
      </c>
      <c r="N80" s="129" t="s">
        <v>46</v>
      </c>
      <c r="O80" s="130" t="s">
        <v>518</v>
      </c>
      <c r="P80" s="131" t="s">
        <v>544</v>
      </c>
    </row>
    <row r="81" spans="1:16" ht="12.75" customHeight="1" thickBot="1" x14ac:dyDescent="0.25">
      <c r="A81" s="99" t="str">
        <f t="shared" si="12"/>
        <v>IBVS 3714 </v>
      </c>
      <c r="B81" s="5" t="str">
        <f t="shared" si="13"/>
        <v>II</v>
      </c>
      <c r="C81" s="99">
        <f t="shared" si="14"/>
        <v>48397.3439</v>
      </c>
      <c r="D81" s="45" t="str">
        <f t="shared" si="15"/>
        <v>vis</v>
      </c>
      <c r="E81" s="127">
        <f>VLOOKUP(C81,Active!C$21:E$973,3,FALSE)</f>
        <v>-13431.483882872524</v>
      </c>
      <c r="F81" s="5" t="s">
        <v>171</v>
      </c>
      <c r="G81" s="45" t="str">
        <f t="shared" si="16"/>
        <v>48397.3439</v>
      </c>
      <c r="H81" s="99">
        <f t="shared" si="17"/>
        <v>11206.5</v>
      </c>
      <c r="I81" s="128" t="s">
        <v>545</v>
      </c>
      <c r="J81" s="129" t="s">
        <v>546</v>
      </c>
      <c r="K81" s="128">
        <v>11206.5</v>
      </c>
      <c r="L81" s="128" t="s">
        <v>547</v>
      </c>
      <c r="M81" s="129" t="s">
        <v>313</v>
      </c>
      <c r="N81" s="129" t="s">
        <v>46</v>
      </c>
      <c r="O81" s="130" t="s">
        <v>518</v>
      </c>
      <c r="P81" s="131" t="s">
        <v>544</v>
      </c>
    </row>
    <row r="82" spans="1:16" ht="12.75" customHeight="1" thickBot="1" x14ac:dyDescent="0.25">
      <c r="A82" s="99" t="str">
        <f t="shared" si="12"/>
        <v>IBVS 3714 </v>
      </c>
      <c r="B82" s="5" t="str">
        <f t="shared" si="13"/>
        <v>II</v>
      </c>
      <c r="C82" s="99">
        <f t="shared" si="14"/>
        <v>48397.344700000001</v>
      </c>
      <c r="D82" s="45" t="str">
        <f t="shared" si="15"/>
        <v>vis</v>
      </c>
      <c r="E82" s="127">
        <f>VLOOKUP(C82,Active!C$21:E$973,3,FALSE)</f>
        <v>-13431.481597601791</v>
      </c>
      <c r="F82" s="5" t="s">
        <v>171</v>
      </c>
      <c r="G82" s="45" t="str">
        <f t="shared" si="16"/>
        <v>48397.3447</v>
      </c>
      <c r="H82" s="99">
        <f t="shared" si="17"/>
        <v>11206.5</v>
      </c>
      <c r="I82" s="128" t="s">
        <v>548</v>
      </c>
      <c r="J82" s="129" t="s">
        <v>549</v>
      </c>
      <c r="K82" s="128">
        <v>11206.5</v>
      </c>
      <c r="L82" s="128" t="s">
        <v>535</v>
      </c>
      <c r="M82" s="129" t="s">
        <v>313</v>
      </c>
      <c r="N82" s="129" t="s">
        <v>136</v>
      </c>
      <c r="O82" s="130" t="s">
        <v>518</v>
      </c>
      <c r="P82" s="131" t="s">
        <v>544</v>
      </c>
    </row>
    <row r="83" spans="1:16" ht="12.75" customHeight="1" thickBot="1" x14ac:dyDescent="0.25">
      <c r="A83" s="99" t="str">
        <f t="shared" si="12"/>
        <v>IBVS 3714 </v>
      </c>
      <c r="B83" s="5" t="str">
        <f t="shared" si="13"/>
        <v>I</v>
      </c>
      <c r="C83" s="99">
        <f t="shared" si="14"/>
        <v>48397.518700000001</v>
      </c>
      <c r="D83" s="45" t="str">
        <f t="shared" si="15"/>
        <v>vis</v>
      </c>
      <c r="E83" s="127">
        <f>VLOOKUP(C83,Active!C$21:E$973,3,FALSE)</f>
        <v>-13430.984551218515</v>
      </c>
      <c r="F83" s="5" t="s">
        <v>171</v>
      </c>
      <c r="G83" s="45" t="str">
        <f t="shared" si="16"/>
        <v>48397.5187</v>
      </c>
      <c r="H83" s="99">
        <f t="shared" si="17"/>
        <v>11207</v>
      </c>
      <c r="I83" s="128" t="s">
        <v>550</v>
      </c>
      <c r="J83" s="129" t="s">
        <v>551</v>
      </c>
      <c r="K83" s="128">
        <v>11207</v>
      </c>
      <c r="L83" s="128" t="s">
        <v>552</v>
      </c>
      <c r="M83" s="129" t="s">
        <v>313</v>
      </c>
      <c r="N83" s="129" t="s">
        <v>136</v>
      </c>
      <c r="O83" s="130" t="s">
        <v>518</v>
      </c>
      <c r="P83" s="131" t="s">
        <v>544</v>
      </c>
    </row>
    <row r="84" spans="1:16" ht="12.75" customHeight="1" thickBot="1" x14ac:dyDescent="0.25">
      <c r="A84" s="99" t="str">
        <f t="shared" si="12"/>
        <v>IBVS 3714 </v>
      </c>
      <c r="B84" s="5" t="str">
        <f t="shared" si="13"/>
        <v>I</v>
      </c>
      <c r="C84" s="99">
        <f t="shared" si="14"/>
        <v>48397.518700000001</v>
      </c>
      <c r="D84" s="45" t="str">
        <f t="shared" si="15"/>
        <v>vis</v>
      </c>
      <c r="E84" s="127">
        <f>VLOOKUP(C84,Active!C$21:E$973,3,FALSE)</f>
        <v>-13430.984551218515</v>
      </c>
      <c r="F84" s="5" t="s">
        <v>171</v>
      </c>
      <c r="G84" s="45" t="str">
        <f t="shared" si="16"/>
        <v>48397.5187</v>
      </c>
      <c r="H84" s="99">
        <f t="shared" si="17"/>
        <v>11207</v>
      </c>
      <c r="I84" s="128" t="s">
        <v>550</v>
      </c>
      <c r="J84" s="129" t="s">
        <v>551</v>
      </c>
      <c r="K84" s="128">
        <v>11207</v>
      </c>
      <c r="L84" s="128" t="s">
        <v>552</v>
      </c>
      <c r="M84" s="129" t="s">
        <v>313</v>
      </c>
      <c r="N84" s="129" t="s">
        <v>46</v>
      </c>
      <c r="O84" s="130" t="s">
        <v>518</v>
      </c>
      <c r="P84" s="131" t="s">
        <v>544</v>
      </c>
    </row>
    <row r="85" spans="1:16" ht="12.75" customHeight="1" thickBot="1" x14ac:dyDescent="0.25">
      <c r="A85" s="99" t="str">
        <f t="shared" si="12"/>
        <v>IBVS 3714 </v>
      </c>
      <c r="B85" s="5" t="str">
        <f t="shared" si="13"/>
        <v>II</v>
      </c>
      <c r="C85" s="99">
        <f t="shared" si="14"/>
        <v>48398.394800000002</v>
      </c>
      <c r="D85" s="45" t="str">
        <f t="shared" si="15"/>
        <v>vis</v>
      </c>
      <c r="E85" s="127">
        <f>VLOOKUP(C85,Active!C$21:E$973,3,FALSE)</f>
        <v>-13428.481894112811</v>
      </c>
      <c r="F85" s="5" t="s">
        <v>171</v>
      </c>
      <c r="G85" s="45" t="str">
        <f t="shared" si="16"/>
        <v>48398.3948</v>
      </c>
      <c r="H85" s="99">
        <f t="shared" si="17"/>
        <v>11209.5</v>
      </c>
      <c r="I85" s="128" t="s">
        <v>553</v>
      </c>
      <c r="J85" s="129" t="s">
        <v>554</v>
      </c>
      <c r="K85" s="128">
        <v>11209.5</v>
      </c>
      <c r="L85" s="128" t="s">
        <v>555</v>
      </c>
      <c r="M85" s="129" t="s">
        <v>313</v>
      </c>
      <c r="N85" s="129" t="s">
        <v>136</v>
      </c>
      <c r="O85" s="130" t="s">
        <v>518</v>
      </c>
      <c r="P85" s="131" t="s">
        <v>544</v>
      </c>
    </row>
    <row r="86" spans="1:16" ht="12.75" customHeight="1" thickBot="1" x14ac:dyDescent="0.25">
      <c r="A86" s="99" t="str">
        <f t="shared" si="12"/>
        <v>IBVS 3714 </v>
      </c>
      <c r="B86" s="5" t="str">
        <f t="shared" si="13"/>
        <v>II</v>
      </c>
      <c r="C86" s="99">
        <f t="shared" si="14"/>
        <v>48398.395299999996</v>
      </c>
      <c r="D86" s="45" t="str">
        <f t="shared" si="15"/>
        <v>vis</v>
      </c>
      <c r="E86" s="127">
        <f>VLOOKUP(C86,Active!C$21:E$973,3,FALSE)</f>
        <v>-13428.48046581862</v>
      </c>
      <c r="F86" s="5" t="s">
        <v>171</v>
      </c>
      <c r="G86" s="45" t="str">
        <f t="shared" si="16"/>
        <v>48398.3953</v>
      </c>
      <c r="H86" s="99">
        <f t="shared" si="17"/>
        <v>11209.5</v>
      </c>
      <c r="I86" s="128" t="s">
        <v>556</v>
      </c>
      <c r="J86" s="129" t="s">
        <v>557</v>
      </c>
      <c r="K86" s="128">
        <v>11209.5</v>
      </c>
      <c r="L86" s="128" t="s">
        <v>522</v>
      </c>
      <c r="M86" s="129" t="s">
        <v>313</v>
      </c>
      <c r="N86" s="129" t="s">
        <v>46</v>
      </c>
      <c r="O86" s="130" t="s">
        <v>518</v>
      </c>
      <c r="P86" s="131" t="s">
        <v>544</v>
      </c>
    </row>
    <row r="87" spans="1:16" ht="12.75" customHeight="1" thickBot="1" x14ac:dyDescent="0.25">
      <c r="A87" s="99" t="str">
        <f t="shared" si="12"/>
        <v> BBS 102 </v>
      </c>
      <c r="B87" s="5" t="str">
        <f t="shared" si="13"/>
        <v>I</v>
      </c>
      <c r="C87" s="99">
        <f t="shared" si="14"/>
        <v>48801.500999999997</v>
      </c>
      <c r="D87" s="45" t="str">
        <f t="shared" si="15"/>
        <v>vis</v>
      </c>
      <c r="E87" s="127">
        <f>VLOOKUP(C87,Active!C$21:E$973,3,FALSE)</f>
        <v>-12276.97339533239</v>
      </c>
      <c r="F87" s="5" t="s">
        <v>171</v>
      </c>
      <c r="G87" s="45" t="str">
        <f t="shared" si="16"/>
        <v>48801.501</v>
      </c>
      <c r="H87" s="99">
        <f t="shared" si="17"/>
        <v>12361</v>
      </c>
      <c r="I87" s="128" t="s">
        <v>558</v>
      </c>
      <c r="J87" s="129" t="s">
        <v>559</v>
      </c>
      <c r="K87" s="128">
        <v>12361</v>
      </c>
      <c r="L87" s="128" t="s">
        <v>560</v>
      </c>
      <c r="M87" s="129" t="s">
        <v>343</v>
      </c>
      <c r="N87" s="129"/>
      <c r="O87" s="130" t="s">
        <v>561</v>
      </c>
      <c r="P87" s="130" t="s">
        <v>562</v>
      </c>
    </row>
    <row r="88" spans="1:16" ht="12.75" customHeight="1" thickBot="1" x14ac:dyDescent="0.25">
      <c r="A88" s="99" t="str">
        <f t="shared" si="12"/>
        <v> BBS 107 </v>
      </c>
      <c r="B88" s="5" t="str">
        <f t="shared" si="13"/>
        <v>II</v>
      </c>
      <c r="C88" s="99">
        <f t="shared" si="14"/>
        <v>49480.442000000003</v>
      </c>
      <c r="D88" s="45" t="str">
        <f t="shared" si="15"/>
        <v>vis</v>
      </c>
      <c r="E88" s="127">
        <f>VLOOKUP(C88,Active!C$21:E$973,3,FALSE)</f>
        <v>-10337.518403892183</v>
      </c>
      <c r="F88" s="5" t="s">
        <v>171</v>
      </c>
      <c r="G88" s="45" t="str">
        <f t="shared" si="16"/>
        <v>49480.442</v>
      </c>
      <c r="H88" s="99">
        <f t="shared" si="17"/>
        <v>14300.5</v>
      </c>
      <c r="I88" s="128" t="s">
        <v>563</v>
      </c>
      <c r="J88" s="129" t="s">
        <v>564</v>
      </c>
      <c r="K88" s="128">
        <v>14300.5</v>
      </c>
      <c r="L88" s="128" t="s">
        <v>479</v>
      </c>
      <c r="M88" s="129" t="s">
        <v>343</v>
      </c>
      <c r="N88" s="129"/>
      <c r="O88" s="130" t="s">
        <v>561</v>
      </c>
      <c r="P88" s="130" t="s">
        <v>565</v>
      </c>
    </row>
    <row r="89" spans="1:16" ht="12.75" customHeight="1" thickBot="1" x14ac:dyDescent="0.25">
      <c r="A89" s="99" t="str">
        <f t="shared" si="12"/>
        <v> JAAVSO 40;975 </v>
      </c>
      <c r="B89" s="5" t="str">
        <f t="shared" si="13"/>
        <v>I</v>
      </c>
      <c r="C89" s="99">
        <f t="shared" si="14"/>
        <v>50590.684999999998</v>
      </c>
      <c r="D89" s="45" t="str">
        <f t="shared" si="15"/>
        <v>vis</v>
      </c>
      <c r="E89" s="127">
        <f>VLOOKUP(C89,Active!C$21:E$973,3,FALSE)</f>
        <v>-7166.0111181905959</v>
      </c>
      <c r="F89" s="5" t="s">
        <v>171</v>
      </c>
      <c r="G89" s="45" t="str">
        <f t="shared" si="16"/>
        <v>50590.685</v>
      </c>
      <c r="H89" s="99">
        <f t="shared" si="17"/>
        <v>17472</v>
      </c>
      <c r="I89" s="128" t="s">
        <v>566</v>
      </c>
      <c r="J89" s="129" t="s">
        <v>567</v>
      </c>
      <c r="K89" s="128">
        <v>17472</v>
      </c>
      <c r="L89" s="128" t="s">
        <v>568</v>
      </c>
      <c r="M89" s="129" t="s">
        <v>569</v>
      </c>
      <c r="N89" s="129" t="s">
        <v>117</v>
      </c>
      <c r="O89" s="130" t="s">
        <v>570</v>
      </c>
      <c r="P89" s="130" t="s">
        <v>571</v>
      </c>
    </row>
    <row r="90" spans="1:16" ht="12.75" customHeight="1" thickBot="1" x14ac:dyDescent="0.25">
      <c r="A90" s="99" t="str">
        <f t="shared" si="12"/>
        <v> JAAVSO 40;975 </v>
      </c>
      <c r="B90" s="5" t="str">
        <f t="shared" si="13"/>
        <v>I</v>
      </c>
      <c r="C90" s="99">
        <f t="shared" si="14"/>
        <v>51056.629000000001</v>
      </c>
      <c r="D90" s="45" t="str">
        <f t="shared" si="15"/>
        <v>vis</v>
      </c>
      <c r="E90" s="127">
        <f>VLOOKUP(C90,Active!C$21:E$973,3,FALSE)</f>
        <v>-5835.0008882418761</v>
      </c>
      <c r="F90" s="5" t="s">
        <v>171</v>
      </c>
      <c r="G90" s="45" t="str">
        <f t="shared" si="16"/>
        <v>51056.629</v>
      </c>
      <c r="H90" s="99">
        <f t="shared" si="17"/>
        <v>18803</v>
      </c>
      <c r="I90" s="128" t="s">
        <v>572</v>
      </c>
      <c r="J90" s="129" t="s">
        <v>573</v>
      </c>
      <c r="K90" s="128">
        <v>18803</v>
      </c>
      <c r="L90" s="128" t="s">
        <v>574</v>
      </c>
      <c r="M90" s="129" t="s">
        <v>569</v>
      </c>
      <c r="N90" s="129" t="s">
        <v>117</v>
      </c>
      <c r="O90" s="130" t="s">
        <v>570</v>
      </c>
      <c r="P90" s="130" t="s">
        <v>571</v>
      </c>
    </row>
    <row r="91" spans="1:16" ht="12.75" customHeight="1" thickBot="1" x14ac:dyDescent="0.25">
      <c r="A91" s="99" t="str">
        <f t="shared" si="12"/>
        <v> BRNO 32 </v>
      </c>
      <c r="B91" s="5" t="str">
        <f t="shared" si="13"/>
        <v>I</v>
      </c>
      <c r="C91" s="99">
        <f t="shared" si="14"/>
        <v>51600.644800000002</v>
      </c>
      <c r="D91" s="45" t="str">
        <f t="shared" si="15"/>
        <v>vis</v>
      </c>
      <c r="E91" s="127">
        <f>VLOOKUP(C91,Active!C$21:E$973,3,FALSE)</f>
        <v>-4280.9716592921877</v>
      </c>
      <c r="F91" s="5" t="s">
        <v>171</v>
      </c>
      <c r="G91" s="45" t="str">
        <f t="shared" si="16"/>
        <v>51600.6448</v>
      </c>
      <c r="H91" s="99">
        <f t="shared" si="17"/>
        <v>20357</v>
      </c>
      <c r="I91" s="128" t="s">
        <v>575</v>
      </c>
      <c r="J91" s="129" t="s">
        <v>576</v>
      </c>
      <c r="K91" s="128">
        <v>20357</v>
      </c>
      <c r="L91" s="128" t="s">
        <v>577</v>
      </c>
      <c r="M91" s="129" t="s">
        <v>343</v>
      </c>
      <c r="N91" s="129"/>
      <c r="O91" s="130" t="s">
        <v>578</v>
      </c>
      <c r="P91" s="130" t="s">
        <v>579</v>
      </c>
    </row>
    <row r="92" spans="1:16" ht="12.75" customHeight="1" thickBot="1" x14ac:dyDescent="0.25">
      <c r="A92" s="99" t="str">
        <f t="shared" si="12"/>
        <v>BAVM 152 </v>
      </c>
      <c r="B92" s="5" t="str">
        <f t="shared" si="13"/>
        <v>I</v>
      </c>
      <c r="C92" s="99">
        <f t="shared" si="14"/>
        <v>51636.342299999997</v>
      </c>
      <c r="D92" s="45" t="str">
        <f t="shared" si="15"/>
        <v>vis</v>
      </c>
      <c r="E92" s="127">
        <f>VLOOKUP(C92,Active!C$21:E$973,3,FALSE)</f>
        <v>-4178.9985945385115</v>
      </c>
      <c r="F92" s="5" t="s">
        <v>171</v>
      </c>
      <c r="G92" s="45" t="str">
        <f t="shared" si="16"/>
        <v>51636.3423</v>
      </c>
      <c r="H92" s="99">
        <f t="shared" si="17"/>
        <v>20459</v>
      </c>
      <c r="I92" s="128" t="s">
        <v>580</v>
      </c>
      <c r="J92" s="129" t="s">
        <v>581</v>
      </c>
      <c r="K92" s="128">
        <v>20459</v>
      </c>
      <c r="L92" s="128" t="s">
        <v>582</v>
      </c>
      <c r="M92" s="129" t="s">
        <v>313</v>
      </c>
      <c r="N92" s="129" t="s">
        <v>583</v>
      </c>
      <c r="O92" s="130" t="s">
        <v>584</v>
      </c>
      <c r="P92" s="131" t="s">
        <v>585</v>
      </c>
    </row>
    <row r="93" spans="1:16" ht="12.75" customHeight="1" thickBot="1" x14ac:dyDescent="0.25">
      <c r="A93" s="99" t="str">
        <f t="shared" si="12"/>
        <v>IBVS 5694 </v>
      </c>
      <c r="B93" s="5" t="str">
        <f t="shared" si="13"/>
        <v>I</v>
      </c>
      <c r="C93" s="99">
        <f t="shared" si="14"/>
        <v>52717.002999999997</v>
      </c>
      <c r="D93" s="45" t="str">
        <f t="shared" si="15"/>
        <v>vis</v>
      </c>
      <c r="E93" s="127">
        <f>VLOOKUP(C93,Active!C$21:E$973,3,FALSE)</f>
        <v>-1091.9957641478729</v>
      </c>
      <c r="F93" s="5" t="s">
        <v>171</v>
      </c>
      <c r="G93" s="45" t="str">
        <f t="shared" si="16"/>
        <v>52717.0030</v>
      </c>
      <c r="H93" s="99">
        <f t="shared" si="17"/>
        <v>23546</v>
      </c>
      <c r="I93" s="128" t="s">
        <v>590</v>
      </c>
      <c r="J93" s="129" t="s">
        <v>591</v>
      </c>
      <c r="K93" s="128">
        <v>23546</v>
      </c>
      <c r="L93" s="128" t="s">
        <v>456</v>
      </c>
      <c r="M93" s="129" t="s">
        <v>313</v>
      </c>
      <c r="N93" s="129" t="s">
        <v>314</v>
      </c>
      <c r="O93" s="130" t="s">
        <v>592</v>
      </c>
      <c r="P93" s="131" t="s">
        <v>593</v>
      </c>
    </row>
    <row r="94" spans="1:16" ht="12.75" customHeight="1" thickBot="1" x14ac:dyDescent="0.25">
      <c r="A94" s="99" t="str">
        <f t="shared" si="12"/>
        <v>IBVS 5694 </v>
      </c>
      <c r="B94" s="5" t="str">
        <f t="shared" si="13"/>
        <v>II</v>
      </c>
      <c r="C94" s="99">
        <f t="shared" si="14"/>
        <v>52717.178399999997</v>
      </c>
      <c r="D94" s="45" t="str">
        <f t="shared" si="15"/>
        <v>vis</v>
      </c>
      <c r="E94" s="127">
        <f>VLOOKUP(C94,Active!C$21:E$973,3,FALSE)</f>
        <v>-1091.4947185408189</v>
      </c>
      <c r="F94" s="5" t="s">
        <v>171</v>
      </c>
      <c r="G94" s="45" t="str">
        <f t="shared" si="16"/>
        <v>52717.1784</v>
      </c>
      <c r="H94" s="99">
        <f t="shared" si="17"/>
        <v>23546.5</v>
      </c>
      <c r="I94" s="128" t="s">
        <v>594</v>
      </c>
      <c r="J94" s="129" t="s">
        <v>595</v>
      </c>
      <c r="K94" s="128">
        <v>23546.5</v>
      </c>
      <c r="L94" s="128" t="s">
        <v>596</v>
      </c>
      <c r="M94" s="129" t="s">
        <v>313</v>
      </c>
      <c r="N94" s="129" t="s">
        <v>314</v>
      </c>
      <c r="O94" s="130" t="s">
        <v>592</v>
      </c>
      <c r="P94" s="131" t="s">
        <v>593</v>
      </c>
    </row>
    <row r="95" spans="1:16" ht="12.75" customHeight="1" thickBot="1" x14ac:dyDescent="0.25">
      <c r="A95" s="99" t="str">
        <f t="shared" si="12"/>
        <v>IBVS 5502 </v>
      </c>
      <c r="B95" s="5" t="str">
        <f t="shared" si="13"/>
        <v>II</v>
      </c>
      <c r="C95" s="99">
        <f t="shared" si="14"/>
        <v>52729.781999999999</v>
      </c>
      <c r="D95" s="45" t="str">
        <f t="shared" si="15"/>
        <v>vis</v>
      </c>
      <c r="E95" s="127">
        <f>VLOOKUP(C95,Active!C$21:E$973,3,FALSE)</f>
        <v>-1055.4914208608736</v>
      </c>
      <c r="F95" s="5" t="s">
        <v>171</v>
      </c>
      <c r="G95" s="45" t="str">
        <f t="shared" si="16"/>
        <v>52729.7820</v>
      </c>
      <c r="H95" s="99">
        <f t="shared" si="17"/>
        <v>23582.5</v>
      </c>
      <c r="I95" s="128" t="s">
        <v>597</v>
      </c>
      <c r="J95" s="129" t="s">
        <v>598</v>
      </c>
      <c r="K95" s="128">
        <v>23582.5</v>
      </c>
      <c r="L95" s="128" t="s">
        <v>385</v>
      </c>
      <c r="M95" s="129" t="s">
        <v>313</v>
      </c>
      <c r="N95" s="129" t="s">
        <v>314</v>
      </c>
      <c r="O95" s="130" t="s">
        <v>599</v>
      </c>
      <c r="P95" s="131" t="s">
        <v>600</v>
      </c>
    </row>
    <row r="96" spans="1:16" ht="12.75" customHeight="1" thickBot="1" x14ac:dyDescent="0.25">
      <c r="A96" s="99" t="str">
        <f t="shared" si="12"/>
        <v>IBVS 5592 </v>
      </c>
      <c r="B96" s="5" t="str">
        <f t="shared" si="13"/>
        <v>II</v>
      </c>
      <c r="C96" s="99">
        <f t="shared" si="14"/>
        <v>53092.451399999998</v>
      </c>
      <c r="D96" s="45" t="str">
        <f t="shared" si="15"/>
        <v>vis</v>
      </c>
      <c r="E96" s="127">
        <f>VLOOKUP(C96,Active!C$21:E$973,3,FALSE)</f>
        <v>-19.494216284015426</v>
      </c>
      <c r="F96" s="5" t="s">
        <v>171</v>
      </c>
      <c r="G96" s="45" t="str">
        <f t="shared" si="16"/>
        <v>53092.4514</v>
      </c>
      <c r="H96" s="99">
        <f t="shared" si="17"/>
        <v>24618.5</v>
      </c>
      <c r="I96" s="128" t="s">
        <v>601</v>
      </c>
      <c r="J96" s="129" t="s">
        <v>602</v>
      </c>
      <c r="K96" s="128">
        <v>24618.5</v>
      </c>
      <c r="L96" s="128" t="s">
        <v>603</v>
      </c>
      <c r="M96" s="129" t="s">
        <v>313</v>
      </c>
      <c r="N96" s="129" t="s">
        <v>314</v>
      </c>
      <c r="O96" s="130" t="s">
        <v>604</v>
      </c>
      <c r="P96" s="131" t="s">
        <v>605</v>
      </c>
    </row>
    <row r="97" spans="1:16" ht="12.75" customHeight="1" thickBot="1" x14ac:dyDescent="0.25">
      <c r="A97" s="99" t="str">
        <f t="shared" si="12"/>
        <v>IBVS 5592 </v>
      </c>
      <c r="B97" s="5" t="str">
        <f t="shared" si="13"/>
        <v>II</v>
      </c>
      <c r="C97" s="99">
        <f t="shared" si="14"/>
        <v>53099.450700000001</v>
      </c>
      <c r="D97" s="45" t="str">
        <f t="shared" si="15"/>
        <v>vis</v>
      </c>
      <c r="E97" s="127">
        <f>VLOOKUP(C97,Active!C$21:E$973,3,FALSE)</f>
        <v>0.49990297169809716</v>
      </c>
      <c r="F97" s="5" t="s">
        <v>171</v>
      </c>
      <c r="G97" s="45" t="str">
        <f t="shared" si="16"/>
        <v>53099.4507</v>
      </c>
      <c r="H97" s="99">
        <f t="shared" si="17"/>
        <v>24638.5</v>
      </c>
      <c r="I97" s="128" t="s">
        <v>606</v>
      </c>
      <c r="J97" s="129" t="s">
        <v>607</v>
      </c>
      <c r="K97" s="128">
        <v>24638.5</v>
      </c>
      <c r="L97" s="128" t="s">
        <v>608</v>
      </c>
      <c r="M97" s="129" t="s">
        <v>313</v>
      </c>
      <c r="N97" s="129" t="s">
        <v>314</v>
      </c>
      <c r="O97" s="130" t="s">
        <v>604</v>
      </c>
      <c r="P97" s="131" t="s">
        <v>605</v>
      </c>
    </row>
    <row r="98" spans="1:16" ht="12.75" customHeight="1" thickBot="1" x14ac:dyDescent="0.25">
      <c r="A98" s="99" t="str">
        <f t="shared" si="12"/>
        <v>VSB 43 </v>
      </c>
      <c r="B98" s="5" t="str">
        <f t="shared" si="13"/>
        <v>I</v>
      </c>
      <c r="C98" s="99">
        <f t="shared" si="14"/>
        <v>53172.089699999997</v>
      </c>
      <c r="D98" s="45" t="str">
        <f t="shared" si="15"/>
        <v>vis</v>
      </c>
      <c r="E98" s="127">
        <f>VLOOKUP(C98,Active!C$21:E$973,3,FALSE)</f>
        <v>207.99962846068075</v>
      </c>
      <c r="F98" s="5" t="s">
        <v>171</v>
      </c>
      <c r="G98" s="45" t="str">
        <f t="shared" si="16"/>
        <v>53172.0897</v>
      </c>
      <c r="H98" s="99">
        <f t="shared" si="17"/>
        <v>24846</v>
      </c>
      <c r="I98" s="128" t="s">
        <v>609</v>
      </c>
      <c r="J98" s="129" t="s">
        <v>610</v>
      </c>
      <c r="K98" s="128">
        <v>24846</v>
      </c>
      <c r="L98" s="128" t="s">
        <v>608</v>
      </c>
      <c r="M98" s="129" t="s">
        <v>313</v>
      </c>
      <c r="N98" s="129" t="s">
        <v>314</v>
      </c>
      <c r="O98" s="130" t="s">
        <v>611</v>
      </c>
      <c r="P98" s="131" t="s">
        <v>612</v>
      </c>
    </row>
    <row r="99" spans="1:16" ht="12.75" customHeight="1" thickBot="1" x14ac:dyDescent="0.25">
      <c r="A99" s="99" t="str">
        <f t="shared" si="12"/>
        <v>VSB 44 </v>
      </c>
      <c r="B99" s="5" t="str">
        <f t="shared" si="13"/>
        <v>I</v>
      </c>
      <c r="C99" s="99">
        <f t="shared" si="14"/>
        <v>53425.1898</v>
      </c>
      <c r="D99" s="45" t="str">
        <f t="shared" si="15"/>
        <v>vis</v>
      </c>
      <c r="E99" s="127">
        <f>VLOOKUP(C99,Active!C$21:E$973,3,FALSE)</f>
        <v>931.00244060344073</v>
      </c>
      <c r="F99" s="5" t="s">
        <v>171</v>
      </c>
      <c r="G99" s="45" t="str">
        <f t="shared" si="16"/>
        <v>53425.1898</v>
      </c>
      <c r="H99" s="99">
        <f t="shared" si="17"/>
        <v>25569</v>
      </c>
      <c r="I99" s="128" t="s">
        <v>620</v>
      </c>
      <c r="J99" s="129" t="s">
        <v>621</v>
      </c>
      <c r="K99" s="128">
        <v>25569</v>
      </c>
      <c r="L99" s="128" t="s">
        <v>622</v>
      </c>
      <c r="M99" s="129" t="s">
        <v>313</v>
      </c>
      <c r="N99" s="129" t="s">
        <v>314</v>
      </c>
      <c r="O99" s="130" t="s">
        <v>611</v>
      </c>
      <c r="P99" s="131" t="s">
        <v>623</v>
      </c>
    </row>
    <row r="100" spans="1:16" ht="12.75" customHeight="1" thickBot="1" x14ac:dyDescent="0.25">
      <c r="A100" s="99" t="str">
        <f t="shared" si="12"/>
        <v>BAVM 178 </v>
      </c>
      <c r="B100" s="5" t="str">
        <f t="shared" si="13"/>
        <v>II</v>
      </c>
      <c r="C100" s="99">
        <f t="shared" si="14"/>
        <v>53634.357799999998</v>
      </c>
      <c r="D100" s="45" t="str">
        <f t="shared" si="15"/>
        <v>vis</v>
      </c>
      <c r="E100" s="127">
        <f>VLOOKUP(C100,Active!C$21:E$973,3,FALSE)</f>
        <v>1528.5093250743409</v>
      </c>
      <c r="F100" s="5" t="s">
        <v>171</v>
      </c>
      <c r="G100" s="45" t="str">
        <f t="shared" si="16"/>
        <v>53634.3578</v>
      </c>
      <c r="H100" s="99">
        <f t="shared" si="17"/>
        <v>26166.5</v>
      </c>
      <c r="I100" s="128" t="s">
        <v>624</v>
      </c>
      <c r="J100" s="129" t="s">
        <v>625</v>
      </c>
      <c r="K100" s="128">
        <v>26166.5</v>
      </c>
      <c r="L100" s="128" t="s">
        <v>324</v>
      </c>
      <c r="M100" s="129" t="s">
        <v>569</v>
      </c>
      <c r="N100" s="129" t="s">
        <v>583</v>
      </c>
      <c r="O100" s="130" t="s">
        <v>626</v>
      </c>
      <c r="P100" s="131" t="s">
        <v>627</v>
      </c>
    </row>
    <row r="101" spans="1:16" ht="12.75" customHeight="1" thickBot="1" x14ac:dyDescent="0.25">
      <c r="A101" s="99" t="str">
        <f t="shared" si="12"/>
        <v>BAVM 178 </v>
      </c>
      <c r="B101" s="5" t="str">
        <f t="shared" si="13"/>
        <v>I</v>
      </c>
      <c r="C101" s="99">
        <f t="shared" si="14"/>
        <v>53634.521999999997</v>
      </c>
      <c r="D101" s="45" t="str">
        <f t="shared" si="15"/>
        <v>vis</v>
      </c>
      <c r="E101" s="127">
        <f>VLOOKUP(C101,Active!C$21:E$973,3,FALSE)</f>
        <v>1528.9783768912043</v>
      </c>
      <c r="F101" s="5" t="s">
        <v>171</v>
      </c>
      <c r="G101" s="45" t="str">
        <f t="shared" si="16"/>
        <v>53634.5220</v>
      </c>
      <c r="H101" s="99">
        <f t="shared" si="17"/>
        <v>26167</v>
      </c>
      <c r="I101" s="128" t="s">
        <v>628</v>
      </c>
      <c r="J101" s="129" t="s">
        <v>629</v>
      </c>
      <c r="K101" s="128">
        <v>26167</v>
      </c>
      <c r="L101" s="128" t="s">
        <v>630</v>
      </c>
      <c r="M101" s="129" t="s">
        <v>569</v>
      </c>
      <c r="N101" s="129" t="s">
        <v>583</v>
      </c>
      <c r="O101" s="130" t="s">
        <v>626</v>
      </c>
      <c r="P101" s="131" t="s">
        <v>627</v>
      </c>
    </row>
    <row r="102" spans="1:16" ht="12.75" customHeight="1" thickBot="1" x14ac:dyDescent="0.25">
      <c r="A102" s="99" t="str">
        <f t="shared" si="12"/>
        <v>OEJV 0074 </v>
      </c>
      <c r="B102" s="5" t="str">
        <f t="shared" si="13"/>
        <v>I</v>
      </c>
      <c r="C102" s="99">
        <f t="shared" si="14"/>
        <v>53750.400199999996</v>
      </c>
      <c r="D102" s="45" t="str">
        <f t="shared" si="15"/>
        <v>vis</v>
      </c>
      <c r="E102" s="127">
        <f>VLOOKUP(C102,Active!C$21:E$973,3,FALSE)</f>
        <v>1859.994699942991</v>
      </c>
      <c r="F102" s="5" t="s">
        <v>171</v>
      </c>
      <c r="G102" s="45" t="str">
        <f t="shared" si="16"/>
        <v>53750.40020</v>
      </c>
      <c r="H102" s="99">
        <f t="shared" si="17"/>
        <v>26498</v>
      </c>
      <c r="I102" s="128" t="s">
        <v>631</v>
      </c>
      <c r="J102" s="129" t="s">
        <v>632</v>
      </c>
      <c r="K102" s="128">
        <v>26498</v>
      </c>
      <c r="L102" s="128" t="s">
        <v>633</v>
      </c>
      <c r="M102" s="129" t="s">
        <v>569</v>
      </c>
      <c r="N102" s="129" t="s">
        <v>151</v>
      </c>
      <c r="O102" s="130" t="s">
        <v>634</v>
      </c>
      <c r="P102" s="131" t="s">
        <v>589</v>
      </c>
    </row>
    <row r="103" spans="1:16" ht="12.75" customHeight="1" thickBot="1" x14ac:dyDescent="0.25">
      <c r="A103" s="99" t="str">
        <f t="shared" si="12"/>
        <v>IBVS 5820 </v>
      </c>
      <c r="B103" s="5" t="str">
        <f t="shared" si="13"/>
        <v>II</v>
      </c>
      <c r="C103" s="99">
        <f t="shared" si="14"/>
        <v>54220.736700000001</v>
      </c>
      <c r="D103" s="45" t="str">
        <f t="shared" si="15"/>
        <v>vis</v>
      </c>
      <c r="E103" s="127">
        <f>VLOOKUP(C103,Active!C$21:E$973,3,FALSE)</f>
        <v>3203.5524944811295</v>
      </c>
      <c r="F103" s="5" t="s">
        <v>171</v>
      </c>
      <c r="G103" s="45" t="str">
        <f t="shared" si="16"/>
        <v>54220.7367</v>
      </c>
      <c r="H103" s="99">
        <f t="shared" si="17"/>
        <v>27841.5</v>
      </c>
      <c r="I103" s="128" t="s">
        <v>635</v>
      </c>
      <c r="J103" s="129" t="s">
        <v>636</v>
      </c>
      <c r="K103" s="128">
        <v>27841.5</v>
      </c>
      <c r="L103" s="128" t="s">
        <v>637</v>
      </c>
      <c r="M103" s="129" t="s">
        <v>569</v>
      </c>
      <c r="N103" s="129" t="s">
        <v>46</v>
      </c>
      <c r="O103" s="130" t="s">
        <v>638</v>
      </c>
      <c r="P103" s="131" t="s">
        <v>639</v>
      </c>
    </row>
    <row r="104" spans="1:16" ht="12.75" customHeight="1" thickBot="1" x14ac:dyDescent="0.25">
      <c r="A104" s="99" t="str">
        <f t="shared" si="12"/>
        <v>BAVM 204 </v>
      </c>
      <c r="B104" s="5" t="str">
        <f t="shared" si="13"/>
        <v>I</v>
      </c>
      <c r="C104" s="99">
        <f t="shared" si="14"/>
        <v>54390.317000000003</v>
      </c>
      <c r="D104" s="45" t="str">
        <f t="shared" si="15"/>
        <v>vis</v>
      </c>
      <c r="E104" s="127">
        <f>VLOOKUP(C104,Active!C$21:E$973,3,FALSE)</f>
        <v>3687.9736139671049</v>
      </c>
      <c r="F104" s="5" t="s">
        <v>171</v>
      </c>
      <c r="G104" s="45" t="str">
        <f t="shared" si="16"/>
        <v>54390.317</v>
      </c>
      <c r="H104" s="99">
        <f t="shared" si="17"/>
        <v>28326</v>
      </c>
      <c r="I104" s="128" t="s">
        <v>640</v>
      </c>
      <c r="J104" s="129" t="s">
        <v>641</v>
      </c>
      <c r="K104" s="128">
        <v>28326</v>
      </c>
      <c r="L104" s="128" t="s">
        <v>348</v>
      </c>
      <c r="M104" s="129" t="s">
        <v>343</v>
      </c>
      <c r="N104" s="129"/>
      <c r="O104" s="130" t="s">
        <v>642</v>
      </c>
      <c r="P104" s="131" t="s">
        <v>643</v>
      </c>
    </row>
    <row r="105" spans="1:16" ht="12.75" customHeight="1" thickBot="1" x14ac:dyDescent="0.25">
      <c r="A105" s="99" t="str">
        <f t="shared" si="12"/>
        <v>BAVM 201 </v>
      </c>
      <c r="B105" s="5" t="str">
        <f t="shared" si="13"/>
        <v>II</v>
      </c>
      <c r="C105" s="99">
        <f t="shared" si="14"/>
        <v>54597.3891</v>
      </c>
      <c r="D105" s="45" t="str">
        <f t="shared" si="15"/>
        <v>vis</v>
      </c>
      <c r="E105" s="127">
        <f>VLOOKUP(C105,Active!C$21:E$973,3,FALSE)</f>
        <v>4279.4933747902069</v>
      </c>
      <c r="F105" s="5" t="s">
        <v>171</v>
      </c>
      <c r="G105" s="45" t="str">
        <f t="shared" si="16"/>
        <v>54597.3891</v>
      </c>
      <c r="H105" s="99">
        <f t="shared" si="17"/>
        <v>28917.5</v>
      </c>
      <c r="I105" s="128" t="s">
        <v>649</v>
      </c>
      <c r="J105" s="129" t="s">
        <v>650</v>
      </c>
      <c r="K105" s="128">
        <v>28917.5</v>
      </c>
      <c r="L105" s="128" t="s">
        <v>651</v>
      </c>
      <c r="M105" s="129" t="s">
        <v>569</v>
      </c>
      <c r="N105" s="129" t="s">
        <v>652</v>
      </c>
      <c r="O105" s="130" t="s">
        <v>653</v>
      </c>
      <c r="P105" s="131" t="s">
        <v>654</v>
      </c>
    </row>
    <row r="106" spans="1:16" ht="12.75" customHeight="1" thickBot="1" x14ac:dyDescent="0.25">
      <c r="A106" s="99" t="str">
        <f t="shared" si="12"/>
        <v>BAVM 201 </v>
      </c>
      <c r="B106" s="5" t="str">
        <f t="shared" si="13"/>
        <v>I</v>
      </c>
      <c r="C106" s="99">
        <f t="shared" si="14"/>
        <v>54597.566299999999</v>
      </c>
      <c r="D106" s="45" t="str">
        <f t="shared" si="15"/>
        <v>vis</v>
      </c>
      <c r="E106" s="127">
        <f>VLOOKUP(C106,Active!C$21:E$973,3,FALSE)</f>
        <v>4279.9995622563929</v>
      </c>
      <c r="F106" s="5" t="s">
        <v>171</v>
      </c>
      <c r="G106" s="45" t="str">
        <f t="shared" si="16"/>
        <v>54597.5663</v>
      </c>
      <c r="H106" s="99">
        <f t="shared" si="17"/>
        <v>28918</v>
      </c>
      <c r="I106" s="128" t="s">
        <v>655</v>
      </c>
      <c r="J106" s="129" t="s">
        <v>656</v>
      </c>
      <c r="K106" s="128" t="s">
        <v>657</v>
      </c>
      <c r="L106" s="128" t="s">
        <v>327</v>
      </c>
      <c r="M106" s="129" t="s">
        <v>569</v>
      </c>
      <c r="N106" s="129" t="s">
        <v>652</v>
      </c>
      <c r="O106" s="130" t="s">
        <v>653</v>
      </c>
      <c r="P106" s="131" t="s">
        <v>654</v>
      </c>
    </row>
    <row r="107" spans="1:16" ht="12.75" customHeight="1" thickBot="1" x14ac:dyDescent="0.25">
      <c r="A107" s="99" t="str">
        <f t="shared" ref="A107:A138" si="18">P107</f>
        <v>IBVS 5938 </v>
      </c>
      <c r="B107" s="5" t="str">
        <f t="shared" ref="B107:B138" si="19">IF(H107=INT(H107),"I","II")</f>
        <v>II</v>
      </c>
      <c r="C107" s="99">
        <f t="shared" ref="C107:C138" si="20">1*G107</f>
        <v>54898.797100000003</v>
      </c>
      <c r="D107" s="45" t="str">
        <f t="shared" ref="D107:D138" si="21">VLOOKUP(F107,I$1:J$5,2,FALSE)</f>
        <v>vis</v>
      </c>
      <c r="E107" s="127">
        <f>VLOOKUP(C107,Active!C$21:E$973,3,FALSE)</f>
        <v>5140.4919741677832</v>
      </c>
      <c r="F107" s="5" t="s">
        <v>171</v>
      </c>
      <c r="G107" s="45" t="str">
        <f t="shared" ref="G107:G138" si="22">MID(I107,3,LEN(I107)-3)</f>
        <v>54898.7971</v>
      </c>
      <c r="H107" s="99">
        <f t="shared" ref="H107:H138" si="23">1*K107</f>
        <v>29778.5</v>
      </c>
      <c r="I107" s="128" t="s">
        <v>658</v>
      </c>
      <c r="J107" s="129" t="s">
        <v>659</v>
      </c>
      <c r="K107" s="128" t="s">
        <v>660</v>
      </c>
      <c r="L107" s="128" t="s">
        <v>661</v>
      </c>
      <c r="M107" s="129" t="s">
        <v>569</v>
      </c>
      <c r="N107" s="129" t="s">
        <v>171</v>
      </c>
      <c r="O107" s="130" t="s">
        <v>599</v>
      </c>
      <c r="P107" s="131" t="s">
        <v>662</v>
      </c>
    </row>
    <row r="108" spans="1:16" ht="12.75" customHeight="1" thickBot="1" x14ac:dyDescent="0.25">
      <c r="A108" s="99" t="str">
        <f t="shared" si="18"/>
        <v>IBVS 5929 </v>
      </c>
      <c r="B108" s="5" t="str">
        <f t="shared" si="19"/>
        <v>I</v>
      </c>
      <c r="C108" s="99">
        <f t="shared" si="20"/>
        <v>54943.779300000002</v>
      </c>
      <c r="D108" s="45" t="str">
        <f t="shared" si="21"/>
        <v>vis</v>
      </c>
      <c r="E108" s="127">
        <f>VLOOKUP(C108,Active!C$21:E$973,3,FALSE)</f>
        <v>5268.9876053286025</v>
      </c>
      <c r="F108" s="5" t="s">
        <v>171</v>
      </c>
      <c r="G108" s="45" t="str">
        <f t="shared" si="22"/>
        <v>54943.7793</v>
      </c>
      <c r="H108" s="99">
        <f t="shared" si="23"/>
        <v>29907</v>
      </c>
      <c r="I108" s="128" t="s">
        <v>670</v>
      </c>
      <c r="J108" s="129" t="s">
        <v>671</v>
      </c>
      <c r="K108" s="128" t="s">
        <v>672</v>
      </c>
      <c r="L108" s="128" t="s">
        <v>608</v>
      </c>
      <c r="M108" s="129" t="s">
        <v>569</v>
      </c>
      <c r="N108" s="129" t="s">
        <v>151</v>
      </c>
      <c r="O108" s="130" t="s">
        <v>638</v>
      </c>
      <c r="P108" s="131" t="s">
        <v>673</v>
      </c>
    </row>
    <row r="109" spans="1:16" ht="12.75" customHeight="1" thickBot="1" x14ac:dyDescent="0.25">
      <c r="A109" s="99" t="str">
        <f t="shared" si="18"/>
        <v>IBVS 5974 </v>
      </c>
      <c r="B109" s="5" t="str">
        <f t="shared" si="19"/>
        <v>I</v>
      </c>
      <c r="C109" s="99">
        <f t="shared" si="20"/>
        <v>55238.885600000001</v>
      </c>
      <c r="D109" s="45" t="str">
        <f t="shared" si="21"/>
        <v>vis</v>
      </c>
      <c r="E109" s="127">
        <f>VLOOKUP(C109,Active!C$21:E$973,3,FALSE)</f>
        <v>6111.9848415250399</v>
      </c>
      <c r="F109" s="5" t="s">
        <v>171</v>
      </c>
      <c r="G109" s="45" t="str">
        <f t="shared" si="22"/>
        <v>55238.8856</v>
      </c>
      <c r="H109" s="99">
        <f t="shared" si="23"/>
        <v>30750</v>
      </c>
      <c r="I109" s="128" t="s">
        <v>674</v>
      </c>
      <c r="J109" s="129" t="s">
        <v>675</v>
      </c>
      <c r="K109" s="128" t="s">
        <v>676</v>
      </c>
      <c r="L109" s="128" t="s">
        <v>447</v>
      </c>
      <c r="M109" s="129" t="s">
        <v>569</v>
      </c>
      <c r="N109" s="129" t="s">
        <v>171</v>
      </c>
      <c r="O109" s="130" t="s">
        <v>599</v>
      </c>
      <c r="P109" s="131" t="s">
        <v>677</v>
      </c>
    </row>
    <row r="110" spans="1:16" ht="12.75" customHeight="1" thickBot="1" x14ac:dyDescent="0.25">
      <c r="A110" s="99" t="str">
        <f t="shared" si="18"/>
        <v>IBVS 6007 </v>
      </c>
      <c r="B110" s="5" t="str">
        <f t="shared" si="19"/>
        <v>II</v>
      </c>
      <c r="C110" s="99">
        <f t="shared" si="20"/>
        <v>55323.430979999997</v>
      </c>
      <c r="D110" s="45" t="str">
        <f t="shared" si="21"/>
        <v>vis</v>
      </c>
      <c r="E110" s="127">
        <f>VLOOKUP(C110,Active!C$21:E$973,3,FALSE)</f>
        <v>6353.4961941229822</v>
      </c>
      <c r="F110" s="5" t="s">
        <v>171</v>
      </c>
      <c r="G110" s="45" t="str">
        <f t="shared" si="22"/>
        <v>55323.43098</v>
      </c>
      <c r="H110" s="99">
        <f t="shared" si="23"/>
        <v>30991.5</v>
      </c>
      <c r="I110" s="128" t="s">
        <v>684</v>
      </c>
      <c r="J110" s="129" t="s">
        <v>685</v>
      </c>
      <c r="K110" s="128" t="s">
        <v>686</v>
      </c>
      <c r="L110" s="128" t="s">
        <v>687</v>
      </c>
      <c r="M110" s="129" t="s">
        <v>569</v>
      </c>
      <c r="N110" s="129" t="s">
        <v>53</v>
      </c>
      <c r="O110" s="130" t="s">
        <v>688</v>
      </c>
      <c r="P110" s="131" t="s">
        <v>689</v>
      </c>
    </row>
    <row r="111" spans="1:16" ht="12.75" customHeight="1" thickBot="1" x14ac:dyDescent="0.25">
      <c r="A111" s="99" t="str">
        <f t="shared" si="18"/>
        <v>IBVS 6007 </v>
      </c>
      <c r="B111" s="5" t="str">
        <f t="shared" si="19"/>
        <v>I</v>
      </c>
      <c r="C111" s="99">
        <f t="shared" si="20"/>
        <v>55329.55416</v>
      </c>
      <c r="D111" s="45" t="str">
        <f t="shared" si="21"/>
        <v>vis</v>
      </c>
      <c r="E111" s="127">
        <f>VLOOKUP(C111,Active!C$21:E$973,3,FALSE)</f>
        <v>6370.9875991412255</v>
      </c>
      <c r="F111" s="5" t="s">
        <v>171</v>
      </c>
      <c r="G111" s="45" t="str">
        <f t="shared" si="22"/>
        <v>55329.55416</v>
      </c>
      <c r="H111" s="99">
        <f t="shared" si="23"/>
        <v>31009</v>
      </c>
      <c r="I111" s="128" t="s">
        <v>690</v>
      </c>
      <c r="J111" s="129" t="s">
        <v>691</v>
      </c>
      <c r="K111" s="128" t="s">
        <v>692</v>
      </c>
      <c r="L111" s="128" t="s">
        <v>693</v>
      </c>
      <c r="M111" s="129" t="s">
        <v>569</v>
      </c>
      <c r="N111" s="129" t="s">
        <v>53</v>
      </c>
      <c r="O111" s="130" t="s">
        <v>688</v>
      </c>
      <c r="P111" s="131" t="s">
        <v>689</v>
      </c>
    </row>
    <row r="112" spans="1:16" ht="12.75" customHeight="1" thickBot="1" x14ac:dyDescent="0.25">
      <c r="A112" s="99" t="str">
        <f t="shared" si="18"/>
        <v>IBVS 6007 </v>
      </c>
      <c r="B112" s="5" t="str">
        <f t="shared" si="19"/>
        <v>II</v>
      </c>
      <c r="C112" s="99">
        <f t="shared" si="20"/>
        <v>55664.397369999999</v>
      </c>
      <c r="D112" s="45" t="str">
        <f t="shared" si="21"/>
        <v>vis</v>
      </c>
      <c r="E112" s="127">
        <f>VLOOKUP(C112,Active!C$21:E$973,3,FALSE)</f>
        <v>7327.4968318792016</v>
      </c>
      <c r="F112" s="5" t="s">
        <v>171</v>
      </c>
      <c r="G112" s="45" t="str">
        <f t="shared" si="22"/>
        <v>55664.39737</v>
      </c>
      <c r="H112" s="99">
        <f t="shared" si="23"/>
        <v>31965.5</v>
      </c>
      <c r="I112" s="128" t="s">
        <v>706</v>
      </c>
      <c r="J112" s="129" t="s">
        <v>707</v>
      </c>
      <c r="K112" s="128" t="s">
        <v>708</v>
      </c>
      <c r="L112" s="128" t="s">
        <v>709</v>
      </c>
      <c r="M112" s="129" t="s">
        <v>569</v>
      </c>
      <c r="N112" s="129" t="s">
        <v>151</v>
      </c>
      <c r="O112" s="130" t="s">
        <v>688</v>
      </c>
      <c r="P112" s="131" t="s">
        <v>689</v>
      </c>
    </row>
    <row r="113" spans="1:16" ht="12.75" customHeight="1" thickBot="1" x14ac:dyDescent="0.25">
      <c r="A113" s="99" t="str">
        <f t="shared" si="18"/>
        <v>OEJV 0160 </v>
      </c>
      <c r="B113" s="5" t="str">
        <f t="shared" si="19"/>
        <v>II</v>
      </c>
      <c r="C113" s="99">
        <f t="shared" si="20"/>
        <v>55960.552069999998</v>
      </c>
      <c r="D113" s="45" t="str">
        <f t="shared" si="21"/>
        <v>vis</v>
      </c>
      <c r="E113" s="127">
        <f>VLOOKUP(C113,Active!C$21:E$973,3,FALSE)</f>
        <v>8173.4889153643207</v>
      </c>
      <c r="F113" s="5" t="s">
        <v>171</v>
      </c>
      <c r="G113" s="45" t="str">
        <f t="shared" si="22"/>
        <v>55960.55207</v>
      </c>
      <c r="H113" s="99">
        <f t="shared" si="23"/>
        <v>32811.5</v>
      </c>
      <c r="I113" s="128" t="s">
        <v>710</v>
      </c>
      <c r="J113" s="129" t="s">
        <v>711</v>
      </c>
      <c r="K113" s="128" t="s">
        <v>712</v>
      </c>
      <c r="L113" s="128" t="s">
        <v>713</v>
      </c>
      <c r="M113" s="129" t="s">
        <v>569</v>
      </c>
      <c r="N113" s="129" t="s">
        <v>171</v>
      </c>
      <c r="O113" s="130" t="s">
        <v>714</v>
      </c>
      <c r="P113" s="131" t="s">
        <v>715</v>
      </c>
    </row>
    <row r="114" spans="1:16" ht="12.75" customHeight="1" thickBot="1" x14ac:dyDescent="0.25">
      <c r="A114" s="99" t="str">
        <f t="shared" si="18"/>
        <v>OEJV 0160 </v>
      </c>
      <c r="B114" s="5" t="str">
        <f t="shared" si="19"/>
        <v>II</v>
      </c>
      <c r="C114" s="99">
        <f t="shared" si="20"/>
        <v>55960.552170000003</v>
      </c>
      <c r="D114" s="45" t="str">
        <f t="shared" si="21"/>
        <v>vis</v>
      </c>
      <c r="E114" s="127">
        <f>VLOOKUP(C114,Active!C$21:E$973,3,FALSE)</f>
        <v>8173.4892010231752</v>
      </c>
      <c r="F114" s="5" t="s">
        <v>171</v>
      </c>
      <c r="G114" s="45" t="str">
        <f t="shared" si="22"/>
        <v>55960.55217</v>
      </c>
      <c r="H114" s="99">
        <f t="shared" si="23"/>
        <v>32811.5</v>
      </c>
      <c r="I114" s="128" t="s">
        <v>716</v>
      </c>
      <c r="J114" s="129" t="s">
        <v>717</v>
      </c>
      <c r="K114" s="128" t="s">
        <v>712</v>
      </c>
      <c r="L114" s="128" t="s">
        <v>718</v>
      </c>
      <c r="M114" s="129" t="s">
        <v>569</v>
      </c>
      <c r="N114" s="129" t="s">
        <v>151</v>
      </c>
      <c r="O114" s="130" t="s">
        <v>714</v>
      </c>
      <c r="P114" s="131" t="s">
        <v>715</v>
      </c>
    </row>
    <row r="115" spans="1:16" ht="12.75" customHeight="1" thickBot="1" x14ac:dyDescent="0.25">
      <c r="A115" s="99" t="str">
        <f t="shared" si="18"/>
        <v>OEJV 0160 </v>
      </c>
      <c r="B115" s="5" t="str">
        <f t="shared" si="19"/>
        <v>II</v>
      </c>
      <c r="C115" s="99">
        <f t="shared" si="20"/>
        <v>55960.55227</v>
      </c>
      <c r="D115" s="45" t="str">
        <f t="shared" si="21"/>
        <v>vis</v>
      </c>
      <c r="E115" s="127">
        <f>VLOOKUP(C115,Active!C$21:E$973,3,FALSE)</f>
        <v>8173.4894866820086</v>
      </c>
      <c r="F115" s="5" t="s">
        <v>171</v>
      </c>
      <c r="G115" s="45" t="str">
        <f t="shared" si="22"/>
        <v>55960.55227</v>
      </c>
      <c r="H115" s="99">
        <f t="shared" si="23"/>
        <v>32811.5</v>
      </c>
      <c r="I115" s="128" t="s">
        <v>719</v>
      </c>
      <c r="J115" s="129" t="s">
        <v>717</v>
      </c>
      <c r="K115" s="128" t="s">
        <v>712</v>
      </c>
      <c r="L115" s="128" t="s">
        <v>720</v>
      </c>
      <c r="M115" s="129" t="s">
        <v>569</v>
      </c>
      <c r="N115" s="129" t="s">
        <v>53</v>
      </c>
      <c r="O115" s="130" t="s">
        <v>714</v>
      </c>
      <c r="P115" s="131" t="s">
        <v>715</v>
      </c>
    </row>
    <row r="116" spans="1:16" ht="12.75" customHeight="1" thickBot="1" x14ac:dyDescent="0.25">
      <c r="A116" s="99" t="str">
        <f t="shared" si="18"/>
        <v>OEJV 0160 </v>
      </c>
      <c r="B116" s="5" t="str">
        <f t="shared" si="19"/>
        <v>II</v>
      </c>
      <c r="C116" s="99">
        <f t="shared" si="20"/>
        <v>55960.552470000002</v>
      </c>
      <c r="D116" s="45" t="str">
        <f t="shared" si="21"/>
        <v>vis</v>
      </c>
      <c r="E116" s="127">
        <f>VLOOKUP(C116,Active!C$21:E$973,3,FALSE)</f>
        <v>8173.4900579996975</v>
      </c>
      <c r="F116" s="5" t="s">
        <v>171</v>
      </c>
      <c r="G116" s="45" t="str">
        <f t="shared" si="22"/>
        <v>55960.55247</v>
      </c>
      <c r="H116" s="99">
        <f t="shared" si="23"/>
        <v>32811.5</v>
      </c>
      <c r="I116" s="128" t="s">
        <v>721</v>
      </c>
      <c r="J116" s="129" t="s">
        <v>717</v>
      </c>
      <c r="K116" s="128" t="s">
        <v>712</v>
      </c>
      <c r="L116" s="128" t="s">
        <v>722</v>
      </c>
      <c r="M116" s="129" t="s">
        <v>569</v>
      </c>
      <c r="N116" s="129" t="s">
        <v>46</v>
      </c>
      <c r="O116" s="130" t="s">
        <v>714</v>
      </c>
      <c r="P116" s="131" t="s">
        <v>715</v>
      </c>
    </row>
    <row r="117" spans="1:16" ht="12.75" customHeight="1" thickBot="1" x14ac:dyDescent="0.25">
      <c r="A117" s="99" t="str">
        <f t="shared" si="18"/>
        <v>OEJV 0160 </v>
      </c>
      <c r="B117" s="5" t="str">
        <f t="shared" si="19"/>
        <v>I</v>
      </c>
      <c r="C117" s="99">
        <f t="shared" si="20"/>
        <v>55960.726170000002</v>
      </c>
      <c r="D117" s="45" t="str">
        <f t="shared" si="21"/>
        <v>vis</v>
      </c>
      <c r="E117" s="127">
        <f>VLOOKUP(C117,Active!C$21:E$973,3,FALSE)</f>
        <v>8173.9862474064521</v>
      </c>
      <c r="F117" s="5" t="s">
        <v>171</v>
      </c>
      <c r="G117" s="45" t="str">
        <f t="shared" si="22"/>
        <v>55960.72617</v>
      </c>
      <c r="H117" s="99">
        <f t="shared" si="23"/>
        <v>32812</v>
      </c>
      <c r="I117" s="128" t="s">
        <v>723</v>
      </c>
      <c r="J117" s="129" t="s">
        <v>724</v>
      </c>
      <c r="K117" s="128" t="s">
        <v>725</v>
      </c>
      <c r="L117" s="128" t="s">
        <v>726</v>
      </c>
      <c r="M117" s="129" t="s">
        <v>569</v>
      </c>
      <c r="N117" s="129" t="s">
        <v>151</v>
      </c>
      <c r="O117" s="130" t="s">
        <v>714</v>
      </c>
      <c r="P117" s="131" t="s">
        <v>715</v>
      </c>
    </row>
    <row r="118" spans="1:16" ht="12.75" customHeight="1" thickBot="1" x14ac:dyDescent="0.25">
      <c r="A118" s="99" t="str">
        <f t="shared" si="18"/>
        <v>OEJV 0160 </v>
      </c>
      <c r="B118" s="5" t="str">
        <f t="shared" si="19"/>
        <v>I</v>
      </c>
      <c r="C118" s="99">
        <f t="shared" si="20"/>
        <v>55960.726770000001</v>
      </c>
      <c r="D118" s="45" t="str">
        <f t="shared" si="21"/>
        <v>vis</v>
      </c>
      <c r="E118" s="127">
        <f>VLOOKUP(C118,Active!C$21:E$973,3,FALSE)</f>
        <v>8173.9879613594967</v>
      </c>
      <c r="F118" s="5" t="s">
        <v>171</v>
      </c>
      <c r="G118" s="45" t="str">
        <f t="shared" si="22"/>
        <v>55960.72677</v>
      </c>
      <c r="H118" s="99">
        <f t="shared" si="23"/>
        <v>32812</v>
      </c>
      <c r="I118" s="128" t="s">
        <v>727</v>
      </c>
      <c r="J118" s="129" t="s">
        <v>728</v>
      </c>
      <c r="K118" s="128" t="s">
        <v>725</v>
      </c>
      <c r="L118" s="128" t="s">
        <v>729</v>
      </c>
      <c r="M118" s="129" t="s">
        <v>569</v>
      </c>
      <c r="N118" s="129" t="s">
        <v>171</v>
      </c>
      <c r="O118" s="130" t="s">
        <v>714</v>
      </c>
      <c r="P118" s="131" t="s">
        <v>715</v>
      </c>
    </row>
    <row r="119" spans="1:16" ht="12.75" customHeight="1" thickBot="1" x14ac:dyDescent="0.25">
      <c r="A119" s="99" t="str">
        <f t="shared" si="18"/>
        <v>IBVS 6114 </v>
      </c>
      <c r="B119" s="5" t="str">
        <f t="shared" si="19"/>
        <v>I</v>
      </c>
      <c r="C119" s="99">
        <f t="shared" si="20"/>
        <v>55992.58077</v>
      </c>
      <c r="D119" s="45" t="str">
        <f t="shared" si="21"/>
        <v>vis</v>
      </c>
      <c r="E119" s="127">
        <f>VLOOKUP(C119,Active!C$21:E$973,3,FALSE)</f>
        <v>8264.9817285606732</v>
      </c>
      <c r="F119" s="5" t="s">
        <v>171</v>
      </c>
      <c r="G119" s="45" t="str">
        <f t="shared" si="22"/>
        <v>55992.58077</v>
      </c>
      <c r="H119" s="99">
        <f t="shared" si="23"/>
        <v>32903</v>
      </c>
      <c r="I119" s="128" t="s">
        <v>730</v>
      </c>
      <c r="J119" s="129" t="s">
        <v>731</v>
      </c>
      <c r="K119" s="128" t="s">
        <v>732</v>
      </c>
      <c r="L119" s="128" t="s">
        <v>733</v>
      </c>
      <c r="M119" s="129" t="s">
        <v>569</v>
      </c>
      <c r="N119" s="129" t="s">
        <v>151</v>
      </c>
      <c r="O119" s="130" t="s">
        <v>688</v>
      </c>
      <c r="P119" s="131" t="s">
        <v>734</v>
      </c>
    </row>
    <row r="120" spans="1:16" ht="12.75" customHeight="1" thickBot="1" x14ac:dyDescent="0.25">
      <c r="A120" s="99" t="str">
        <f t="shared" si="18"/>
        <v>BAVM 228 </v>
      </c>
      <c r="B120" s="5" t="str">
        <f t="shared" si="19"/>
        <v>I</v>
      </c>
      <c r="C120" s="99">
        <f t="shared" si="20"/>
        <v>56001.331200000001</v>
      </c>
      <c r="D120" s="45" t="str">
        <f t="shared" si="21"/>
        <v>vis</v>
      </c>
      <c r="E120" s="127">
        <f>VLOOKUP(C120,Active!C$21:E$973,3,FALSE)</f>
        <v>8289.9781054781797</v>
      </c>
      <c r="F120" s="5" t="s">
        <v>171</v>
      </c>
      <c r="G120" s="45" t="str">
        <f t="shared" si="22"/>
        <v>56001.3312</v>
      </c>
      <c r="H120" s="99">
        <f t="shared" si="23"/>
        <v>32928</v>
      </c>
      <c r="I120" s="128" t="s">
        <v>735</v>
      </c>
      <c r="J120" s="129" t="s">
        <v>736</v>
      </c>
      <c r="K120" s="128" t="s">
        <v>737</v>
      </c>
      <c r="L120" s="128" t="s">
        <v>435</v>
      </c>
      <c r="M120" s="129" t="s">
        <v>569</v>
      </c>
      <c r="N120" s="129" t="s">
        <v>583</v>
      </c>
      <c r="O120" s="130" t="s">
        <v>626</v>
      </c>
      <c r="P120" s="131" t="s">
        <v>738</v>
      </c>
    </row>
    <row r="121" spans="1:16" ht="12.75" customHeight="1" thickBot="1" x14ac:dyDescent="0.25">
      <c r="A121" s="99" t="str">
        <f t="shared" si="18"/>
        <v>BAVM 228 </v>
      </c>
      <c r="B121" s="5" t="str">
        <f t="shared" si="19"/>
        <v>II</v>
      </c>
      <c r="C121" s="99">
        <f t="shared" si="20"/>
        <v>56001.510799999996</v>
      </c>
      <c r="D121" s="45" t="str">
        <f t="shared" si="21"/>
        <v>vis</v>
      </c>
      <c r="E121" s="127">
        <f>VLOOKUP(C121,Active!C$21:E$973,3,FALSE)</f>
        <v>8290.4911487565423</v>
      </c>
      <c r="F121" s="5" t="s">
        <v>171</v>
      </c>
      <c r="G121" s="45" t="str">
        <f t="shared" si="22"/>
        <v>56001.5108</v>
      </c>
      <c r="H121" s="99">
        <f t="shared" si="23"/>
        <v>32928.5</v>
      </c>
      <c r="I121" s="128" t="s">
        <v>739</v>
      </c>
      <c r="J121" s="129" t="s">
        <v>740</v>
      </c>
      <c r="K121" s="128" t="s">
        <v>741</v>
      </c>
      <c r="L121" s="128" t="s">
        <v>742</v>
      </c>
      <c r="M121" s="129" t="s">
        <v>569</v>
      </c>
      <c r="N121" s="129" t="s">
        <v>583</v>
      </c>
      <c r="O121" s="130" t="s">
        <v>626</v>
      </c>
      <c r="P121" s="131" t="s">
        <v>738</v>
      </c>
    </row>
    <row r="122" spans="1:16" ht="12.75" customHeight="1" thickBot="1" x14ac:dyDescent="0.25">
      <c r="A122" s="99" t="str">
        <f t="shared" si="18"/>
        <v>BAVM 228 </v>
      </c>
      <c r="B122" s="5" t="str">
        <f t="shared" si="19"/>
        <v>II</v>
      </c>
      <c r="C122" s="99">
        <f t="shared" si="20"/>
        <v>56007.462</v>
      </c>
      <c r="D122" s="45" t="str">
        <f t="shared" si="21"/>
        <v>vis</v>
      </c>
      <c r="E122" s="127">
        <f>VLOOKUP(C122,Active!C$21:E$973,3,FALSE)</f>
        <v>8307.4912777000955</v>
      </c>
      <c r="F122" s="5" t="s">
        <v>171</v>
      </c>
      <c r="G122" s="45" t="str">
        <f t="shared" si="22"/>
        <v>56007.4620</v>
      </c>
      <c r="H122" s="99">
        <f t="shared" si="23"/>
        <v>32945.5</v>
      </c>
      <c r="I122" s="128" t="s">
        <v>743</v>
      </c>
      <c r="J122" s="129" t="s">
        <v>744</v>
      </c>
      <c r="K122" s="128" t="s">
        <v>745</v>
      </c>
      <c r="L122" s="128" t="s">
        <v>388</v>
      </c>
      <c r="M122" s="129" t="s">
        <v>569</v>
      </c>
      <c r="N122" s="129" t="s">
        <v>652</v>
      </c>
      <c r="O122" s="130" t="s">
        <v>653</v>
      </c>
      <c r="P122" s="131" t="s">
        <v>738</v>
      </c>
    </row>
    <row r="123" spans="1:16" ht="12.75" customHeight="1" thickBot="1" x14ac:dyDescent="0.25">
      <c r="A123" s="99" t="str">
        <f t="shared" si="18"/>
        <v>BAVM 228 </v>
      </c>
      <c r="B123" s="5" t="str">
        <f t="shared" si="19"/>
        <v>I</v>
      </c>
      <c r="C123" s="99">
        <f t="shared" si="20"/>
        <v>56007.636299999998</v>
      </c>
      <c r="D123" s="45" t="str">
        <f t="shared" si="21"/>
        <v>vis</v>
      </c>
      <c r="E123" s="127">
        <f>VLOOKUP(C123,Active!C$21:E$973,3,FALSE)</f>
        <v>8307.9891810598947</v>
      </c>
      <c r="F123" s="5" t="s">
        <v>171</v>
      </c>
      <c r="G123" s="45" t="str">
        <f t="shared" si="22"/>
        <v>56007.6363</v>
      </c>
      <c r="H123" s="99">
        <f t="shared" si="23"/>
        <v>32946</v>
      </c>
      <c r="I123" s="128" t="s">
        <v>746</v>
      </c>
      <c r="J123" s="129" t="s">
        <v>747</v>
      </c>
      <c r="K123" s="128">
        <v>32946</v>
      </c>
      <c r="L123" s="128" t="s">
        <v>748</v>
      </c>
      <c r="M123" s="129" t="s">
        <v>569</v>
      </c>
      <c r="N123" s="129" t="s">
        <v>652</v>
      </c>
      <c r="O123" s="130" t="s">
        <v>653</v>
      </c>
      <c r="P123" s="131" t="s">
        <v>738</v>
      </c>
    </row>
    <row r="124" spans="1:16" ht="12.75" customHeight="1" thickBot="1" x14ac:dyDescent="0.25">
      <c r="A124" s="99" t="str">
        <f t="shared" si="18"/>
        <v>BAVM 231 </v>
      </c>
      <c r="B124" s="5" t="str">
        <f t="shared" si="19"/>
        <v>II</v>
      </c>
      <c r="C124" s="99">
        <f t="shared" si="20"/>
        <v>56187.404900000001</v>
      </c>
      <c r="D124" s="45" t="str">
        <f t="shared" si="21"/>
        <v>vis</v>
      </c>
      <c r="E124" s="127">
        <f>VLOOKUP(C124,Active!C$21:E$973,3,FALSE)</f>
        <v>8821.514080239971</v>
      </c>
      <c r="F124" s="5" t="s">
        <v>171</v>
      </c>
      <c r="G124" s="45" t="str">
        <f t="shared" si="22"/>
        <v>56187.4049</v>
      </c>
      <c r="H124" s="99">
        <f t="shared" si="23"/>
        <v>33459.5</v>
      </c>
      <c r="I124" s="128" t="s">
        <v>754</v>
      </c>
      <c r="J124" s="129" t="s">
        <v>755</v>
      </c>
      <c r="K124" s="128">
        <v>33459.5</v>
      </c>
      <c r="L124" s="128" t="s">
        <v>756</v>
      </c>
      <c r="M124" s="129" t="s">
        <v>569</v>
      </c>
      <c r="N124" s="129" t="s">
        <v>652</v>
      </c>
      <c r="O124" s="130" t="s">
        <v>653</v>
      </c>
      <c r="P124" s="131" t="s">
        <v>757</v>
      </c>
    </row>
    <row r="125" spans="1:16" ht="12.75" customHeight="1" thickBot="1" x14ac:dyDescent="0.25">
      <c r="A125" s="99" t="str">
        <f t="shared" si="18"/>
        <v>IBVS 6114 </v>
      </c>
      <c r="B125" s="5" t="str">
        <f t="shared" si="19"/>
        <v>II</v>
      </c>
      <c r="C125" s="99">
        <f t="shared" si="20"/>
        <v>56390.439319999998</v>
      </c>
      <c r="D125" s="45" t="str">
        <f t="shared" si="21"/>
        <v>vis</v>
      </c>
      <c r="E125" s="127">
        <f>VLOOKUP(C125,Active!C$21:E$973,3,FALSE)</f>
        <v>9401.4998511731701</v>
      </c>
      <c r="F125" s="5" t="s">
        <v>171</v>
      </c>
      <c r="G125" s="45" t="str">
        <f t="shared" si="22"/>
        <v>56390.43932</v>
      </c>
      <c r="H125" s="99">
        <f t="shared" si="23"/>
        <v>34039.5</v>
      </c>
      <c r="I125" s="128" t="s">
        <v>758</v>
      </c>
      <c r="J125" s="129" t="s">
        <v>759</v>
      </c>
      <c r="K125" s="128">
        <v>34039.5</v>
      </c>
      <c r="L125" s="128" t="s">
        <v>760</v>
      </c>
      <c r="M125" s="129" t="s">
        <v>569</v>
      </c>
      <c r="N125" s="129" t="s">
        <v>151</v>
      </c>
      <c r="O125" s="130" t="s">
        <v>688</v>
      </c>
      <c r="P125" s="131" t="s">
        <v>734</v>
      </c>
    </row>
    <row r="126" spans="1:16" ht="12.75" customHeight="1" thickBot="1" x14ac:dyDescent="0.25">
      <c r="A126" s="99" t="str">
        <f t="shared" si="18"/>
        <v>IBVS 6114 </v>
      </c>
      <c r="B126" s="5" t="str">
        <f t="shared" si="19"/>
        <v>I</v>
      </c>
      <c r="C126" s="99">
        <f t="shared" si="20"/>
        <v>56390.610950000002</v>
      </c>
      <c r="D126" s="45" t="str">
        <f t="shared" si="21"/>
        <v>vis</v>
      </c>
      <c r="E126" s="127">
        <f>VLOOKUP(C126,Active!C$21:E$973,3,FALSE)</f>
        <v>9401.9901274419317</v>
      </c>
      <c r="F126" s="5" t="s">
        <v>171</v>
      </c>
      <c r="G126" s="45" t="str">
        <f t="shared" si="22"/>
        <v>56390.61095</v>
      </c>
      <c r="H126" s="99">
        <f t="shared" si="23"/>
        <v>34040</v>
      </c>
      <c r="I126" s="128" t="s">
        <v>761</v>
      </c>
      <c r="J126" s="129" t="s">
        <v>762</v>
      </c>
      <c r="K126" s="128">
        <v>34040</v>
      </c>
      <c r="L126" s="128" t="s">
        <v>763</v>
      </c>
      <c r="M126" s="129" t="s">
        <v>569</v>
      </c>
      <c r="N126" s="129" t="s">
        <v>151</v>
      </c>
      <c r="O126" s="130" t="s">
        <v>688</v>
      </c>
      <c r="P126" s="131" t="s">
        <v>734</v>
      </c>
    </row>
    <row r="127" spans="1:16" ht="12.75" customHeight="1" thickBot="1" x14ac:dyDescent="0.25">
      <c r="A127" s="99" t="str">
        <f t="shared" si="18"/>
        <v>BAVM 232 </v>
      </c>
      <c r="B127" s="5" t="str">
        <f t="shared" si="19"/>
        <v>I</v>
      </c>
      <c r="C127" s="99">
        <f t="shared" si="20"/>
        <v>56408.4591</v>
      </c>
      <c r="D127" s="45" t="str">
        <f t="shared" si="21"/>
        <v>vis</v>
      </c>
      <c r="E127" s="127">
        <f>VLOOKUP(C127,Active!C$21:E$973,3,FALSE)</f>
        <v>9452.9749458657261</v>
      </c>
      <c r="F127" s="5" t="s">
        <v>171</v>
      </c>
      <c r="G127" s="45" t="str">
        <f t="shared" si="22"/>
        <v>56408.4591</v>
      </c>
      <c r="H127" s="99">
        <f t="shared" si="23"/>
        <v>34091</v>
      </c>
      <c r="I127" s="128" t="s">
        <v>764</v>
      </c>
      <c r="J127" s="129" t="s">
        <v>765</v>
      </c>
      <c r="K127" s="128">
        <v>34091</v>
      </c>
      <c r="L127" s="128" t="s">
        <v>766</v>
      </c>
      <c r="M127" s="129" t="s">
        <v>569</v>
      </c>
      <c r="N127" s="129" t="s">
        <v>652</v>
      </c>
      <c r="O127" s="130" t="s">
        <v>653</v>
      </c>
      <c r="P127" s="131" t="s">
        <v>767</v>
      </c>
    </row>
    <row r="128" spans="1:16" ht="12.75" customHeight="1" thickBot="1" x14ac:dyDescent="0.25">
      <c r="A128" s="99" t="str">
        <f t="shared" si="18"/>
        <v>IBVS 6114 </v>
      </c>
      <c r="B128" s="5" t="str">
        <f t="shared" si="19"/>
        <v>I</v>
      </c>
      <c r="C128" s="99">
        <f t="shared" si="20"/>
        <v>56650.712070000001</v>
      </c>
      <c r="D128" s="45" t="str">
        <f t="shared" si="21"/>
        <v>vis</v>
      </c>
      <c r="E128" s="127">
        <f>VLOOKUP(C128,Active!C$21:E$973,3,FALSE)</f>
        <v>10144.991972172451</v>
      </c>
      <c r="F128" s="5" t="s">
        <v>171</v>
      </c>
      <c r="G128" s="45" t="str">
        <f t="shared" si="22"/>
        <v>56650.71207</v>
      </c>
      <c r="H128" s="99">
        <f t="shared" si="23"/>
        <v>34783</v>
      </c>
      <c r="I128" s="128" t="s">
        <v>768</v>
      </c>
      <c r="J128" s="129" t="s">
        <v>769</v>
      </c>
      <c r="K128" s="128">
        <v>34783</v>
      </c>
      <c r="L128" s="128" t="s">
        <v>770</v>
      </c>
      <c r="M128" s="129" t="s">
        <v>569</v>
      </c>
      <c r="N128" s="129" t="s">
        <v>151</v>
      </c>
      <c r="O128" s="130" t="s">
        <v>688</v>
      </c>
      <c r="P128" s="131" t="s">
        <v>734</v>
      </c>
    </row>
    <row r="129" spans="1:16" ht="12.75" customHeight="1" thickBot="1" x14ac:dyDescent="0.25">
      <c r="A129" s="99" t="str">
        <f t="shared" si="18"/>
        <v>IBVS 6114 </v>
      </c>
      <c r="B129" s="5" t="str">
        <f t="shared" si="19"/>
        <v>I</v>
      </c>
      <c r="C129" s="99">
        <f t="shared" si="20"/>
        <v>56656.652990000002</v>
      </c>
      <c r="D129" s="45" t="str">
        <f t="shared" si="21"/>
        <v>vis</v>
      </c>
      <c r="E129" s="127">
        <f>VLOOKUP(C129,Active!C$21:E$973,3,FALSE)</f>
        <v>10161.962735387146</v>
      </c>
      <c r="F129" s="5" t="s">
        <v>171</v>
      </c>
      <c r="G129" s="45" t="str">
        <f t="shared" si="22"/>
        <v>56656.65299</v>
      </c>
      <c r="H129" s="99">
        <f t="shared" si="23"/>
        <v>34800</v>
      </c>
      <c r="I129" s="128" t="s">
        <v>771</v>
      </c>
      <c r="J129" s="129" t="s">
        <v>772</v>
      </c>
      <c r="K129" s="128">
        <v>34800</v>
      </c>
      <c r="L129" s="128" t="s">
        <v>773</v>
      </c>
      <c r="M129" s="129" t="s">
        <v>569</v>
      </c>
      <c r="N129" s="129" t="s">
        <v>151</v>
      </c>
      <c r="O129" s="130" t="s">
        <v>688</v>
      </c>
      <c r="P129" s="131" t="s">
        <v>734</v>
      </c>
    </row>
    <row r="130" spans="1:16" ht="12.75" customHeight="1" thickBot="1" x14ac:dyDescent="0.25">
      <c r="A130" s="99" t="str">
        <f t="shared" si="18"/>
        <v>IBVS 6114 </v>
      </c>
      <c r="B130" s="5" t="str">
        <f t="shared" si="19"/>
        <v>I</v>
      </c>
      <c r="C130" s="99">
        <f t="shared" si="20"/>
        <v>56754.339269999997</v>
      </c>
      <c r="D130" s="45" t="str">
        <f t="shared" si="21"/>
        <v>vis</v>
      </c>
      <c r="E130" s="127">
        <f>VLOOKUP(C130,Active!C$21:E$973,3,FALSE)</f>
        <v>10441.012230617531</v>
      </c>
      <c r="F130" s="5" t="s">
        <v>171</v>
      </c>
      <c r="G130" s="45" t="str">
        <f t="shared" si="22"/>
        <v>56754.33927</v>
      </c>
      <c r="H130" s="99">
        <f t="shared" si="23"/>
        <v>35079</v>
      </c>
      <c r="I130" s="128" t="s">
        <v>774</v>
      </c>
      <c r="J130" s="129" t="s">
        <v>775</v>
      </c>
      <c r="K130" s="128">
        <v>35079</v>
      </c>
      <c r="L130" s="128" t="s">
        <v>776</v>
      </c>
      <c r="M130" s="129" t="s">
        <v>569</v>
      </c>
      <c r="N130" s="129" t="s">
        <v>151</v>
      </c>
      <c r="O130" s="130" t="s">
        <v>688</v>
      </c>
      <c r="P130" s="131" t="s">
        <v>734</v>
      </c>
    </row>
    <row r="131" spans="1:16" ht="12.75" customHeight="1" thickBot="1" x14ac:dyDescent="0.25">
      <c r="A131" s="99" t="str">
        <f t="shared" si="18"/>
        <v>IBVS 6114 </v>
      </c>
      <c r="B131" s="5" t="str">
        <f t="shared" si="19"/>
        <v>II</v>
      </c>
      <c r="C131" s="99">
        <f t="shared" si="20"/>
        <v>56754.50548</v>
      </c>
      <c r="D131" s="45" t="str">
        <f t="shared" si="21"/>
        <v>vis</v>
      </c>
      <c r="E131" s="127">
        <f>VLOOKUP(C131,Active!C$21:E$973,3,FALSE)</f>
        <v>10441.48702417711</v>
      </c>
      <c r="F131" s="5" t="s">
        <v>171</v>
      </c>
      <c r="G131" s="45" t="str">
        <f t="shared" si="22"/>
        <v>56754.50548</v>
      </c>
      <c r="H131" s="99">
        <f t="shared" si="23"/>
        <v>35079.5</v>
      </c>
      <c r="I131" s="128" t="s">
        <v>777</v>
      </c>
      <c r="J131" s="129" t="s">
        <v>778</v>
      </c>
      <c r="K131" s="128">
        <v>35079.5</v>
      </c>
      <c r="L131" s="128" t="s">
        <v>779</v>
      </c>
      <c r="M131" s="129" t="s">
        <v>569</v>
      </c>
      <c r="N131" s="129" t="s">
        <v>151</v>
      </c>
      <c r="O131" s="130" t="s">
        <v>688</v>
      </c>
      <c r="P131" s="131" t="s">
        <v>734</v>
      </c>
    </row>
    <row r="132" spans="1:16" ht="12.75" customHeight="1" thickBot="1" x14ac:dyDescent="0.25">
      <c r="A132" s="99" t="str">
        <f t="shared" si="18"/>
        <v>IBVS 3377 </v>
      </c>
      <c r="B132" s="5" t="str">
        <f t="shared" si="19"/>
        <v>I</v>
      </c>
      <c r="C132" s="99">
        <f t="shared" si="20"/>
        <v>47672.532599999999</v>
      </c>
      <c r="D132" s="45" t="str">
        <f t="shared" si="21"/>
        <v>vis</v>
      </c>
      <c r="E132" s="127">
        <f>VLOOKUP(C132,Active!C$21:E$973,3,FALSE)</f>
        <v>-15501.971441640157</v>
      </c>
      <c r="F132" s="5" t="s">
        <v>171</v>
      </c>
      <c r="G132" s="45" t="str">
        <f t="shared" si="22"/>
        <v>47672.5326</v>
      </c>
      <c r="H132" s="99">
        <f t="shared" si="23"/>
        <v>9136</v>
      </c>
      <c r="I132" s="128" t="s">
        <v>523</v>
      </c>
      <c r="J132" s="129" t="s">
        <v>524</v>
      </c>
      <c r="K132" s="128">
        <v>9136</v>
      </c>
      <c r="L132" s="128" t="s">
        <v>525</v>
      </c>
      <c r="M132" s="129" t="s">
        <v>313</v>
      </c>
      <c r="N132" s="129" t="s">
        <v>314</v>
      </c>
      <c r="O132" s="130" t="s">
        <v>518</v>
      </c>
      <c r="P132" s="131" t="s">
        <v>519</v>
      </c>
    </row>
    <row r="133" spans="1:16" ht="12.75" customHeight="1" thickBot="1" x14ac:dyDescent="0.25">
      <c r="A133" s="99" t="str">
        <f t="shared" si="18"/>
        <v>IBVS 3538 </v>
      </c>
      <c r="B133" s="5" t="str">
        <f t="shared" si="19"/>
        <v>II</v>
      </c>
      <c r="C133" s="99">
        <f t="shared" si="20"/>
        <v>48035.375800000002</v>
      </c>
      <c r="D133" s="45" t="str">
        <f t="shared" si="21"/>
        <v>PE</v>
      </c>
      <c r="E133" s="127">
        <f>VLOOKUP(C133,Active!C$21:E$973,3,FALSE)</f>
        <v>-14465.477761997689</v>
      </c>
      <c r="F133" s="5" t="str">
        <f>LEFT(M133,1)</f>
        <v>E</v>
      </c>
      <c r="G133" s="45" t="str">
        <f t="shared" si="22"/>
        <v>48035.3758</v>
      </c>
      <c r="H133" s="99">
        <f t="shared" si="23"/>
        <v>10172.5</v>
      </c>
      <c r="I133" s="128" t="s">
        <v>539</v>
      </c>
      <c r="J133" s="129" t="s">
        <v>540</v>
      </c>
      <c r="K133" s="128">
        <v>10172.5</v>
      </c>
      <c r="L133" s="128" t="s">
        <v>531</v>
      </c>
      <c r="M133" s="129" t="s">
        <v>313</v>
      </c>
      <c r="N133" s="129" t="s">
        <v>314</v>
      </c>
      <c r="O133" s="130" t="s">
        <v>518</v>
      </c>
      <c r="P133" s="131" t="s">
        <v>532</v>
      </c>
    </row>
    <row r="134" spans="1:16" ht="12.75" customHeight="1" thickBot="1" x14ac:dyDescent="0.25">
      <c r="A134" s="99" t="str">
        <f t="shared" si="18"/>
        <v>OEJV 0074 </v>
      </c>
      <c r="B134" s="5" t="str">
        <f t="shared" si="19"/>
        <v>I</v>
      </c>
      <c r="C134" s="99">
        <f t="shared" si="20"/>
        <v>52119.440999999999</v>
      </c>
      <c r="D134" s="45" t="str">
        <f t="shared" si="21"/>
        <v>vis</v>
      </c>
      <c r="E134" s="127">
        <f>VLOOKUP(C134,Active!C$21:E$973,3,FALSE)</f>
        <v>-2798.9844473986695</v>
      </c>
      <c r="F134" s="5" t="s">
        <v>171</v>
      </c>
      <c r="G134" s="45" t="str">
        <f t="shared" si="22"/>
        <v>52119.441</v>
      </c>
      <c r="H134" s="99">
        <f t="shared" si="23"/>
        <v>21839</v>
      </c>
      <c r="I134" s="128" t="s">
        <v>586</v>
      </c>
      <c r="J134" s="129" t="s">
        <v>587</v>
      </c>
      <c r="K134" s="128">
        <v>21839</v>
      </c>
      <c r="L134" s="128" t="s">
        <v>364</v>
      </c>
      <c r="M134" s="129" t="s">
        <v>343</v>
      </c>
      <c r="N134" s="129"/>
      <c r="O134" s="130" t="s">
        <v>588</v>
      </c>
      <c r="P134" s="131" t="s">
        <v>589</v>
      </c>
    </row>
    <row r="135" spans="1:16" ht="12.75" customHeight="1" thickBot="1" x14ac:dyDescent="0.25">
      <c r="A135" s="99" t="str">
        <f t="shared" si="18"/>
        <v>OEJV 0074 </v>
      </c>
      <c r="B135" s="5" t="str">
        <f t="shared" si="19"/>
        <v>I</v>
      </c>
      <c r="C135" s="99">
        <f t="shared" si="20"/>
        <v>53228.442000000003</v>
      </c>
      <c r="D135" s="45" t="str">
        <f t="shared" si="21"/>
        <v>vis</v>
      </c>
      <c r="E135" s="127">
        <f>VLOOKUP(C135,Active!C$21:E$973,3,FALSE)</f>
        <v>368.97495549815017</v>
      </c>
      <c r="F135" s="5" t="s">
        <v>171</v>
      </c>
      <c r="G135" s="45" t="str">
        <f t="shared" si="22"/>
        <v>53228.442</v>
      </c>
      <c r="H135" s="99">
        <f t="shared" si="23"/>
        <v>25007</v>
      </c>
      <c r="I135" s="128" t="s">
        <v>613</v>
      </c>
      <c r="J135" s="129" t="s">
        <v>614</v>
      </c>
      <c r="K135" s="128">
        <v>25007</v>
      </c>
      <c r="L135" s="128" t="s">
        <v>615</v>
      </c>
      <c r="M135" s="129" t="s">
        <v>343</v>
      </c>
      <c r="N135" s="129"/>
      <c r="O135" s="130" t="s">
        <v>488</v>
      </c>
      <c r="P135" s="131" t="s">
        <v>589</v>
      </c>
    </row>
    <row r="136" spans="1:16" ht="12.75" customHeight="1" thickBot="1" x14ac:dyDescent="0.25">
      <c r="A136" s="99" t="str">
        <f t="shared" si="18"/>
        <v>OEJV 0074 </v>
      </c>
      <c r="B136" s="5" t="str">
        <f t="shared" si="19"/>
        <v>I</v>
      </c>
      <c r="C136" s="99">
        <f t="shared" si="20"/>
        <v>53228.453000000001</v>
      </c>
      <c r="D136" s="45" t="str">
        <f t="shared" si="21"/>
        <v>vis</v>
      </c>
      <c r="E136" s="127">
        <f>VLOOKUP(C136,Active!C$21:E$973,3,FALSE)</f>
        <v>369.00637797065241</v>
      </c>
      <c r="F136" s="5" t="s">
        <v>171</v>
      </c>
      <c r="G136" s="45" t="str">
        <f t="shared" si="22"/>
        <v>53228.453</v>
      </c>
      <c r="H136" s="99">
        <f t="shared" si="23"/>
        <v>25007</v>
      </c>
      <c r="I136" s="128" t="s">
        <v>616</v>
      </c>
      <c r="J136" s="129" t="s">
        <v>617</v>
      </c>
      <c r="K136" s="128">
        <v>25007</v>
      </c>
      <c r="L136" s="128" t="s">
        <v>618</v>
      </c>
      <c r="M136" s="129" t="s">
        <v>343</v>
      </c>
      <c r="N136" s="129"/>
      <c r="O136" s="130" t="s">
        <v>619</v>
      </c>
      <c r="P136" s="131" t="s">
        <v>589</v>
      </c>
    </row>
    <row r="137" spans="1:16" ht="12.75" customHeight="1" thickBot="1" x14ac:dyDescent="0.25">
      <c r="A137" s="99" t="str">
        <f t="shared" si="18"/>
        <v>OEJV 0094 </v>
      </c>
      <c r="B137" s="5" t="str">
        <f t="shared" si="19"/>
        <v>I</v>
      </c>
      <c r="C137" s="99">
        <f t="shared" si="20"/>
        <v>54558.356099999997</v>
      </c>
      <c r="D137" s="45" t="str">
        <f t="shared" si="21"/>
        <v>vis</v>
      </c>
      <c r="E137" s="127">
        <f>VLOOKUP(C137,Active!C$21:E$973,3,FALSE)</f>
        <v>4167.9921593960989</v>
      </c>
      <c r="F137" s="5" t="s">
        <v>171</v>
      </c>
      <c r="G137" s="45" t="str">
        <f t="shared" si="22"/>
        <v>54558.3561</v>
      </c>
      <c r="H137" s="99">
        <f t="shared" si="23"/>
        <v>28806</v>
      </c>
      <c r="I137" s="128" t="s">
        <v>644</v>
      </c>
      <c r="J137" s="129" t="s">
        <v>645</v>
      </c>
      <c r="K137" s="128">
        <v>28806</v>
      </c>
      <c r="L137" s="128" t="s">
        <v>646</v>
      </c>
      <c r="M137" s="129" t="s">
        <v>569</v>
      </c>
      <c r="N137" s="129" t="s">
        <v>151</v>
      </c>
      <c r="O137" s="130" t="s">
        <v>647</v>
      </c>
      <c r="P137" s="131" t="s">
        <v>648</v>
      </c>
    </row>
    <row r="138" spans="1:16" ht="12.75" customHeight="1" thickBot="1" x14ac:dyDescent="0.25">
      <c r="A138" s="99" t="str">
        <f t="shared" si="18"/>
        <v>OEJV 0107 </v>
      </c>
      <c r="B138" s="5" t="str">
        <f t="shared" si="19"/>
        <v>II</v>
      </c>
      <c r="C138" s="99">
        <f t="shared" si="20"/>
        <v>54925.401299999998</v>
      </c>
      <c r="D138" s="45" t="str">
        <f t="shared" si="21"/>
        <v>vis</v>
      </c>
      <c r="E138" s="127">
        <f>VLOOKUP(C138,Active!C$21:E$973,3,FALSE)</f>
        <v>5216.4892235359339</v>
      </c>
      <c r="F138" s="5" t="s">
        <v>171</v>
      </c>
      <c r="G138" s="45" t="str">
        <f t="shared" si="22"/>
        <v>54925.4013</v>
      </c>
      <c r="H138" s="99">
        <f t="shared" si="23"/>
        <v>29854.5</v>
      </c>
      <c r="I138" s="128" t="s">
        <v>663</v>
      </c>
      <c r="J138" s="129" t="s">
        <v>664</v>
      </c>
      <c r="K138" s="128" t="s">
        <v>665</v>
      </c>
      <c r="L138" s="128" t="s">
        <v>456</v>
      </c>
      <c r="M138" s="129" t="s">
        <v>569</v>
      </c>
      <c r="N138" s="129" t="s">
        <v>53</v>
      </c>
      <c r="O138" s="130" t="s">
        <v>666</v>
      </c>
      <c r="P138" s="131" t="s">
        <v>667</v>
      </c>
    </row>
    <row r="139" spans="1:16" ht="12.75" customHeight="1" thickBot="1" x14ac:dyDescent="0.25">
      <c r="A139" s="99" t="str">
        <f t="shared" ref="A139:A145" si="24">P139</f>
        <v>OEJV 0107 </v>
      </c>
      <c r="B139" s="5" t="str">
        <f t="shared" ref="B139:B145" si="25">IF(H139=INT(H139),"I","II")</f>
        <v>II</v>
      </c>
      <c r="C139" s="99">
        <f t="shared" ref="C139:C145" si="26">1*G139</f>
        <v>54925.401599999997</v>
      </c>
      <c r="D139" s="45" t="str">
        <f t="shared" ref="D139:D145" si="27">VLOOKUP(F139,I$1:J$5,2,FALSE)</f>
        <v>vis</v>
      </c>
      <c r="E139" s="127">
        <f>VLOOKUP(C139,Active!C$21:E$973,3,FALSE)</f>
        <v>5216.4900805124562</v>
      </c>
      <c r="F139" s="5" t="s">
        <v>171</v>
      </c>
      <c r="G139" s="45" t="str">
        <f t="shared" ref="G139:G145" si="28">MID(I139,3,LEN(I139)-3)</f>
        <v>54925.4016</v>
      </c>
      <c r="H139" s="99">
        <f t="shared" ref="H139:H145" si="29">1*K139</f>
        <v>29854.5</v>
      </c>
      <c r="I139" s="128" t="s">
        <v>668</v>
      </c>
      <c r="J139" s="129" t="s">
        <v>669</v>
      </c>
      <c r="K139" s="128" t="s">
        <v>665</v>
      </c>
      <c r="L139" s="128" t="s">
        <v>596</v>
      </c>
      <c r="M139" s="129" t="s">
        <v>569</v>
      </c>
      <c r="N139" s="129" t="s">
        <v>171</v>
      </c>
      <c r="O139" s="130" t="s">
        <v>666</v>
      </c>
      <c r="P139" s="131" t="s">
        <v>667</v>
      </c>
    </row>
    <row r="140" spans="1:16" ht="12.75" customHeight="1" thickBot="1" x14ac:dyDescent="0.25">
      <c r="A140" s="99" t="str">
        <f t="shared" si="24"/>
        <v>OEJV 0107 </v>
      </c>
      <c r="B140" s="5" t="str">
        <f t="shared" si="25"/>
        <v>II</v>
      </c>
      <c r="C140" s="99">
        <f t="shared" si="26"/>
        <v>54925.401599999997</v>
      </c>
      <c r="D140" s="45" t="str">
        <f t="shared" si="27"/>
        <v>vis</v>
      </c>
      <c r="E140" s="127">
        <f>VLOOKUP(C140,Active!C$21:E$973,3,FALSE)</f>
        <v>5216.4900805124562</v>
      </c>
      <c r="F140" s="5" t="s">
        <v>171</v>
      </c>
      <c r="G140" s="45" t="str">
        <f t="shared" si="28"/>
        <v>54925.4016</v>
      </c>
      <c r="H140" s="99">
        <f t="shared" si="29"/>
        <v>29854.5</v>
      </c>
      <c r="I140" s="128" t="s">
        <v>668</v>
      </c>
      <c r="J140" s="129" t="s">
        <v>669</v>
      </c>
      <c r="K140" s="128" t="s">
        <v>665</v>
      </c>
      <c r="L140" s="128" t="s">
        <v>596</v>
      </c>
      <c r="M140" s="129" t="s">
        <v>569</v>
      </c>
      <c r="N140" s="129" t="s">
        <v>151</v>
      </c>
      <c r="O140" s="130" t="s">
        <v>666</v>
      </c>
      <c r="P140" s="131" t="s">
        <v>667</v>
      </c>
    </row>
    <row r="141" spans="1:16" ht="12.75" customHeight="1" thickBot="1" x14ac:dyDescent="0.25">
      <c r="A141" s="99" t="str">
        <f t="shared" si="24"/>
        <v>OEJV 0137 </v>
      </c>
      <c r="B141" s="5" t="str">
        <f t="shared" si="25"/>
        <v>II</v>
      </c>
      <c r="C141" s="99">
        <f t="shared" si="26"/>
        <v>55304.5239</v>
      </c>
      <c r="D141" s="45" t="str">
        <f t="shared" si="27"/>
        <v>vis</v>
      </c>
      <c r="E141" s="127">
        <f>VLOOKUP(C141,Active!C$21:E$973,3,FALSE)</f>
        <v>6299.4864485345533</v>
      </c>
      <c r="F141" s="5" t="s">
        <v>171</v>
      </c>
      <c r="G141" s="45" t="str">
        <f t="shared" si="28"/>
        <v>55304.5239</v>
      </c>
      <c r="H141" s="99">
        <f t="shared" si="29"/>
        <v>30937.5</v>
      </c>
      <c r="I141" s="128" t="s">
        <v>678</v>
      </c>
      <c r="J141" s="129" t="s">
        <v>679</v>
      </c>
      <c r="K141" s="128" t="s">
        <v>680</v>
      </c>
      <c r="L141" s="128" t="s">
        <v>681</v>
      </c>
      <c r="M141" s="129" t="s">
        <v>569</v>
      </c>
      <c r="N141" s="129" t="s">
        <v>117</v>
      </c>
      <c r="O141" s="130" t="s">
        <v>682</v>
      </c>
      <c r="P141" s="131" t="s">
        <v>683</v>
      </c>
    </row>
    <row r="142" spans="1:16" ht="12.75" customHeight="1" thickBot="1" x14ac:dyDescent="0.25">
      <c r="A142" s="99" t="str">
        <f t="shared" si="24"/>
        <v>VSB 51 </v>
      </c>
      <c r="B142" s="5" t="str">
        <f t="shared" si="25"/>
        <v>II</v>
      </c>
      <c r="C142" s="99">
        <f t="shared" si="26"/>
        <v>55481.309300000001</v>
      </c>
      <c r="D142" s="45" t="str">
        <f t="shared" si="27"/>
        <v>vis</v>
      </c>
      <c r="E142" s="127">
        <f>VLOOKUP(C142,Active!C$21:E$973,3,FALSE)</f>
        <v>6804.4895731709375</v>
      </c>
      <c r="F142" s="5" t="s">
        <v>171</v>
      </c>
      <c r="G142" s="45" t="str">
        <f t="shared" si="28"/>
        <v>55481.3093</v>
      </c>
      <c r="H142" s="99">
        <f t="shared" si="29"/>
        <v>31442.5</v>
      </c>
      <c r="I142" s="128" t="s">
        <v>694</v>
      </c>
      <c r="J142" s="129" t="s">
        <v>695</v>
      </c>
      <c r="K142" s="128" t="s">
        <v>696</v>
      </c>
      <c r="L142" s="128" t="s">
        <v>603</v>
      </c>
      <c r="M142" s="129" t="s">
        <v>569</v>
      </c>
      <c r="N142" s="129" t="s">
        <v>117</v>
      </c>
      <c r="O142" s="130" t="s">
        <v>697</v>
      </c>
      <c r="P142" s="131" t="s">
        <v>698</v>
      </c>
    </row>
    <row r="143" spans="1:16" ht="12.75" customHeight="1" thickBot="1" x14ac:dyDescent="0.25">
      <c r="A143" s="99" t="str">
        <f t="shared" si="24"/>
        <v>VSB 51 </v>
      </c>
      <c r="B143" s="5" t="str">
        <f t="shared" si="25"/>
        <v>I</v>
      </c>
      <c r="C143" s="99">
        <f t="shared" si="26"/>
        <v>55491.284800000001</v>
      </c>
      <c r="D143" s="45" t="str">
        <f t="shared" si="27"/>
        <v>vis</v>
      </c>
      <c r="E143" s="127">
        <f>VLOOKUP(C143,Active!C$21:E$973,3,FALSE)</f>
        <v>6832.9854708514613</v>
      </c>
      <c r="F143" s="5" t="s">
        <v>171</v>
      </c>
      <c r="G143" s="45" t="str">
        <f t="shared" si="28"/>
        <v>55491.2848</v>
      </c>
      <c r="H143" s="99">
        <f t="shared" si="29"/>
        <v>31471</v>
      </c>
      <c r="I143" s="128" t="s">
        <v>699</v>
      </c>
      <c r="J143" s="129" t="s">
        <v>700</v>
      </c>
      <c r="K143" s="128" t="s">
        <v>701</v>
      </c>
      <c r="L143" s="128" t="s">
        <v>456</v>
      </c>
      <c r="M143" s="129" t="s">
        <v>569</v>
      </c>
      <c r="N143" s="129" t="s">
        <v>117</v>
      </c>
      <c r="O143" s="130" t="s">
        <v>697</v>
      </c>
      <c r="P143" s="131" t="s">
        <v>698</v>
      </c>
    </row>
    <row r="144" spans="1:16" ht="12.75" customHeight="1" thickBot="1" x14ac:dyDescent="0.25">
      <c r="A144" s="99" t="str">
        <f t="shared" si="24"/>
        <v>OEJV 0137 </v>
      </c>
      <c r="B144" s="5" t="str">
        <f t="shared" si="25"/>
        <v>I</v>
      </c>
      <c r="C144" s="99">
        <f t="shared" si="26"/>
        <v>55619.409599999999</v>
      </c>
      <c r="D144" s="45" t="str">
        <f t="shared" si="27"/>
        <v>vis</v>
      </c>
      <c r="E144" s="127">
        <f>VLOOKUP(C144,Active!C$21:E$973,3,FALSE)</f>
        <v>7198.985289520936</v>
      </c>
      <c r="F144" s="5" t="s">
        <v>171</v>
      </c>
      <c r="G144" s="45" t="str">
        <f t="shared" si="28"/>
        <v>55619.4096</v>
      </c>
      <c r="H144" s="99">
        <f t="shared" si="29"/>
        <v>31837</v>
      </c>
      <c r="I144" s="128" t="s">
        <v>702</v>
      </c>
      <c r="J144" s="129" t="s">
        <v>703</v>
      </c>
      <c r="K144" s="128" t="s">
        <v>704</v>
      </c>
      <c r="L144" s="128" t="s">
        <v>705</v>
      </c>
      <c r="M144" s="129" t="s">
        <v>569</v>
      </c>
      <c r="N144" s="129" t="s">
        <v>117</v>
      </c>
      <c r="O144" s="130" t="s">
        <v>682</v>
      </c>
      <c r="P144" s="131" t="s">
        <v>683</v>
      </c>
    </row>
    <row r="145" spans="1:16" ht="12.75" customHeight="1" x14ac:dyDescent="0.2">
      <c r="A145" s="99" t="str">
        <f t="shared" si="24"/>
        <v>BAVM 233 </v>
      </c>
      <c r="B145" s="5" t="str">
        <f t="shared" si="25"/>
        <v>I</v>
      </c>
      <c r="C145" s="99">
        <f t="shared" si="26"/>
        <v>56156.434000000001</v>
      </c>
      <c r="D145" s="45" t="str">
        <f t="shared" si="27"/>
        <v>vis</v>
      </c>
      <c r="E145" s="127">
        <f>VLOOKUP(C145,Active!C$21:E$973,3,FALSE)</f>
        <v>8733.0429662633596</v>
      </c>
      <c r="F145" s="5" t="s">
        <v>171</v>
      </c>
      <c r="G145" s="45" t="str">
        <f t="shared" si="28"/>
        <v>56156.434</v>
      </c>
      <c r="H145" s="99">
        <f t="shared" si="29"/>
        <v>33371</v>
      </c>
      <c r="I145" s="132" t="s">
        <v>749</v>
      </c>
      <c r="J145" s="133" t="s">
        <v>750</v>
      </c>
      <c r="K145" s="132">
        <v>33371</v>
      </c>
      <c r="L145" s="132" t="s">
        <v>751</v>
      </c>
      <c r="M145" s="133" t="s">
        <v>343</v>
      </c>
      <c r="N145" s="133"/>
      <c r="O145" s="134" t="s">
        <v>752</v>
      </c>
      <c r="P145" s="135" t="s">
        <v>753</v>
      </c>
    </row>
    <row r="146" spans="1:16" ht="12.75" customHeight="1" x14ac:dyDescent="0.2">
      <c r="B146" s="5"/>
      <c r="E146" s="127"/>
      <c r="F146" s="5"/>
      <c r="I146" s="136"/>
      <c r="J146" s="137"/>
      <c r="K146" s="136"/>
      <c r="L146" s="136"/>
      <c r="M146" s="137"/>
      <c r="N146" s="137"/>
      <c r="O146" s="138"/>
      <c r="P146" s="138"/>
    </row>
    <row r="147" spans="1:16" ht="12.75" customHeight="1" x14ac:dyDescent="0.2">
      <c r="B147" s="5"/>
      <c r="E147" s="127"/>
      <c r="F147" s="5"/>
      <c r="I147" s="136"/>
      <c r="J147" s="137"/>
      <c r="K147" s="136"/>
      <c r="L147" s="136"/>
      <c r="M147" s="137"/>
      <c r="N147" s="137"/>
      <c r="O147" s="138"/>
      <c r="P147" s="139"/>
    </row>
    <row r="148" spans="1:16" ht="12.75" customHeight="1" x14ac:dyDescent="0.2">
      <c r="B148" s="5"/>
      <c r="E148" s="127"/>
      <c r="F148" s="5"/>
      <c r="I148" s="136"/>
      <c r="J148" s="137"/>
      <c r="K148" s="136"/>
      <c r="L148" s="136"/>
      <c r="M148" s="137"/>
      <c r="N148" s="137"/>
      <c r="O148" s="138"/>
      <c r="P148" s="138"/>
    </row>
    <row r="149" spans="1:16" ht="12.75" customHeight="1" x14ac:dyDescent="0.2">
      <c r="B149" s="5"/>
      <c r="E149" s="127"/>
      <c r="F149" s="5"/>
      <c r="I149" s="136"/>
      <c r="J149" s="137"/>
      <c r="K149" s="136"/>
      <c r="L149" s="136"/>
      <c r="M149" s="137"/>
      <c r="N149" s="137"/>
      <c r="O149" s="138"/>
      <c r="P149" s="138"/>
    </row>
    <row r="150" spans="1:16" ht="12.75" customHeight="1" x14ac:dyDescent="0.2">
      <c r="B150" s="5"/>
      <c r="E150" s="127"/>
      <c r="F150" s="5"/>
      <c r="I150" s="136"/>
      <c r="J150" s="137"/>
      <c r="K150" s="136"/>
      <c r="L150" s="136"/>
      <c r="M150" s="137"/>
      <c r="N150" s="137"/>
      <c r="O150" s="138"/>
      <c r="P150" s="138"/>
    </row>
    <row r="151" spans="1:16" ht="12.75" customHeight="1" x14ac:dyDescent="0.2">
      <c r="B151" s="5"/>
      <c r="E151" s="127"/>
      <c r="F151" s="5"/>
      <c r="I151" s="136"/>
      <c r="J151" s="137"/>
      <c r="K151" s="136"/>
      <c r="L151" s="136"/>
      <c r="M151" s="137"/>
      <c r="N151" s="137"/>
      <c r="O151" s="138"/>
      <c r="P151" s="138"/>
    </row>
    <row r="152" spans="1:16" ht="12.75" customHeight="1" x14ac:dyDescent="0.2">
      <c r="B152" s="5"/>
      <c r="E152" s="127"/>
      <c r="F152" s="5"/>
      <c r="I152" s="136"/>
      <c r="J152" s="137"/>
      <c r="K152" s="136"/>
      <c r="L152" s="136"/>
      <c r="M152" s="137"/>
      <c r="N152" s="137"/>
      <c r="O152" s="138"/>
      <c r="P152" s="138"/>
    </row>
    <row r="153" spans="1:16" ht="12.75" customHeight="1" x14ac:dyDescent="0.2">
      <c r="B153" s="5"/>
      <c r="E153" s="127"/>
      <c r="F153" s="5"/>
      <c r="I153" s="136"/>
      <c r="J153" s="137"/>
      <c r="K153" s="136"/>
      <c r="L153" s="136"/>
      <c r="M153" s="137"/>
      <c r="N153" s="137"/>
      <c r="O153" s="138"/>
      <c r="P153" s="138"/>
    </row>
    <row r="154" spans="1:16" ht="12.75" customHeight="1" x14ac:dyDescent="0.2">
      <c r="B154" s="5"/>
      <c r="E154" s="127"/>
      <c r="F154" s="5"/>
      <c r="I154" s="136"/>
      <c r="J154" s="137"/>
      <c r="K154" s="136"/>
      <c r="L154" s="136"/>
      <c r="M154" s="137"/>
      <c r="N154" s="137"/>
      <c r="O154" s="138"/>
      <c r="P154" s="138"/>
    </row>
    <row r="155" spans="1:16" ht="12.75" customHeight="1" x14ac:dyDescent="0.2">
      <c r="B155" s="5"/>
      <c r="E155" s="127"/>
      <c r="F155" s="5"/>
      <c r="I155" s="136"/>
      <c r="J155" s="137"/>
      <c r="K155" s="136"/>
      <c r="L155" s="136"/>
      <c r="M155" s="137"/>
      <c r="N155" s="137"/>
      <c r="O155" s="138"/>
      <c r="P155" s="138"/>
    </row>
    <row r="156" spans="1:16" ht="12.75" customHeight="1" x14ac:dyDescent="0.2">
      <c r="B156" s="5"/>
      <c r="E156" s="127"/>
      <c r="F156" s="5"/>
      <c r="I156" s="136"/>
      <c r="J156" s="137"/>
      <c r="K156" s="136"/>
      <c r="L156" s="136"/>
      <c r="M156" s="137"/>
      <c r="N156" s="137"/>
      <c r="O156" s="138"/>
      <c r="P156" s="138"/>
    </row>
    <row r="157" spans="1:16" ht="12.75" customHeight="1" x14ac:dyDescent="0.2">
      <c r="B157" s="5"/>
      <c r="E157" s="127"/>
      <c r="F157" s="5"/>
      <c r="I157" s="136"/>
      <c r="J157" s="137"/>
      <c r="K157" s="136"/>
      <c r="L157" s="136"/>
      <c r="M157" s="137"/>
      <c r="N157" s="137"/>
      <c r="O157" s="138"/>
      <c r="P157" s="138"/>
    </row>
    <row r="158" spans="1:16" ht="12.75" customHeight="1" x14ac:dyDescent="0.2">
      <c r="B158" s="5"/>
      <c r="E158" s="127"/>
      <c r="F158" s="5"/>
      <c r="I158" s="136"/>
      <c r="J158" s="137"/>
      <c r="K158" s="136"/>
      <c r="L158" s="136"/>
      <c r="M158" s="137"/>
      <c r="N158" s="137"/>
      <c r="O158" s="138"/>
      <c r="P158" s="138"/>
    </row>
    <row r="159" spans="1:16" ht="12.75" customHeight="1" x14ac:dyDescent="0.2">
      <c r="B159" s="5"/>
      <c r="E159" s="127"/>
      <c r="F159" s="5"/>
      <c r="I159" s="136"/>
      <c r="J159" s="137"/>
      <c r="K159" s="136"/>
      <c r="L159" s="136"/>
      <c r="M159" s="137"/>
      <c r="N159" s="137"/>
      <c r="O159" s="138"/>
      <c r="P159" s="138"/>
    </row>
    <row r="160" spans="1:16" ht="12.75" customHeight="1" x14ac:dyDescent="0.2">
      <c r="B160" s="5"/>
      <c r="E160" s="127"/>
      <c r="F160" s="5"/>
      <c r="I160" s="136"/>
      <c r="J160" s="137"/>
      <c r="K160" s="136"/>
      <c r="L160" s="136"/>
      <c r="M160" s="137"/>
      <c r="N160" s="137"/>
      <c r="O160" s="138"/>
      <c r="P160" s="138"/>
    </row>
    <row r="161" spans="2:16" ht="12.75" customHeight="1" x14ac:dyDescent="0.2">
      <c r="B161" s="5"/>
      <c r="E161" s="127"/>
      <c r="F161" s="5"/>
      <c r="I161" s="136"/>
      <c r="J161" s="137"/>
      <c r="K161" s="136"/>
      <c r="L161" s="136"/>
      <c r="M161" s="137"/>
      <c r="N161" s="137"/>
      <c r="O161" s="138"/>
      <c r="P161" s="138"/>
    </row>
    <row r="162" spans="2:16" ht="12.75" customHeight="1" x14ac:dyDescent="0.2">
      <c r="B162" s="5"/>
      <c r="E162" s="127"/>
      <c r="F162" s="5"/>
      <c r="I162" s="136"/>
      <c r="J162" s="137"/>
      <c r="K162" s="136"/>
      <c r="L162" s="136"/>
      <c r="M162" s="137"/>
      <c r="N162" s="137"/>
      <c r="O162" s="138"/>
      <c r="P162" s="138"/>
    </row>
    <row r="163" spans="2:16" ht="12.75" customHeight="1" x14ac:dyDescent="0.2">
      <c r="B163" s="5"/>
      <c r="E163" s="127"/>
      <c r="F163" s="5"/>
      <c r="I163" s="136"/>
      <c r="J163" s="137"/>
      <c r="K163" s="136"/>
      <c r="L163" s="136"/>
      <c r="M163" s="137"/>
      <c r="N163" s="137"/>
      <c r="O163" s="138"/>
      <c r="P163" s="138"/>
    </row>
    <row r="164" spans="2:16" ht="12.75" customHeight="1" x14ac:dyDescent="0.2">
      <c r="B164" s="5"/>
      <c r="E164" s="127"/>
      <c r="F164" s="5"/>
      <c r="I164" s="136"/>
      <c r="J164" s="137"/>
      <c r="K164" s="136"/>
      <c r="L164" s="136"/>
      <c r="M164" s="137"/>
      <c r="N164" s="137"/>
      <c r="O164" s="138"/>
      <c r="P164" s="138"/>
    </row>
    <row r="165" spans="2:16" ht="12.75" customHeight="1" x14ac:dyDescent="0.2">
      <c r="B165" s="5"/>
      <c r="E165" s="127"/>
      <c r="F165" s="5"/>
      <c r="I165" s="136"/>
      <c r="J165" s="137"/>
      <c r="K165" s="136"/>
      <c r="L165" s="136"/>
      <c r="M165" s="137"/>
      <c r="N165" s="137"/>
      <c r="O165" s="138"/>
      <c r="P165" s="138"/>
    </row>
    <row r="166" spans="2:16" ht="12.75" customHeight="1" x14ac:dyDescent="0.2">
      <c r="B166" s="5"/>
      <c r="E166" s="127"/>
      <c r="F166" s="5"/>
      <c r="I166" s="136"/>
      <c r="J166" s="137"/>
      <c r="K166" s="136"/>
      <c r="L166" s="136"/>
      <c r="M166" s="137"/>
      <c r="N166" s="137"/>
      <c r="O166" s="138"/>
      <c r="P166" s="138"/>
    </row>
    <row r="167" spans="2:16" ht="12.75" customHeight="1" x14ac:dyDescent="0.2">
      <c r="B167" s="5"/>
      <c r="E167" s="127"/>
      <c r="F167" s="5"/>
      <c r="I167" s="136"/>
      <c r="J167" s="137"/>
      <c r="K167" s="136"/>
      <c r="L167" s="136"/>
      <c r="M167" s="137"/>
      <c r="N167" s="137"/>
      <c r="O167" s="138"/>
      <c r="P167" s="138"/>
    </row>
    <row r="168" spans="2:16" ht="12.75" customHeight="1" x14ac:dyDescent="0.2">
      <c r="B168" s="5"/>
      <c r="E168" s="127"/>
      <c r="F168" s="5"/>
      <c r="I168" s="136"/>
      <c r="J168" s="137"/>
      <c r="K168" s="136"/>
      <c r="L168" s="136"/>
      <c r="M168" s="137"/>
      <c r="N168" s="137"/>
      <c r="O168" s="138"/>
      <c r="P168" s="138"/>
    </row>
    <row r="169" spans="2:16" ht="12.75" customHeight="1" x14ac:dyDescent="0.2">
      <c r="B169" s="5"/>
      <c r="E169" s="127"/>
      <c r="F169" s="5"/>
      <c r="I169" s="136"/>
      <c r="J169" s="137"/>
      <c r="K169" s="136"/>
      <c r="L169" s="136"/>
      <c r="M169" s="137"/>
      <c r="N169" s="137"/>
      <c r="O169" s="138"/>
      <c r="P169" s="138"/>
    </row>
    <row r="170" spans="2:16" ht="12.75" customHeight="1" x14ac:dyDescent="0.2">
      <c r="B170" s="5"/>
      <c r="E170" s="127"/>
      <c r="F170" s="5"/>
      <c r="I170" s="136"/>
      <c r="J170" s="137"/>
      <c r="K170" s="136"/>
      <c r="L170" s="136"/>
      <c r="M170" s="137"/>
      <c r="N170" s="137"/>
      <c r="O170" s="138"/>
      <c r="P170" s="138"/>
    </row>
    <row r="171" spans="2:16" ht="12.75" customHeight="1" x14ac:dyDescent="0.2">
      <c r="B171" s="5"/>
      <c r="E171" s="127"/>
      <c r="F171" s="5"/>
      <c r="I171" s="136"/>
      <c r="J171" s="137"/>
      <c r="K171" s="136"/>
      <c r="L171" s="136"/>
      <c r="M171" s="137"/>
      <c r="N171" s="137"/>
      <c r="O171" s="138"/>
      <c r="P171" s="139"/>
    </row>
    <row r="172" spans="2:16" ht="12.75" customHeight="1" x14ac:dyDescent="0.2">
      <c r="B172" s="5"/>
      <c r="E172" s="127"/>
      <c r="F172" s="5"/>
      <c r="I172" s="136"/>
      <c r="J172" s="137"/>
      <c r="K172" s="136"/>
      <c r="L172" s="136"/>
      <c r="M172" s="137"/>
      <c r="N172" s="137"/>
      <c r="O172" s="138"/>
      <c r="P172" s="138"/>
    </row>
    <row r="173" spans="2:16" ht="12.75" customHeight="1" x14ac:dyDescent="0.2">
      <c r="B173" s="5"/>
      <c r="E173" s="127"/>
      <c r="F173" s="5"/>
      <c r="I173" s="136"/>
      <c r="J173" s="137"/>
      <c r="K173" s="136"/>
      <c r="L173" s="136"/>
      <c r="M173" s="137"/>
      <c r="N173" s="137"/>
      <c r="O173" s="138"/>
      <c r="P173" s="139"/>
    </row>
    <row r="174" spans="2:16" ht="12.75" customHeight="1" x14ac:dyDescent="0.2">
      <c r="B174" s="5"/>
      <c r="E174" s="127"/>
      <c r="F174" s="5"/>
      <c r="I174" s="136"/>
      <c r="J174" s="137"/>
      <c r="K174" s="136"/>
      <c r="L174" s="136"/>
      <c r="M174" s="137"/>
      <c r="N174" s="137"/>
      <c r="O174" s="138"/>
      <c r="P174" s="138"/>
    </row>
    <row r="175" spans="2:16" ht="12.75" customHeight="1" x14ac:dyDescent="0.2">
      <c r="B175" s="5"/>
      <c r="E175" s="127"/>
      <c r="F175" s="5"/>
      <c r="I175" s="136"/>
      <c r="J175" s="137"/>
      <c r="K175" s="136"/>
      <c r="L175" s="136"/>
      <c r="M175" s="137"/>
      <c r="N175" s="137"/>
      <c r="O175" s="138"/>
      <c r="P175" s="139"/>
    </row>
    <row r="176" spans="2:16" ht="12.75" customHeight="1" x14ac:dyDescent="0.2">
      <c r="B176" s="5"/>
      <c r="E176" s="127"/>
      <c r="F176" s="5"/>
      <c r="I176" s="136"/>
      <c r="J176" s="137"/>
      <c r="K176" s="136"/>
      <c r="L176" s="136"/>
      <c r="M176" s="137"/>
      <c r="N176" s="137"/>
      <c r="O176" s="138"/>
      <c r="P176" s="139"/>
    </row>
    <row r="177" spans="2:16" ht="12.75" customHeight="1" x14ac:dyDescent="0.2">
      <c r="B177" s="5"/>
      <c r="E177" s="127"/>
      <c r="F177" s="5"/>
      <c r="I177" s="136"/>
      <c r="J177" s="137"/>
      <c r="K177" s="136"/>
      <c r="L177" s="136"/>
      <c r="M177" s="137"/>
      <c r="N177" s="137"/>
      <c r="O177" s="138"/>
      <c r="P177" s="139"/>
    </row>
    <row r="178" spans="2:16" ht="12.75" customHeight="1" x14ac:dyDescent="0.2">
      <c r="B178" s="5"/>
      <c r="E178" s="127"/>
      <c r="F178" s="5"/>
      <c r="I178" s="136"/>
      <c r="J178" s="137"/>
      <c r="K178" s="136"/>
      <c r="L178" s="136"/>
      <c r="M178" s="137"/>
      <c r="N178" s="137"/>
      <c r="O178" s="138"/>
      <c r="P178" s="139"/>
    </row>
    <row r="179" spans="2:16" ht="12.75" customHeight="1" x14ac:dyDescent="0.2">
      <c r="B179" s="5"/>
      <c r="E179" s="127"/>
      <c r="F179" s="5"/>
      <c r="I179" s="136"/>
      <c r="J179" s="137"/>
      <c r="K179" s="136"/>
      <c r="L179" s="136"/>
      <c r="M179" s="137"/>
      <c r="N179" s="137"/>
      <c r="O179" s="138"/>
      <c r="P179" s="139"/>
    </row>
    <row r="180" spans="2:16" ht="12.75" customHeight="1" x14ac:dyDescent="0.2">
      <c r="B180" s="5"/>
      <c r="E180" s="127"/>
      <c r="F180" s="5"/>
      <c r="I180" s="136"/>
      <c r="J180" s="137"/>
      <c r="K180" s="136"/>
      <c r="L180" s="136"/>
      <c r="M180" s="137"/>
      <c r="N180" s="137"/>
      <c r="O180" s="138"/>
      <c r="P180" s="139"/>
    </row>
    <row r="181" spans="2:16" ht="12.75" customHeight="1" x14ac:dyDescent="0.2">
      <c r="B181" s="5"/>
      <c r="E181" s="127"/>
      <c r="F181" s="5"/>
      <c r="I181" s="136"/>
      <c r="J181" s="137"/>
      <c r="K181" s="136"/>
      <c r="L181" s="136"/>
      <c r="M181" s="137"/>
      <c r="N181" s="137"/>
      <c r="O181" s="138"/>
      <c r="P181" s="138"/>
    </row>
    <row r="182" spans="2:16" ht="12.75" customHeight="1" x14ac:dyDescent="0.2">
      <c r="B182" s="5"/>
      <c r="E182" s="127"/>
      <c r="F182" s="5"/>
      <c r="I182" s="136"/>
      <c r="J182" s="137"/>
      <c r="K182" s="136"/>
      <c r="L182" s="136"/>
      <c r="M182" s="137"/>
      <c r="N182" s="137"/>
      <c r="O182" s="138"/>
      <c r="P182" s="139"/>
    </row>
    <row r="183" spans="2:16" ht="12.75" customHeight="1" x14ac:dyDescent="0.2">
      <c r="B183" s="5"/>
      <c r="E183" s="127"/>
      <c r="F183" s="5"/>
      <c r="I183" s="136"/>
      <c r="J183" s="137"/>
      <c r="K183" s="136"/>
      <c r="L183" s="136"/>
      <c r="M183" s="137"/>
      <c r="N183" s="137"/>
      <c r="O183" s="138"/>
      <c r="P183" s="138"/>
    </row>
    <row r="184" spans="2:16" ht="12.75" customHeight="1" x14ac:dyDescent="0.2">
      <c r="B184" s="5"/>
      <c r="E184" s="127"/>
      <c r="F184" s="5"/>
      <c r="I184" s="136"/>
      <c r="J184" s="137"/>
      <c r="K184" s="136"/>
      <c r="L184" s="136"/>
      <c r="M184" s="137"/>
      <c r="N184" s="137"/>
      <c r="O184" s="138"/>
      <c r="P184" s="138"/>
    </row>
    <row r="185" spans="2:16" ht="12.75" customHeight="1" x14ac:dyDescent="0.2">
      <c r="B185" s="5"/>
      <c r="E185" s="127"/>
      <c r="F185" s="5"/>
      <c r="I185" s="136"/>
      <c r="J185" s="137"/>
      <c r="K185" s="136"/>
      <c r="L185" s="136"/>
      <c r="M185" s="137"/>
      <c r="N185" s="137"/>
      <c r="O185" s="138"/>
      <c r="P185" s="138"/>
    </row>
    <row r="186" spans="2:16" ht="12.75" customHeight="1" x14ac:dyDescent="0.2">
      <c r="B186" s="5"/>
      <c r="E186" s="127"/>
      <c r="F186" s="5"/>
      <c r="I186" s="136"/>
      <c r="J186" s="137"/>
      <c r="K186" s="136"/>
      <c r="L186" s="136"/>
      <c r="M186" s="137"/>
      <c r="N186" s="137"/>
      <c r="O186" s="138"/>
      <c r="P186" s="138"/>
    </row>
    <row r="187" spans="2:16" ht="12.75" customHeight="1" x14ac:dyDescent="0.2">
      <c r="B187" s="5"/>
      <c r="E187" s="127"/>
      <c r="F187" s="5"/>
      <c r="I187" s="136"/>
      <c r="J187" s="137"/>
      <c r="K187" s="136"/>
      <c r="L187" s="136"/>
      <c r="M187" s="137"/>
      <c r="N187" s="137"/>
      <c r="O187" s="138"/>
      <c r="P187" s="139"/>
    </row>
    <row r="188" spans="2:16" ht="12.75" customHeight="1" x14ac:dyDescent="0.2">
      <c r="B188" s="5"/>
      <c r="E188" s="127"/>
      <c r="F188" s="5"/>
      <c r="I188" s="136"/>
      <c r="J188" s="137"/>
      <c r="K188" s="136"/>
      <c r="L188" s="136"/>
      <c r="M188" s="137"/>
      <c r="N188" s="137"/>
      <c r="O188" s="138"/>
      <c r="P188" s="139"/>
    </row>
    <row r="189" spans="2:16" x14ac:dyDescent="0.2">
      <c r="B189" s="5"/>
      <c r="E189" s="127"/>
      <c r="F189" s="5"/>
    </row>
    <row r="190" spans="2:16" x14ac:dyDescent="0.2">
      <c r="B190" s="5"/>
      <c r="E190" s="127"/>
      <c r="F190" s="5"/>
    </row>
    <row r="191" spans="2:16" x14ac:dyDescent="0.2">
      <c r="B191" s="5"/>
      <c r="E191" s="127"/>
      <c r="F191" s="5"/>
    </row>
    <row r="192" spans="2:16" x14ac:dyDescent="0.2">
      <c r="B192" s="5"/>
      <c r="E192" s="127"/>
      <c r="F192" s="5"/>
    </row>
    <row r="193" spans="2:6" x14ac:dyDescent="0.2">
      <c r="B193" s="5"/>
      <c r="E193" s="127"/>
      <c r="F193" s="5"/>
    </row>
    <row r="194" spans="2:6" x14ac:dyDescent="0.2">
      <c r="B194" s="5"/>
      <c r="E194" s="127"/>
      <c r="F194" s="5"/>
    </row>
    <row r="195" spans="2:6" x14ac:dyDescent="0.2">
      <c r="B195" s="5"/>
      <c r="E195" s="127"/>
      <c r="F195" s="5"/>
    </row>
    <row r="196" spans="2:6" x14ac:dyDescent="0.2">
      <c r="B196" s="5"/>
      <c r="E196" s="127"/>
      <c r="F196" s="5"/>
    </row>
    <row r="197" spans="2:6" x14ac:dyDescent="0.2">
      <c r="B197" s="5"/>
      <c r="E197" s="127"/>
      <c r="F197" s="5"/>
    </row>
    <row r="198" spans="2:6" x14ac:dyDescent="0.2">
      <c r="B198" s="5"/>
      <c r="E198" s="127"/>
      <c r="F198" s="5"/>
    </row>
    <row r="199" spans="2:6" x14ac:dyDescent="0.2">
      <c r="B199" s="5"/>
      <c r="E199" s="127"/>
      <c r="F199" s="5"/>
    </row>
    <row r="200" spans="2:6" x14ac:dyDescent="0.2">
      <c r="B200" s="5"/>
      <c r="E200" s="127"/>
      <c r="F200" s="5"/>
    </row>
    <row r="201" spans="2:6" x14ac:dyDescent="0.2">
      <c r="B201" s="5"/>
      <c r="E201" s="127"/>
      <c r="F201" s="5"/>
    </row>
    <row r="202" spans="2:6" x14ac:dyDescent="0.2">
      <c r="B202" s="5"/>
      <c r="E202" s="127"/>
      <c r="F202" s="5"/>
    </row>
    <row r="203" spans="2:6" x14ac:dyDescent="0.2">
      <c r="B203" s="5"/>
      <c r="E203" s="127"/>
      <c r="F203" s="5"/>
    </row>
    <row r="204" spans="2:6" x14ac:dyDescent="0.2">
      <c r="B204" s="5"/>
      <c r="E204" s="127"/>
      <c r="F204" s="5"/>
    </row>
    <row r="205" spans="2:6" x14ac:dyDescent="0.2">
      <c r="B205" s="5"/>
      <c r="E205" s="127"/>
      <c r="F205" s="5"/>
    </row>
    <row r="206" spans="2:6" x14ac:dyDescent="0.2">
      <c r="B206" s="5"/>
      <c r="E206" s="127"/>
      <c r="F206" s="5"/>
    </row>
    <row r="207" spans="2:6" x14ac:dyDescent="0.2">
      <c r="B207" s="5"/>
      <c r="E207" s="127"/>
      <c r="F207" s="5"/>
    </row>
    <row r="208" spans="2:6" x14ac:dyDescent="0.2">
      <c r="B208" s="5"/>
      <c r="E208" s="127"/>
      <c r="F208" s="5"/>
    </row>
    <row r="209" spans="2:6" x14ac:dyDescent="0.2">
      <c r="B209" s="5"/>
      <c r="E209" s="127"/>
      <c r="F209" s="5"/>
    </row>
    <row r="210" spans="2:6" x14ac:dyDescent="0.2">
      <c r="B210" s="5"/>
      <c r="E210" s="127"/>
      <c r="F210" s="5"/>
    </row>
    <row r="211" spans="2:6" x14ac:dyDescent="0.2">
      <c r="B211" s="5"/>
      <c r="E211" s="127"/>
      <c r="F211" s="5"/>
    </row>
    <row r="212" spans="2:6" x14ac:dyDescent="0.2">
      <c r="B212" s="5"/>
      <c r="E212" s="127"/>
      <c r="F212" s="5"/>
    </row>
    <row r="213" spans="2:6" x14ac:dyDescent="0.2">
      <c r="B213" s="5"/>
      <c r="E213" s="127"/>
      <c r="F213" s="5"/>
    </row>
    <row r="214" spans="2:6" x14ac:dyDescent="0.2">
      <c r="B214" s="5"/>
      <c r="E214" s="127"/>
      <c r="F214" s="5"/>
    </row>
    <row r="215" spans="2:6" x14ac:dyDescent="0.2">
      <c r="B215" s="5"/>
      <c r="E215" s="127"/>
      <c r="F215" s="5"/>
    </row>
    <row r="216" spans="2:6" x14ac:dyDescent="0.2">
      <c r="B216" s="5"/>
      <c r="E216" s="127"/>
      <c r="F216" s="5"/>
    </row>
    <row r="217" spans="2:6" x14ac:dyDescent="0.2">
      <c r="B217" s="5"/>
      <c r="E217" s="127"/>
      <c r="F217" s="5"/>
    </row>
    <row r="218" spans="2:6" x14ac:dyDescent="0.2">
      <c r="B218" s="5"/>
      <c r="E218" s="127"/>
      <c r="F218" s="5"/>
    </row>
    <row r="219" spans="2:6" x14ac:dyDescent="0.2">
      <c r="B219" s="5"/>
      <c r="E219" s="127"/>
      <c r="F219" s="5"/>
    </row>
    <row r="220" spans="2:6" x14ac:dyDescent="0.2">
      <c r="B220" s="5"/>
      <c r="E220" s="127"/>
      <c r="F220" s="5"/>
    </row>
    <row r="221" spans="2:6" x14ac:dyDescent="0.2">
      <c r="B221" s="5"/>
      <c r="E221" s="127"/>
      <c r="F221" s="5"/>
    </row>
    <row r="222" spans="2:6" x14ac:dyDescent="0.2">
      <c r="B222" s="5"/>
      <c r="E222" s="127"/>
      <c r="F222" s="5"/>
    </row>
    <row r="223" spans="2:6" x14ac:dyDescent="0.2">
      <c r="B223" s="5"/>
      <c r="E223" s="127"/>
      <c r="F223" s="5"/>
    </row>
    <row r="224" spans="2:6" x14ac:dyDescent="0.2">
      <c r="B224" s="5"/>
      <c r="E224" s="127"/>
      <c r="F224" s="5"/>
    </row>
    <row r="225" spans="2:6" x14ac:dyDescent="0.2">
      <c r="B225" s="5"/>
      <c r="E225" s="127"/>
      <c r="F225" s="5"/>
    </row>
    <row r="226" spans="2:6" x14ac:dyDescent="0.2">
      <c r="B226" s="5"/>
      <c r="E226" s="127"/>
      <c r="F226" s="5"/>
    </row>
    <row r="227" spans="2:6" x14ac:dyDescent="0.2">
      <c r="B227" s="5"/>
      <c r="E227" s="127"/>
      <c r="F227" s="5"/>
    </row>
    <row r="228" spans="2:6" x14ac:dyDescent="0.2">
      <c r="B228" s="5"/>
      <c r="E228" s="127"/>
      <c r="F228" s="5"/>
    </row>
    <row r="229" spans="2:6" x14ac:dyDescent="0.2">
      <c r="B229" s="5"/>
      <c r="E229" s="127"/>
      <c r="F229" s="5"/>
    </row>
    <row r="230" spans="2:6" x14ac:dyDescent="0.2">
      <c r="B230" s="5"/>
      <c r="E230" s="127"/>
      <c r="F230" s="5"/>
    </row>
    <row r="231" spans="2:6" x14ac:dyDescent="0.2">
      <c r="B231" s="5"/>
      <c r="E231" s="127"/>
      <c r="F231" s="5"/>
    </row>
    <row r="232" spans="2:6" x14ac:dyDescent="0.2">
      <c r="B232" s="5"/>
      <c r="E232" s="127"/>
      <c r="F232" s="5"/>
    </row>
    <row r="233" spans="2:6" x14ac:dyDescent="0.2">
      <c r="B233" s="5"/>
      <c r="E233" s="127"/>
      <c r="F233" s="5"/>
    </row>
    <row r="234" spans="2:6" x14ac:dyDescent="0.2">
      <c r="B234" s="5"/>
      <c r="E234" s="127"/>
      <c r="F234" s="5"/>
    </row>
    <row r="235" spans="2:6" x14ac:dyDescent="0.2">
      <c r="B235" s="5"/>
      <c r="E235" s="127"/>
      <c r="F235" s="5"/>
    </row>
    <row r="236" spans="2:6" x14ac:dyDescent="0.2">
      <c r="B236" s="5"/>
      <c r="E236" s="127"/>
      <c r="F236" s="5"/>
    </row>
    <row r="237" spans="2:6" x14ac:dyDescent="0.2">
      <c r="B237" s="5"/>
      <c r="E237" s="127"/>
      <c r="F237" s="5"/>
    </row>
    <row r="238" spans="2:6" x14ac:dyDescent="0.2">
      <c r="B238" s="5"/>
      <c r="E238" s="127"/>
      <c r="F238" s="5"/>
    </row>
    <row r="239" spans="2:6" x14ac:dyDescent="0.2">
      <c r="B239" s="5"/>
      <c r="E239" s="127"/>
      <c r="F239" s="5"/>
    </row>
    <row r="240" spans="2:6" x14ac:dyDescent="0.2">
      <c r="B240" s="5"/>
      <c r="E240" s="127"/>
      <c r="F240" s="5"/>
    </row>
    <row r="241" spans="2:6" x14ac:dyDescent="0.2">
      <c r="B241" s="5"/>
      <c r="E241" s="127"/>
      <c r="F241" s="5"/>
    </row>
    <row r="242" spans="2:6" x14ac:dyDescent="0.2">
      <c r="B242" s="5"/>
      <c r="E242" s="127"/>
      <c r="F242" s="5"/>
    </row>
    <row r="243" spans="2:6" x14ac:dyDescent="0.2">
      <c r="B243" s="5"/>
      <c r="E243" s="127"/>
      <c r="F243" s="5"/>
    </row>
    <row r="244" spans="2:6" x14ac:dyDescent="0.2">
      <c r="B244" s="5"/>
      <c r="E244" s="127"/>
      <c r="F244" s="5"/>
    </row>
    <row r="245" spans="2:6" x14ac:dyDescent="0.2">
      <c r="B245" s="5"/>
      <c r="E245" s="127"/>
      <c r="F245" s="5"/>
    </row>
    <row r="246" spans="2:6" x14ac:dyDescent="0.2">
      <c r="B246" s="5"/>
      <c r="E246" s="127"/>
      <c r="F246" s="5"/>
    </row>
    <row r="247" spans="2:6" x14ac:dyDescent="0.2">
      <c r="B247" s="5"/>
      <c r="E247" s="127"/>
      <c r="F247" s="5"/>
    </row>
    <row r="248" spans="2:6" x14ac:dyDescent="0.2">
      <c r="B248" s="5"/>
      <c r="E248" s="127"/>
      <c r="F248" s="5"/>
    </row>
    <row r="249" spans="2:6" x14ac:dyDescent="0.2">
      <c r="B249" s="5"/>
      <c r="E249" s="127"/>
      <c r="F249" s="5"/>
    </row>
    <row r="250" spans="2:6" x14ac:dyDescent="0.2">
      <c r="B250" s="5"/>
      <c r="E250" s="127"/>
      <c r="F250" s="5"/>
    </row>
    <row r="251" spans="2:6" x14ac:dyDescent="0.2">
      <c r="B251" s="5"/>
      <c r="E251" s="127"/>
      <c r="F251" s="5"/>
    </row>
    <row r="252" spans="2:6" x14ac:dyDescent="0.2">
      <c r="B252" s="5"/>
      <c r="E252" s="127"/>
      <c r="F252" s="5"/>
    </row>
    <row r="253" spans="2:6" x14ac:dyDescent="0.2">
      <c r="B253" s="5"/>
      <c r="E253" s="127"/>
      <c r="F253" s="5"/>
    </row>
    <row r="254" spans="2:6" x14ac:dyDescent="0.2">
      <c r="B254" s="5"/>
      <c r="E254" s="127"/>
      <c r="F254" s="5"/>
    </row>
    <row r="255" spans="2:6" x14ac:dyDescent="0.2">
      <c r="B255" s="5"/>
      <c r="E255" s="127"/>
      <c r="F255" s="5"/>
    </row>
    <row r="256" spans="2:6" x14ac:dyDescent="0.2">
      <c r="B256" s="5"/>
      <c r="E256" s="127"/>
      <c r="F256" s="5"/>
    </row>
    <row r="257" spans="2:6" x14ac:dyDescent="0.2">
      <c r="B257" s="5"/>
      <c r="E257" s="127"/>
      <c r="F257" s="5"/>
    </row>
    <row r="258" spans="2:6" x14ac:dyDescent="0.2">
      <c r="B258" s="5"/>
      <c r="E258" s="127"/>
      <c r="F258" s="5"/>
    </row>
    <row r="259" spans="2:6" x14ac:dyDescent="0.2">
      <c r="B259" s="5"/>
      <c r="E259" s="127"/>
      <c r="F259" s="5"/>
    </row>
    <row r="260" spans="2:6" x14ac:dyDescent="0.2">
      <c r="B260" s="5"/>
      <c r="E260" s="127"/>
      <c r="F260" s="5"/>
    </row>
    <row r="261" spans="2:6" x14ac:dyDescent="0.2">
      <c r="B261" s="5"/>
      <c r="E261" s="127"/>
      <c r="F261" s="5"/>
    </row>
    <row r="262" spans="2:6" x14ac:dyDescent="0.2">
      <c r="B262" s="5"/>
      <c r="E262" s="127"/>
      <c r="F262" s="5"/>
    </row>
    <row r="263" spans="2:6" x14ac:dyDescent="0.2">
      <c r="B263" s="5"/>
      <c r="E263" s="127"/>
      <c r="F263" s="5"/>
    </row>
    <row r="264" spans="2:6" x14ac:dyDescent="0.2">
      <c r="B264" s="5"/>
      <c r="E264" s="127"/>
      <c r="F264" s="5"/>
    </row>
    <row r="265" spans="2:6" x14ac:dyDescent="0.2">
      <c r="B265" s="5"/>
      <c r="E265" s="127"/>
      <c r="F265" s="5"/>
    </row>
    <row r="266" spans="2:6" x14ac:dyDescent="0.2">
      <c r="B266" s="5"/>
      <c r="E266" s="127"/>
      <c r="F266" s="5"/>
    </row>
    <row r="267" spans="2:6" x14ac:dyDescent="0.2">
      <c r="B267" s="5"/>
      <c r="E267" s="127"/>
      <c r="F267" s="5"/>
    </row>
    <row r="268" spans="2:6" x14ac:dyDescent="0.2">
      <c r="B268" s="5"/>
      <c r="E268" s="127"/>
      <c r="F268" s="5"/>
    </row>
    <row r="269" spans="2:6" x14ac:dyDescent="0.2">
      <c r="B269" s="5"/>
      <c r="E269" s="127"/>
      <c r="F269" s="5"/>
    </row>
    <row r="270" spans="2:6" x14ac:dyDescent="0.2">
      <c r="B270" s="5"/>
      <c r="E270" s="127"/>
      <c r="F270" s="5"/>
    </row>
    <row r="271" spans="2:6" x14ac:dyDescent="0.2">
      <c r="B271" s="5"/>
      <c r="E271" s="127"/>
      <c r="F271" s="5"/>
    </row>
    <row r="272" spans="2:6" x14ac:dyDescent="0.2">
      <c r="B272" s="5"/>
      <c r="E272" s="127"/>
      <c r="F272" s="5"/>
    </row>
    <row r="273" spans="2:6" x14ac:dyDescent="0.2">
      <c r="B273" s="5"/>
      <c r="E273" s="127"/>
      <c r="F273" s="5"/>
    </row>
    <row r="274" spans="2:6" x14ac:dyDescent="0.2">
      <c r="B274" s="5"/>
      <c r="E274" s="127"/>
      <c r="F274" s="5"/>
    </row>
    <row r="275" spans="2:6" x14ac:dyDescent="0.2">
      <c r="B275" s="5"/>
      <c r="E275" s="127"/>
      <c r="F275" s="5"/>
    </row>
    <row r="276" spans="2:6" x14ac:dyDescent="0.2">
      <c r="B276" s="5"/>
      <c r="E276" s="127"/>
      <c r="F276" s="5"/>
    </row>
    <row r="277" spans="2:6" x14ac:dyDescent="0.2">
      <c r="B277" s="5"/>
      <c r="E277" s="127"/>
      <c r="F277" s="5"/>
    </row>
    <row r="278" spans="2:6" x14ac:dyDescent="0.2">
      <c r="B278" s="5"/>
      <c r="E278" s="127"/>
      <c r="F278" s="5"/>
    </row>
    <row r="279" spans="2:6" x14ac:dyDescent="0.2">
      <c r="B279" s="5"/>
      <c r="E279" s="127"/>
      <c r="F279" s="5"/>
    </row>
    <row r="280" spans="2:6" x14ac:dyDescent="0.2">
      <c r="B280" s="5"/>
      <c r="E280" s="127"/>
      <c r="F280" s="5"/>
    </row>
    <row r="281" spans="2:6" x14ac:dyDescent="0.2">
      <c r="B281" s="5"/>
      <c r="E281" s="127"/>
      <c r="F281" s="5"/>
    </row>
    <row r="282" spans="2:6" x14ac:dyDescent="0.2">
      <c r="B282" s="5"/>
      <c r="E282" s="127"/>
      <c r="F282" s="5"/>
    </row>
    <row r="283" spans="2:6" x14ac:dyDescent="0.2">
      <c r="B283" s="5"/>
      <c r="E283" s="127"/>
      <c r="F283" s="5"/>
    </row>
    <row r="284" spans="2:6" x14ac:dyDescent="0.2">
      <c r="B284" s="5"/>
      <c r="E284" s="127"/>
      <c r="F284" s="5"/>
    </row>
    <row r="285" spans="2:6" x14ac:dyDescent="0.2">
      <c r="B285" s="5"/>
      <c r="E285" s="127"/>
      <c r="F285" s="5"/>
    </row>
    <row r="286" spans="2:6" x14ac:dyDescent="0.2">
      <c r="B286" s="5"/>
      <c r="E286" s="127"/>
      <c r="F286" s="5"/>
    </row>
    <row r="287" spans="2:6" x14ac:dyDescent="0.2">
      <c r="B287" s="5"/>
      <c r="E287" s="127"/>
      <c r="F287" s="5"/>
    </row>
    <row r="288" spans="2:6" x14ac:dyDescent="0.2">
      <c r="B288" s="5"/>
      <c r="E288" s="127"/>
      <c r="F288" s="5"/>
    </row>
    <row r="289" spans="2:6" x14ac:dyDescent="0.2">
      <c r="B289" s="5"/>
      <c r="E289" s="127"/>
      <c r="F289" s="5"/>
    </row>
    <row r="290" spans="2:6" x14ac:dyDescent="0.2">
      <c r="B290" s="5"/>
      <c r="E290" s="127"/>
      <c r="F290" s="5"/>
    </row>
    <row r="291" spans="2:6" x14ac:dyDescent="0.2">
      <c r="B291" s="5"/>
      <c r="E291" s="127"/>
      <c r="F291" s="5"/>
    </row>
    <row r="292" spans="2:6" x14ac:dyDescent="0.2">
      <c r="B292" s="5"/>
      <c r="E292" s="127"/>
      <c r="F292" s="5"/>
    </row>
    <row r="293" spans="2:6" x14ac:dyDescent="0.2">
      <c r="B293" s="5"/>
      <c r="E293" s="127"/>
      <c r="F293" s="5"/>
    </row>
    <row r="294" spans="2:6" x14ac:dyDescent="0.2">
      <c r="B294" s="5"/>
      <c r="E294" s="127"/>
      <c r="F294" s="5"/>
    </row>
    <row r="295" spans="2:6" x14ac:dyDescent="0.2">
      <c r="B295" s="5"/>
      <c r="E295" s="127"/>
      <c r="F295" s="5"/>
    </row>
    <row r="296" spans="2:6" x14ac:dyDescent="0.2">
      <c r="B296" s="5"/>
      <c r="E296" s="127"/>
      <c r="F296" s="5"/>
    </row>
    <row r="297" spans="2:6" x14ac:dyDescent="0.2">
      <c r="B297" s="5"/>
      <c r="E297" s="127"/>
      <c r="F297" s="5"/>
    </row>
    <row r="298" spans="2:6" x14ac:dyDescent="0.2">
      <c r="B298" s="5"/>
      <c r="E298" s="127"/>
      <c r="F298" s="5"/>
    </row>
    <row r="299" spans="2:6" x14ac:dyDescent="0.2">
      <c r="B299" s="5"/>
      <c r="E299" s="127"/>
      <c r="F299" s="5"/>
    </row>
    <row r="300" spans="2:6" x14ac:dyDescent="0.2">
      <c r="B300" s="5"/>
      <c r="E300" s="127"/>
      <c r="F300" s="5"/>
    </row>
    <row r="301" spans="2:6" x14ac:dyDescent="0.2">
      <c r="B301" s="5"/>
      <c r="E301" s="127"/>
      <c r="F301" s="5"/>
    </row>
    <row r="302" spans="2:6" x14ac:dyDescent="0.2">
      <c r="B302" s="5"/>
      <c r="E302" s="127"/>
      <c r="F302" s="5"/>
    </row>
    <row r="303" spans="2:6" x14ac:dyDescent="0.2">
      <c r="B303" s="5"/>
      <c r="E303" s="127"/>
      <c r="F303" s="5"/>
    </row>
    <row r="304" spans="2:6" x14ac:dyDescent="0.2">
      <c r="B304" s="5"/>
      <c r="E304" s="127"/>
      <c r="F304" s="5"/>
    </row>
    <row r="305" spans="2:6" x14ac:dyDescent="0.2">
      <c r="B305" s="5"/>
      <c r="E305" s="127"/>
      <c r="F305" s="5"/>
    </row>
    <row r="306" spans="2:6" x14ac:dyDescent="0.2">
      <c r="B306" s="5"/>
      <c r="E306" s="127"/>
      <c r="F306" s="5"/>
    </row>
    <row r="307" spans="2:6" x14ac:dyDescent="0.2">
      <c r="B307" s="5"/>
      <c r="E307" s="127"/>
      <c r="F307" s="5"/>
    </row>
    <row r="308" spans="2:6" x14ac:dyDescent="0.2">
      <c r="B308" s="5"/>
      <c r="E308" s="127"/>
      <c r="F308" s="5"/>
    </row>
    <row r="309" spans="2:6" x14ac:dyDescent="0.2">
      <c r="B309" s="5"/>
      <c r="E309" s="127"/>
      <c r="F309" s="5"/>
    </row>
    <row r="310" spans="2:6" x14ac:dyDescent="0.2">
      <c r="B310" s="5"/>
      <c r="E310" s="127"/>
      <c r="F310" s="5"/>
    </row>
    <row r="311" spans="2:6" x14ac:dyDescent="0.2">
      <c r="B311" s="5"/>
      <c r="E311" s="127"/>
      <c r="F311" s="5"/>
    </row>
    <row r="312" spans="2:6" x14ac:dyDescent="0.2">
      <c r="B312" s="5"/>
      <c r="E312" s="127"/>
      <c r="F312" s="5"/>
    </row>
    <row r="313" spans="2:6" x14ac:dyDescent="0.2">
      <c r="B313" s="5"/>
      <c r="E313" s="127"/>
      <c r="F313" s="5"/>
    </row>
    <row r="314" spans="2:6" x14ac:dyDescent="0.2">
      <c r="B314" s="5"/>
      <c r="E314" s="127"/>
      <c r="F314" s="5"/>
    </row>
    <row r="315" spans="2:6" x14ac:dyDescent="0.2">
      <c r="B315" s="5"/>
      <c r="E315" s="127"/>
      <c r="F315" s="5"/>
    </row>
    <row r="316" spans="2:6" x14ac:dyDescent="0.2">
      <c r="B316" s="5"/>
      <c r="E316" s="127"/>
      <c r="F316" s="5"/>
    </row>
    <row r="317" spans="2:6" x14ac:dyDescent="0.2">
      <c r="B317" s="5"/>
      <c r="E317" s="127"/>
      <c r="F317" s="5"/>
    </row>
    <row r="318" spans="2:6" x14ac:dyDescent="0.2">
      <c r="B318" s="5"/>
      <c r="E318" s="127"/>
      <c r="F318" s="5"/>
    </row>
    <row r="319" spans="2:6" x14ac:dyDescent="0.2">
      <c r="B319" s="5"/>
      <c r="E319" s="127"/>
      <c r="F319" s="5"/>
    </row>
    <row r="320" spans="2:6" x14ac:dyDescent="0.2">
      <c r="B320" s="5"/>
      <c r="E320" s="127"/>
      <c r="F320" s="5"/>
    </row>
    <row r="321" spans="2:6" x14ac:dyDescent="0.2">
      <c r="B321" s="5"/>
      <c r="E321" s="127"/>
      <c r="F321" s="5"/>
    </row>
    <row r="322" spans="2:6" x14ac:dyDescent="0.2">
      <c r="B322" s="5"/>
      <c r="E322" s="127"/>
      <c r="F322" s="5"/>
    </row>
    <row r="323" spans="2:6" x14ac:dyDescent="0.2">
      <c r="B323" s="5"/>
      <c r="E323" s="127"/>
      <c r="F323" s="5"/>
    </row>
    <row r="324" spans="2:6" x14ac:dyDescent="0.2">
      <c r="B324" s="5"/>
      <c r="E324" s="127"/>
      <c r="F324" s="5"/>
    </row>
    <row r="325" spans="2:6" x14ac:dyDescent="0.2">
      <c r="B325" s="5"/>
      <c r="E325" s="127"/>
      <c r="F325" s="5"/>
    </row>
    <row r="326" spans="2:6" x14ac:dyDescent="0.2">
      <c r="B326" s="5"/>
      <c r="E326" s="127"/>
      <c r="F326" s="5"/>
    </row>
    <row r="327" spans="2:6" x14ac:dyDescent="0.2">
      <c r="B327" s="5"/>
      <c r="E327" s="127"/>
      <c r="F327" s="5"/>
    </row>
    <row r="328" spans="2:6" x14ac:dyDescent="0.2">
      <c r="B328" s="5"/>
      <c r="E328" s="127"/>
      <c r="F328" s="5"/>
    </row>
    <row r="329" spans="2:6" x14ac:dyDescent="0.2">
      <c r="B329" s="5"/>
      <c r="E329" s="127"/>
      <c r="F329" s="5"/>
    </row>
    <row r="330" spans="2:6" x14ac:dyDescent="0.2">
      <c r="B330" s="5"/>
      <c r="E330" s="127"/>
      <c r="F330" s="5"/>
    </row>
    <row r="331" spans="2:6" x14ac:dyDescent="0.2">
      <c r="B331" s="5"/>
      <c r="E331" s="127"/>
      <c r="F331" s="5"/>
    </row>
    <row r="332" spans="2:6" x14ac:dyDescent="0.2">
      <c r="B332" s="5"/>
      <c r="E332" s="127"/>
      <c r="F332" s="5"/>
    </row>
    <row r="333" spans="2:6" x14ac:dyDescent="0.2">
      <c r="B333" s="5"/>
      <c r="E333" s="127"/>
      <c r="F333" s="5"/>
    </row>
    <row r="334" spans="2:6" x14ac:dyDescent="0.2">
      <c r="B334" s="5"/>
      <c r="E334" s="127"/>
      <c r="F334" s="5"/>
    </row>
    <row r="335" spans="2:6" x14ac:dyDescent="0.2">
      <c r="B335" s="5"/>
      <c r="E335" s="127"/>
      <c r="F335" s="5"/>
    </row>
    <row r="336" spans="2:6" x14ac:dyDescent="0.2">
      <c r="B336" s="5"/>
      <c r="E336" s="127"/>
      <c r="F336" s="5"/>
    </row>
    <row r="337" spans="2:6" x14ac:dyDescent="0.2">
      <c r="B337" s="5"/>
      <c r="E337" s="127"/>
      <c r="F337" s="5"/>
    </row>
    <row r="338" spans="2:6" x14ac:dyDescent="0.2">
      <c r="B338" s="5"/>
      <c r="E338" s="127"/>
      <c r="F338" s="5"/>
    </row>
    <row r="339" spans="2:6" x14ac:dyDescent="0.2">
      <c r="B339" s="5"/>
      <c r="E339" s="127"/>
      <c r="F339" s="5"/>
    </row>
    <row r="340" spans="2:6" x14ac:dyDescent="0.2">
      <c r="B340" s="5"/>
      <c r="E340" s="127"/>
      <c r="F340" s="5"/>
    </row>
    <row r="341" spans="2:6" x14ac:dyDescent="0.2">
      <c r="B341" s="5"/>
      <c r="E341" s="127"/>
      <c r="F341" s="5"/>
    </row>
    <row r="342" spans="2:6" x14ac:dyDescent="0.2">
      <c r="B342" s="5"/>
      <c r="E342" s="127"/>
      <c r="F342" s="5"/>
    </row>
    <row r="343" spans="2:6" x14ac:dyDescent="0.2">
      <c r="B343" s="5"/>
      <c r="E343" s="127"/>
      <c r="F343" s="5"/>
    </row>
    <row r="344" spans="2:6" x14ac:dyDescent="0.2">
      <c r="B344" s="5"/>
      <c r="E344" s="127"/>
      <c r="F344" s="5"/>
    </row>
    <row r="345" spans="2:6" x14ac:dyDescent="0.2">
      <c r="B345" s="5"/>
      <c r="E345" s="127"/>
      <c r="F345" s="5"/>
    </row>
    <row r="346" spans="2:6" x14ac:dyDescent="0.2">
      <c r="B346" s="5"/>
      <c r="E346" s="127"/>
      <c r="F346" s="5"/>
    </row>
    <row r="347" spans="2:6" x14ac:dyDescent="0.2">
      <c r="B347" s="5"/>
      <c r="E347" s="127"/>
      <c r="F347" s="5"/>
    </row>
    <row r="348" spans="2:6" x14ac:dyDescent="0.2">
      <c r="B348" s="5"/>
      <c r="E348" s="127"/>
      <c r="F348" s="5"/>
    </row>
    <row r="349" spans="2:6" x14ac:dyDescent="0.2">
      <c r="B349" s="5"/>
      <c r="E349" s="127"/>
      <c r="F349" s="5"/>
    </row>
    <row r="350" spans="2:6" x14ac:dyDescent="0.2">
      <c r="B350" s="5"/>
      <c r="E350" s="127"/>
      <c r="F350" s="5"/>
    </row>
    <row r="351" spans="2:6" x14ac:dyDescent="0.2">
      <c r="B351" s="5"/>
      <c r="E351" s="127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  <row r="874" spans="2:6" x14ac:dyDescent="0.2">
      <c r="B874" s="5"/>
      <c r="F874" s="5"/>
    </row>
    <row r="875" spans="2:6" x14ac:dyDescent="0.2">
      <c r="B875" s="5"/>
      <c r="F875" s="5"/>
    </row>
    <row r="876" spans="2:6" x14ac:dyDescent="0.2">
      <c r="B876" s="5"/>
      <c r="F876" s="5"/>
    </row>
    <row r="877" spans="2:6" x14ac:dyDescent="0.2">
      <c r="B877" s="5"/>
      <c r="F877" s="5"/>
    </row>
    <row r="878" spans="2:6" x14ac:dyDescent="0.2">
      <c r="B878" s="5"/>
      <c r="F878" s="5"/>
    </row>
    <row r="879" spans="2:6" x14ac:dyDescent="0.2">
      <c r="B879" s="5"/>
      <c r="F879" s="5"/>
    </row>
    <row r="880" spans="2:6" x14ac:dyDescent="0.2">
      <c r="B880" s="5"/>
      <c r="F880" s="5"/>
    </row>
    <row r="881" spans="2:6" x14ac:dyDescent="0.2">
      <c r="B881" s="5"/>
      <c r="F881" s="5"/>
    </row>
    <row r="882" spans="2:6" x14ac:dyDescent="0.2">
      <c r="B882" s="5"/>
      <c r="F882" s="5"/>
    </row>
    <row r="883" spans="2:6" x14ac:dyDescent="0.2">
      <c r="B883" s="5"/>
      <c r="F883" s="5"/>
    </row>
    <row r="884" spans="2:6" x14ac:dyDescent="0.2">
      <c r="B884" s="5"/>
      <c r="F884" s="5"/>
    </row>
    <row r="885" spans="2:6" x14ac:dyDescent="0.2">
      <c r="B885" s="5"/>
      <c r="F885" s="5"/>
    </row>
    <row r="886" spans="2:6" x14ac:dyDescent="0.2">
      <c r="B886" s="5"/>
      <c r="F886" s="5"/>
    </row>
    <row r="887" spans="2:6" x14ac:dyDescent="0.2">
      <c r="B887" s="5"/>
      <c r="F887" s="5"/>
    </row>
    <row r="888" spans="2:6" x14ac:dyDescent="0.2">
      <c r="B888" s="5"/>
      <c r="F888" s="5"/>
    </row>
    <row r="889" spans="2:6" x14ac:dyDescent="0.2">
      <c r="B889" s="5"/>
      <c r="F889" s="5"/>
    </row>
    <row r="890" spans="2:6" x14ac:dyDescent="0.2">
      <c r="B890" s="5"/>
      <c r="F890" s="5"/>
    </row>
    <row r="891" spans="2:6" x14ac:dyDescent="0.2">
      <c r="B891" s="5"/>
      <c r="F891" s="5"/>
    </row>
    <row r="892" spans="2:6" x14ac:dyDescent="0.2">
      <c r="B892" s="5"/>
      <c r="F892" s="5"/>
    </row>
    <row r="893" spans="2:6" x14ac:dyDescent="0.2">
      <c r="B893" s="5"/>
      <c r="F893" s="5"/>
    </row>
    <row r="894" spans="2:6" x14ac:dyDescent="0.2">
      <c r="B894" s="5"/>
      <c r="F894" s="5"/>
    </row>
    <row r="895" spans="2:6" x14ac:dyDescent="0.2">
      <c r="B895" s="5"/>
      <c r="F895" s="5"/>
    </row>
    <row r="896" spans="2:6" x14ac:dyDescent="0.2">
      <c r="B896" s="5"/>
      <c r="F896" s="5"/>
    </row>
    <row r="897" spans="2:6" x14ac:dyDescent="0.2">
      <c r="B897" s="5"/>
      <c r="F897" s="5"/>
    </row>
    <row r="898" spans="2:6" x14ac:dyDescent="0.2">
      <c r="B898" s="5"/>
      <c r="F898" s="5"/>
    </row>
    <row r="899" spans="2:6" x14ac:dyDescent="0.2">
      <c r="B899" s="5"/>
      <c r="F899" s="5"/>
    </row>
    <row r="900" spans="2:6" x14ac:dyDescent="0.2">
      <c r="B900" s="5"/>
      <c r="F900" s="5"/>
    </row>
    <row r="901" spans="2:6" x14ac:dyDescent="0.2">
      <c r="B901" s="5"/>
      <c r="F901" s="5"/>
    </row>
    <row r="902" spans="2:6" x14ac:dyDescent="0.2">
      <c r="B902" s="5"/>
      <c r="F902" s="5"/>
    </row>
    <row r="903" spans="2:6" x14ac:dyDescent="0.2">
      <c r="B903" s="5"/>
      <c r="F903" s="5"/>
    </row>
    <row r="904" spans="2:6" x14ac:dyDescent="0.2">
      <c r="B904" s="5"/>
      <c r="F904" s="5"/>
    </row>
    <row r="905" spans="2:6" x14ac:dyDescent="0.2">
      <c r="B905" s="5"/>
      <c r="F905" s="5"/>
    </row>
    <row r="906" spans="2:6" x14ac:dyDescent="0.2">
      <c r="B906" s="5"/>
      <c r="F906" s="5"/>
    </row>
    <row r="907" spans="2:6" x14ac:dyDescent="0.2">
      <c r="B907" s="5"/>
      <c r="F907" s="5"/>
    </row>
    <row r="908" spans="2:6" x14ac:dyDescent="0.2">
      <c r="B908" s="5"/>
      <c r="F908" s="5"/>
    </row>
    <row r="909" spans="2:6" x14ac:dyDescent="0.2">
      <c r="B909" s="5"/>
      <c r="F909" s="5"/>
    </row>
    <row r="910" spans="2:6" x14ac:dyDescent="0.2">
      <c r="B910" s="5"/>
      <c r="F910" s="5"/>
    </row>
    <row r="911" spans="2:6" x14ac:dyDescent="0.2">
      <c r="B911" s="5"/>
      <c r="F911" s="5"/>
    </row>
    <row r="912" spans="2:6" x14ac:dyDescent="0.2">
      <c r="B912" s="5"/>
      <c r="F912" s="5"/>
    </row>
    <row r="913" spans="2:6" x14ac:dyDescent="0.2">
      <c r="B913" s="5"/>
      <c r="F913" s="5"/>
    </row>
    <row r="914" spans="2:6" x14ac:dyDescent="0.2">
      <c r="B914" s="5"/>
      <c r="F914" s="5"/>
    </row>
    <row r="915" spans="2:6" x14ac:dyDescent="0.2">
      <c r="B915" s="5"/>
      <c r="F915" s="5"/>
    </row>
    <row r="916" spans="2:6" x14ac:dyDescent="0.2">
      <c r="B916" s="5"/>
      <c r="F916" s="5"/>
    </row>
    <row r="917" spans="2:6" x14ac:dyDescent="0.2">
      <c r="B917" s="5"/>
      <c r="F917" s="5"/>
    </row>
    <row r="918" spans="2:6" x14ac:dyDescent="0.2">
      <c r="B918" s="5"/>
      <c r="F918" s="5"/>
    </row>
    <row r="919" spans="2:6" x14ac:dyDescent="0.2">
      <c r="B919" s="5"/>
      <c r="F919" s="5"/>
    </row>
    <row r="920" spans="2:6" x14ac:dyDescent="0.2">
      <c r="B920" s="5"/>
      <c r="F920" s="5"/>
    </row>
    <row r="921" spans="2:6" x14ac:dyDescent="0.2">
      <c r="B921" s="5"/>
      <c r="F921" s="5"/>
    </row>
    <row r="922" spans="2:6" x14ac:dyDescent="0.2">
      <c r="B922" s="5"/>
      <c r="F922" s="5"/>
    </row>
    <row r="923" spans="2:6" x14ac:dyDescent="0.2">
      <c r="B923" s="5"/>
      <c r="F923" s="5"/>
    </row>
    <row r="924" spans="2:6" x14ac:dyDescent="0.2">
      <c r="B924" s="5"/>
      <c r="F924" s="5"/>
    </row>
    <row r="925" spans="2:6" x14ac:dyDescent="0.2">
      <c r="B925" s="5"/>
      <c r="F925" s="5"/>
    </row>
    <row r="926" spans="2:6" x14ac:dyDescent="0.2">
      <c r="B926" s="5"/>
      <c r="F926" s="5"/>
    </row>
    <row r="927" spans="2:6" x14ac:dyDescent="0.2">
      <c r="B927" s="5"/>
      <c r="F927" s="5"/>
    </row>
    <row r="928" spans="2:6" x14ac:dyDescent="0.2">
      <c r="B928" s="5"/>
      <c r="F928" s="5"/>
    </row>
    <row r="929" spans="2:6" x14ac:dyDescent="0.2">
      <c r="B929" s="5"/>
      <c r="F929" s="5"/>
    </row>
    <row r="930" spans="2:6" x14ac:dyDescent="0.2">
      <c r="B930" s="5"/>
      <c r="F930" s="5"/>
    </row>
    <row r="931" spans="2:6" x14ac:dyDescent="0.2">
      <c r="B931" s="5"/>
      <c r="F931" s="5"/>
    </row>
    <row r="932" spans="2:6" x14ac:dyDescent="0.2">
      <c r="B932" s="5"/>
      <c r="F932" s="5"/>
    </row>
    <row r="933" spans="2:6" x14ac:dyDescent="0.2">
      <c r="B933" s="5"/>
      <c r="F933" s="5"/>
    </row>
    <row r="934" spans="2:6" x14ac:dyDescent="0.2">
      <c r="B934" s="5"/>
      <c r="F934" s="5"/>
    </row>
    <row r="935" spans="2:6" x14ac:dyDescent="0.2">
      <c r="B935" s="5"/>
      <c r="F935" s="5"/>
    </row>
    <row r="936" spans="2:6" x14ac:dyDescent="0.2">
      <c r="B936" s="5"/>
      <c r="F936" s="5"/>
    </row>
    <row r="937" spans="2:6" x14ac:dyDescent="0.2">
      <c r="B937" s="5"/>
      <c r="F937" s="5"/>
    </row>
    <row r="938" spans="2:6" x14ac:dyDescent="0.2">
      <c r="B938" s="5"/>
      <c r="F938" s="5"/>
    </row>
    <row r="939" spans="2:6" x14ac:dyDescent="0.2">
      <c r="B939" s="5"/>
      <c r="F939" s="5"/>
    </row>
    <row r="940" spans="2:6" x14ac:dyDescent="0.2">
      <c r="B940" s="5"/>
      <c r="F940" s="5"/>
    </row>
    <row r="941" spans="2:6" x14ac:dyDescent="0.2">
      <c r="B941" s="5"/>
      <c r="F941" s="5"/>
    </row>
    <row r="942" spans="2:6" x14ac:dyDescent="0.2">
      <c r="B942" s="5"/>
      <c r="F942" s="5"/>
    </row>
    <row r="943" spans="2:6" x14ac:dyDescent="0.2">
      <c r="B943" s="5"/>
      <c r="F943" s="5"/>
    </row>
    <row r="944" spans="2:6" x14ac:dyDescent="0.2">
      <c r="B944" s="5"/>
      <c r="F944" s="5"/>
    </row>
    <row r="945" spans="2:6" x14ac:dyDescent="0.2">
      <c r="B945" s="5"/>
      <c r="F945" s="5"/>
    </row>
    <row r="946" spans="2:6" x14ac:dyDescent="0.2">
      <c r="B946" s="5"/>
      <c r="F946" s="5"/>
    </row>
    <row r="947" spans="2:6" x14ac:dyDescent="0.2">
      <c r="B947" s="5"/>
      <c r="F947" s="5"/>
    </row>
    <row r="948" spans="2:6" x14ac:dyDescent="0.2">
      <c r="B948" s="5"/>
      <c r="F948" s="5"/>
    </row>
    <row r="949" spans="2:6" x14ac:dyDescent="0.2">
      <c r="B949" s="5"/>
      <c r="F949" s="5"/>
    </row>
    <row r="950" spans="2:6" x14ac:dyDescent="0.2">
      <c r="B950" s="5"/>
      <c r="F950" s="5"/>
    </row>
    <row r="951" spans="2:6" x14ac:dyDescent="0.2">
      <c r="B951" s="5"/>
      <c r="F951" s="5"/>
    </row>
    <row r="952" spans="2:6" x14ac:dyDescent="0.2">
      <c r="B952" s="5"/>
      <c r="F952" s="5"/>
    </row>
    <row r="953" spans="2:6" x14ac:dyDescent="0.2">
      <c r="B953" s="5"/>
      <c r="F953" s="5"/>
    </row>
    <row r="954" spans="2:6" x14ac:dyDescent="0.2">
      <c r="B954" s="5"/>
      <c r="F954" s="5"/>
    </row>
    <row r="955" spans="2:6" x14ac:dyDescent="0.2">
      <c r="B955" s="5"/>
      <c r="F955" s="5"/>
    </row>
    <row r="956" spans="2:6" x14ac:dyDescent="0.2">
      <c r="B956" s="5"/>
      <c r="F956" s="5"/>
    </row>
    <row r="957" spans="2:6" x14ac:dyDescent="0.2">
      <c r="B957" s="5"/>
      <c r="F957" s="5"/>
    </row>
    <row r="958" spans="2:6" x14ac:dyDescent="0.2">
      <c r="B958" s="5"/>
      <c r="F958" s="5"/>
    </row>
    <row r="959" spans="2:6" x14ac:dyDescent="0.2">
      <c r="B959" s="5"/>
      <c r="F959" s="5"/>
    </row>
    <row r="960" spans="2:6" x14ac:dyDescent="0.2">
      <c r="B960" s="5"/>
      <c r="F960" s="5"/>
    </row>
    <row r="961" spans="2:6" x14ac:dyDescent="0.2">
      <c r="B961" s="5"/>
      <c r="F961" s="5"/>
    </row>
    <row r="962" spans="2:6" x14ac:dyDescent="0.2">
      <c r="B962" s="5"/>
      <c r="F962" s="5"/>
    </row>
    <row r="963" spans="2:6" x14ac:dyDescent="0.2">
      <c r="B963" s="5"/>
      <c r="F963" s="5"/>
    </row>
    <row r="964" spans="2:6" x14ac:dyDescent="0.2">
      <c r="B964" s="5"/>
      <c r="F964" s="5"/>
    </row>
    <row r="965" spans="2:6" x14ac:dyDescent="0.2">
      <c r="B965" s="5"/>
      <c r="F965" s="5"/>
    </row>
    <row r="966" spans="2:6" x14ac:dyDescent="0.2">
      <c r="B966" s="5"/>
      <c r="F966" s="5"/>
    </row>
    <row r="967" spans="2:6" x14ac:dyDescent="0.2">
      <c r="B967" s="5"/>
      <c r="F967" s="5"/>
    </row>
    <row r="968" spans="2:6" x14ac:dyDescent="0.2">
      <c r="B968" s="5"/>
      <c r="F968" s="5"/>
    </row>
    <row r="969" spans="2:6" x14ac:dyDescent="0.2">
      <c r="B969" s="5"/>
      <c r="F969" s="5"/>
    </row>
    <row r="970" spans="2:6" x14ac:dyDescent="0.2">
      <c r="B970" s="5"/>
      <c r="F970" s="5"/>
    </row>
    <row r="971" spans="2:6" x14ac:dyDescent="0.2">
      <c r="B971" s="5"/>
      <c r="F971" s="5"/>
    </row>
    <row r="972" spans="2:6" x14ac:dyDescent="0.2">
      <c r="B972" s="5"/>
      <c r="F972" s="5"/>
    </row>
    <row r="973" spans="2:6" x14ac:dyDescent="0.2">
      <c r="B973" s="5"/>
      <c r="F973" s="5"/>
    </row>
    <row r="974" spans="2:6" x14ac:dyDescent="0.2">
      <c r="B974" s="5"/>
      <c r="F974" s="5"/>
    </row>
    <row r="975" spans="2:6" x14ac:dyDescent="0.2">
      <c r="B975" s="5"/>
      <c r="F975" s="5"/>
    </row>
    <row r="976" spans="2:6" x14ac:dyDescent="0.2">
      <c r="B976" s="5"/>
      <c r="F976" s="5"/>
    </row>
    <row r="977" spans="2:6" x14ac:dyDescent="0.2">
      <c r="B977" s="5"/>
      <c r="F977" s="5"/>
    </row>
    <row r="978" spans="2:6" x14ac:dyDescent="0.2">
      <c r="B978" s="5"/>
      <c r="F978" s="5"/>
    </row>
    <row r="979" spans="2:6" x14ac:dyDescent="0.2">
      <c r="B979" s="5"/>
      <c r="F979" s="5"/>
    </row>
    <row r="980" spans="2:6" x14ac:dyDescent="0.2">
      <c r="B980" s="5"/>
      <c r="F980" s="5"/>
    </row>
    <row r="981" spans="2:6" x14ac:dyDescent="0.2">
      <c r="B981" s="5"/>
      <c r="F981" s="5"/>
    </row>
    <row r="982" spans="2:6" x14ac:dyDescent="0.2">
      <c r="B982" s="5"/>
      <c r="F982" s="5"/>
    </row>
    <row r="983" spans="2:6" x14ac:dyDescent="0.2">
      <c r="B983" s="5"/>
      <c r="F983" s="5"/>
    </row>
    <row r="984" spans="2:6" x14ac:dyDescent="0.2">
      <c r="B984" s="5"/>
      <c r="F984" s="5"/>
    </row>
    <row r="985" spans="2:6" x14ac:dyDescent="0.2">
      <c r="B985" s="5"/>
      <c r="F985" s="5"/>
    </row>
    <row r="986" spans="2:6" x14ac:dyDescent="0.2">
      <c r="B986" s="5"/>
      <c r="F986" s="5"/>
    </row>
    <row r="987" spans="2:6" x14ac:dyDescent="0.2">
      <c r="B987" s="5"/>
      <c r="F987" s="5"/>
    </row>
    <row r="988" spans="2:6" x14ac:dyDescent="0.2">
      <c r="B988" s="5"/>
      <c r="F988" s="5"/>
    </row>
    <row r="989" spans="2:6" x14ac:dyDescent="0.2">
      <c r="B989" s="5"/>
      <c r="F989" s="5"/>
    </row>
    <row r="990" spans="2:6" x14ac:dyDescent="0.2">
      <c r="B990" s="5"/>
      <c r="F990" s="5"/>
    </row>
    <row r="991" spans="2:6" x14ac:dyDescent="0.2">
      <c r="B991" s="5"/>
      <c r="F991" s="5"/>
    </row>
    <row r="992" spans="2:6" x14ac:dyDescent="0.2">
      <c r="B992" s="5"/>
      <c r="F992" s="5"/>
    </row>
    <row r="993" spans="2:6" x14ac:dyDescent="0.2">
      <c r="B993" s="5"/>
      <c r="F993" s="5"/>
    </row>
    <row r="994" spans="2:6" x14ac:dyDescent="0.2">
      <c r="B994" s="5"/>
      <c r="F994" s="5"/>
    </row>
    <row r="995" spans="2:6" x14ac:dyDescent="0.2">
      <c r="B995" s="5"/>
      <c r="F995" s="5"/>
    </row>
    <row r="996" spans="2:6" x14ac:dyDescent="0.2">
      <c r="B996" s="5"/>
      <c r="F996" s="5"/>
    </row>
    <row r="997" spans="2:6" x14ac:dyDescent="0.2">
      <c r="B997" s="5"/>
      <c r="F997" s="5"/>
    </row>
    <row r="998" spans="2:6" x14ac:dyDescent="0.2">
      <c r="B998" s="5"/>
      <c r="F998" s="5"/>
    </row>
    <row r="999" spans="2:6" x14ac:dyDescent="0.2">
      <c r="B999" s="5"/>
      <c r="F999" s="5"/>
    </row>
    <row r="1000" spans="2:6" x14ac:dyDescent="0.2">
      <c r="B1000" s="5"/>
      <c r="F1000" s="5"/>
    </row>
    <row r="1001" spans="2:6" x14ac:dyDescent="0.2">
      <c r="B1001" s="5"/>
      <c r="F1001" s="5"/>
    </row>
    <row r="1002" spans="2:6" x14ac:dyDescent="0.2">
      <c r="B1002" s="5"/>
      <c r="F1002" s="5"/>
    </row>
    <row r="1003" spans="2:6" x14ac:dyDescent="0.2">
      <c r="B1003" s="5"/>
      <c r="F1003" s="5"/>
    </row>
    <row r="1004" spans="2:6" x14ac:dyDescent="0.2">
      <c r="B1004" s="5"/>
      <c r="F1004" s="5"/>
    </row>
    <row r="1005" spans="2:6" x14ac:dyDescent="0.2">
      <c r="B1005" s="5"/>
      <c r="F1005" s="5"/>
    </row>
    <row r="1006" spans="2:6" x14ac:dyDescent="0.2">
      <c r="B1006" s="5"/>
      <c r="F1006" s="5"/>
    </row>
    <row r="1007" spans="2:6" x14ac:dyDescent="0.2">
      <c r="B1007" s="5"/>
      <c r="F1007" s="5"/>
    </row>
    <row r="1008" spans="2:6" x14ac:dyDescent="0.2">
      <c r="B1008" s="5"/>
      <c r="F1008" s="5"/>
    </row>
    <row r="1009" spans="2:6" x14ac:dyDescent="0.2">
      <c r="B1009" s="5"/>
      <c r="F1009" s="5"/>
    </row>
    <row r="1010" spans="2:6" x14ac:dyDescent="0.2">
      <c r="B1010" s="5"/>
      <c r="F1010" s="5"/>
    </row>
    <row r="1011" spans="2:6" x14ac:dyDescent="0.2">
      <c r="B1011" s="5"/>
      <c r="F1011" s="5"/>
    </row>
    <row r="1012" spans="2:6" x14ac:dyDescent="0.2">
      <c r="B1012" s="5"/>
      <c r="F1012" s="5"/>
    </row>
    <row r="1013" spans="2:6" x14ac:dyDescent="0.2">
      <c r="B1013" s="5"/>
      <c r="F1013" s="5"/>
    </row>
    <row r="1014" spans="2:6" x14ac:dyDescent="0.2">
      <c r="B1014" s="5"/>
      <c r="F1014" s="5"/>
    </row>
    <row r="1015" spans="2:6" x14ac:dyDescent="0.2">
      <c r="B1015" s="5"/>
      <c r="F1015" s="5"/>
    </row>
    <row r="1016" spans="2:6" x14ac:dyDescent="0.2">
      <c r="B1016" s="5"/>
      <c r="F1016" s="5"/>
    </row>
    <row r="1017" spans="2:6" x14ac:dyDescent="0.2">
      <c r="B1017" s="5"/>
      <c r="F1017" s="5"/>
    </row>
    <row r="1018" spans="2:6" x14ac:dyDescent="0.2">
      <c r="B1018" s="5"/>
      <c r="F1018" s="5"/>
    </row>
    <row r="1019" spans="2:6" x14ac:dyDescent="0.2">
      <c r="B1019" s="5"/>
      <c r="F1019" s="5"/>
    </row>
    <row r="1020" spans="2:6" x14ac:dyDescent="0.2">
      <c r="B1020" s="5"/>
      <c r="F1020" s="5"/>
    </row>
    <row r="1021" spans="2:6" x14ac:dyDescent="0.2">
      <c r="B1021" s="5"/>
      <c r="F1021" s="5"/>
    </row>
    <row r="1022" spans="2:6" x14ac:dyDescent="0.2">
      <c r="B1022" s="5"/>
      <c r="F1022" s="5"/>
    </row>
    <row r="1023" spans="2:6" x14ac:dyDescent="0.2">
      <c r="B1023" s="5"/>
      <c r="F1023" s="5"/>
    </row>
    <row r="1024" spans="2:6" x14ac:dyDescent="0.2">
      <c r="B1024" s="5"/>
      <c r="F1024" s="5"/>
    </row>
    <row r="1025" spans="2:6" x14ac:dyDescent="0.2">
      <c r="B1025" s="5"/>
      <c r="F1025" s="5"/>
    </row>
    <row r="1026" spans="2:6" x14ac:dyDescent="0.2">
      <c r="B1026" s="5"/>
      <c r="F1026" s="5"/>
    </row>
    <row r="1027" spans="2:6" x14ac:dyDescent="0.2">
      <c r="B1027" s="5"/>
      <c r="F1027" s="5"/>
    </row>
    <row r="1028" spans="2:6" x14ac:dyDescent="0.2">
      <c r="B1028" s="5"/>
      <c r="F1028" s="5"/>
    </row>
    <row r="1029" spans="2:6" x14ac:dyDescent="0.2">
      <c r="B1029" s="5"/>
      <c r="F1029" s="5"/>
    </row>
    <row r="1030" spans="2:6" x14ac:dyDescent="0.2">
      <c r="B1030" s="5"/>
      <c r="F1030" s="5"/>
    </row>
    <row r="1031" spans="2:6" x14ac:dyDescent="0.2">
      <c r="B1031" s="5"/>
      <c r="F1031" s="5"/>
    </row>
    <row r="1032" spans="2:6" x14ac:dyDescent="0.2">
      <c r="B1032" s="5"/>
      <c r="F1032" s="5"/>
    </row>
    <row r="1033" spans="2:6" x14ac:dyDescent="0.2">
      <c r="B1033" s="5"/>
      <c r="F1033" s="5"/>
    </row>
    <row r="1034" spans="2:6" x14ac:dyDescent="0.2">
      <c r="B1034" s="5"/>
      <c r="F1034" s="5"/>
    </row>
    <row r="1035" spans="2:6" x14ac:dyDescent="0.2">
      <c r="B1035" s="5"/>
      <c r="F1035" s="5"/>
    </row>
    <row r="1036" spans="2:6" x14ac:dyDescent="0.2">
      <c r="B1036" s="5"/>
      <c r="F1036" s="5"/>
    </row>
    <row r="1037" spans="2:6" x14ac:dyDescent="0.2">
      <c r="B1037" s="5"/>
      <c r="F1037" s="5"/>
    </row>
    <row r="1038" spans="2:6" x14ac:dyDescent="0.2">
      <c r="B1038" s="5"/>
      <c r="F1038" s="5"/>
    </row>
    <row r="1039" spans="2:6" x14ac:dyDescent="0.2">
      <c r="B1039" s="5"/>
      <c r="F1039" s="5"/>
    </row>
    <row r="1040" spans="2:6" x14ac:dyDescent="0.2">
      <c r="B1040" s="5"/>
      <c r="F1040" s="5"/>
    </row>
    <row r="1041" spans="2:6" x14ac:dyDescent="0.2">
      <c r="B1041" s="5"/>
      <c r="F1041" s="5"/>
    </row>
    <row r="1042" spans="2:6" x14ac:dyDescent="0.2">
      <c r="B1042" s="5"/>
      <c r="F1042" s="5"/>
    </row>
    <row r="1043" spans="2:6" x14ac:dyDescent="0.2">
      <c r="B1043" s="5"/>
      <c r="F1043" s="5"/>
    </row>
    <row r="1044" spans="2:6" x14ac:dyDescent="0.2">
      <c r="B1044" s="5"/>
      <c r="F1044" s="5"/>
    </row>
    <row r="1045" spans="2:6" x14ac:dyDescent="0.2">
      <c r="B1045" s="5"/>
      <c r="F1045" s="5"/>
    </row>
    <row r="1046" spans="2:6" x14ac:dyDescent="0.2">
      <c r="B1046" s="5"/>
      <c r="F1046" s="5"/>
    </row>
    <row r="1047" spans="2:6" x14ac:dyDescent="0.2">
      <c r="B1047" s="5"/>
      <c r="F1047" s="5"/>
    </row>
    <row r="1048" spans="2:6" x14ac:dyDescent="0.2">
      <c r="B1048" s="5"/>
      <c r="F1048" s="5"/>
    </row>
    <row r="1049" spans="2:6" x14ac:dyDescent="0.2">
      <c r="B1049" s="5"/>
      <c r="F1049" s="5"/>
    </row>
    <row r="1050" spans="2:6" x14ac:dyDescent="0.2">
      <c r="B1050" s="5"/>
      <c r="F1050" s="5"/>
    </row>
    <row r="1051" spans="2:6" x14ac:dyDescent="0.2">
      <c r="B1051" s="5"/>
      <c r="F1051" s="5"/>
    </row>
    <row r="1052" spans="2:6" x14ac:dyDescent="0.2">
      <c r="B1052" s="5"/>
      <c r="F1052" s="5"/>
    </row>
    <row r="1053" spans="2:6" x14ac:dyDescent="0.2">
      <c r="B1053" s="5"/>
      <c r="F1053" s="5"/>
    </row>
    <row r="1054" spans="2:6" x14ac:dyDescent="0.2">
      <c r="B1054" s="5"/>
      <c r="F1054" s="5"/>
    </row>
    <row r="1055" spans="2:6" x14ac:dyDescent="0.2">
      <c r="B1055" s="5"/>
      <c r="F1055" s="5"/>
    </row>
    <row r="1056" spans="2:6" x14ac:dyDescent="0.2">
      <c r="B1056" s="5"/>
      <c r="F1056" s="5"/>
    </row>
    <row r="1057" spans="2:6" x14ac:dyDescent="0.2">
      <c r="B1057" s="5"/>
      <c r="F1057" s="5"/>
    </row>
    <row r="1058" spans="2:6" x14ac:dyDescent="0.2">
      <c r="B1058" s="5"/>
      <c r="F1058" s="5"/>
    </row>
    <row r="1059" spans="2:6" x14ac:dyDescent="0.2">
      <c r="B1059" s="5"/>
      <c r="F1059" s="5"/>
    </row>
    <row r="1060" spans="2:6" x14ac:dyDescent="0.2">
      <c r="B1060" s="5"/>
      <c r="F1060" s="5"/>
    </row>
    <row r="1061" spans="2:6" x14ac:dyDescent="0.2">
      <c r="B1061" s="5"/>
      <c r="F1061" s="5"/>
    </row>
    <row r="1062" spans="2:6" x14ac:dyDescent="0.2">
      <c r="B1062" s="5"/>
      <c r="F1062" s="5"/>
    </row>
    <row r="1063" spans="2:6" x14ac:dyDescent="0.2">
      <c r="B1063" s="5"/>
      <c r="F1063" s="5"/>
    </row>
    <row r="1064" spans="2:6" x14ac:dyDescent="0.2">
      <c r="B1064" s="5"/>
      <c r="F1064" s="5"/>
    </row>
    <row r="1065" spans="2:6" x14ac:dyDescent="0.2">
      <c r="B1065" s="5"/>
      <c r="F1065" s="5"/>
    </row>
    <row r="1066" spans="2:6" x14ac:dyDescent="0.2">
      <c r="B1066" s="5"/>
      <c r="F1066" s="5"/>
    </row>
    <row r="1067" spans="2:6" x14ac:dyDescent="0.2">
      <c r="B1067" s="5"/>
      <c r="F1067" s="5"/>
    </row>
    <row r="1068" spans="2:6" x14ac:dyDescent="0.2">
      <c r="B1068" s="5"/>
      <c r="F1068" s="5"/>
    </row>
    <row r="1069" spans="2:6" x14ac:dyDescent="0.2">
      <c r="B1069" s="5"/>
      <c r="F1069" s="5"/>
    </row>
    <row r="1070" spans="2:6" x14ac:dyDescent="0.2">
      <c r="B1070" s="5"/>
      <c r="F1070" s="5"/>
    </row>
    <row r="1071" spans="2:6" x14ac:dyDescent="0.2">
      <c r="B1071" s="5"/>
      <c r="F1071" s="5"/>
    </row>
    <row r="1072" spans="2:6" x14ac:dyDescent="0.2">
      <c r="B1072" s="5"/>
      <c r="F1072" s="5"/>
    </row>
    <row r="1073" spans="2:6" x14ac:dyDescent="0.2">
      <c r="B1073" s="5"/>
      <c r="F1073" s="5"/>
    </row>
    <row r="1074" spans="2:6" x14ac:dyDescent="0.2">
      <c r="B1074" s="5"/>
      <c r="F1074" s="5"/>
    </row>
    <row r="1075" spans="2:6" x14ac:dyDescent="0.2">
      <c r="B1075" s="5"/>
      <c r="F1075" s="5"/>
    </row>
    <row r="1076" spans="2:6" x14ac:dyDescent="0.2">
      <c r="B1076" s="5"/>
      <c r="F1076" s="5"/>
    </row>
    <row r="1077" spans="2:6" x14ac:dyDescent="0.2">
      <c r="B1077" s="5"/>
      <c r="F1077" s="5"/>
    </row>
    <row r="1078" spans="2:6" x14ac:dyDescent="0.2">
      <c r="B1078" s="5"/>
      <c r="F1078" s="5"/>
    </row>
    <row r="1079" spans="2:6" x14ac:dyDescent="0.2">
      <c r="B1079" s="5"/>
      <c r="F1079" s="5"/>
    </row>
    <row r="1080" spans="2:6" x14ac:dyDescent="0.2">
      <c r="B1080" s="5"/>
      <c r="F1080" s="5"/>
    </row>
    <row r="1081" spans="2:6" x14ac:dyDescent="0.2">
      <c r="B1081" s="5"/>
      <c r="F1081" s="5"/>
    </row>
    <row r="1082" spans="2:6" x14ac:dyDescent="0.2">
      <c r="B1082" s="5"/>
      <c r="F1082" s="5"/>
    </row>
    <row r="1083" spans="2:6" x14ac:dyDescent="0.2">
      <c r="B1083" s="5"/>
      <c r="F1083" s="5"/>
    </row>
    <row r="1084" spans="2:6" x14ac:dyDescent="0.2">
      <c r="B1084" s="5"/>
      <c r="F1084" s="5"/>
    </row>
    <row r="1085" spans="2:6" x14ac:dyDescent="0.2">
      <c r="B1085" s="5"/>
      <c r="F1085" s="5"/>
    </row>
    <row r="1086" spans="2:6" x14ac:dyDescent="0.2">
      <c r="B1086" s="5"/>
      <c r="F1086" s="5"/>
    </row>
    <row r="1087" spans="2:6" x14ac:dyDescent="0.2">
      <c r="B1087" s="5"/>
      <c r="F1087" s="5"/>
    </row>
    <row r="1088" spans="2:6" x14ac:dyDescent="0.2">
      <c r="B1088" s="5"/>
      <c r="F1088" s="5"/>
    </row>
    <row r="1089" spans="2:6" x14ac:dyDescent="0.2">
      <c r="B1089" s="5"/>
      <c r="F1089" s="5"/>
    </row>
    <row r="1090" spans="2:6" x14ac:dyDescent="0.2">
      <c r="B1090" s="5"/>
      <c r="F1090" s="5"/>
    </row>
    <row r="1091" spans="2:6" x14ac:dyDescent="0.2">
      <c r="B1091" s="5"/>
      <c r="F1091" s="5"/>
    </row>
    <row r="1092" spans="2:6" x14ac:dyDescent="0.2">
      <c r="B1092" s="5"/>
      <c r="F1092" s="5"/>
    </row>
    <row r="1093" spans="2:6" x14ac:dyDescent="0.2">
      <c r="B1093" s="5"/>
      <c r="F1093" s="5"/>
    </row>
    <row r="1094" spans="2:6" x14ac:dyDescent="0.2">
      <c r="B1094" s="5"/>
      <c r="F1094" s="5"/>
    </row>
    <row r="1095" spans="2:6" x14ac:dyDescent="0.2">
      <c r="B1095" s="5"/>
      <c r="F1095" s="5"/>
    </row>
    <row r="1096" spans="2:6" x14ac:dyDescent="0.2">
      <c r="B1096" s="5"/>
      <c r="F1096" s="5"/>
    </row>
    <row r="1097" spans="2:6" x14ac:dyDescent="0.2">
      <c r="B1097" s="5"/>
      <c r="F1097" s="5"/>
    </row>
    <row r="1098" spans="2:6" x14ac:dyDescent="0.2">
      <c r="B1098" s="5"/>
      <c r="F1098" s="5"/>
    </row>
    <row r="1099" spans="2:6" x14ac:dyDescent="0.2">
      <c r="B1099" s="5"/>
      <c r="F1099" s="5"/>
    </row>
    <row r="1100" spans="2:6" x14ac:dyDescent="0.2">
      <c r="B1100" s="5"/>
      <c r="F1100" s="5"/>
    </row>
    <row r="1101" spans="2:6" x14ac:dyDescent="0.2">
      <c r="B1101" s="5"/>
      <c r="F1101" s="5"/>
    </row>
    <row r="1102" spans="2:6" x14ac:dyDescent="0.2">
      <c r="B1102" s="5"/>
      <c r="F1102" s="5"/>
    </row>
    <row r="1103" spans="2:6" x14ac:dyDescent="0.2">
      <c r="B1103" s="5"/>
      <c r="F1103" s="5"/>
    </row>
    <row r="1104" spans="2:6" x14ac:dyDescent="0.2">
      <c r="B1104" s="5"/>
      <c r="F1104" s="5"/>
    </row>
    <row r="1105" spans="2:6" x14ac:dyDescent="0.2">
      <c r="B1105" s="5"/>
      <c r="F1105" s="5"/>
    </row>
    <row r="1106" spans="2:6" x14ac:dyDescent="0.2">
      <c r="B1106" s="5"/>
      <c r="F1106" s="5"/>
    </row>
    <row r="1107" spans="2:6" x14ac:dyDescent="0.2">
      <c r="B1107" s="5"/>
      <c r="F1107" s="5"/>
    </row>
    <row r="1108" spans="2:6" x14ac:dyDescent="0.2">
      <c r="B1108" s="5"/>
      <c r="F1108" s="5"/>
    </row>
    <row r="1109" spans="2:6" x14ac:dyDescent="0.2">
      <c r="B1109" s="5"/>
      <c r="F1109" s="5"/>
    </row>
    <row r="1110" spans="2:6" x14ac:dyDescent="0.2">
      <c r="B1110" s="5"/>
      <c r="F1110" s="5"/>
    </row>
    <row r="1111" spans="2:6" x14ac:dyDescent="0.2">
      <c r="B1111" s="5"/>
      <c r="F1111" s="5"/>
    </row>
    <row r="1112" spans="2:6" x14ac:dyDescent="0.2">
      <c r="B1112" s="5"/>
      <c r="F1112" s="5"/>
    </row>
    <row r="1113" spans="2:6" x14ac:dyDescent="0.2">
      <c r="B1113" s="5"/>
      <c r="F1113" s="5"/>
    </row>
    <row r="1114" spans="2:6" x14ac:dyDescent="0.2">
      <c r="B1114" s="5"/>
      <c r="F1114" s="5"/>
    </row>
    <row r="1115" spans="2:6" x14ac:dyDescent="0.2">
      <c r="B1115" s="5"/>
      <c r="F1115" s="5"/>
    </row>
    <row r="1116" spans="2:6" x14ac:dyDescent="0.2">
      <c r="B1116" s="5"/>
      <c r="F1116" s="5"/>
    </row>
    <row r="1117" spans="2:6" x14ac:dyDescent="0.2">
      <c r="B1117" s="5"/>
      <c r="F1117" s="5"/>
    </row>
    <row r="1118" spans="2:6" x14ac:dyDescent="0.2">
      <c r="B1118" s="5"/>
      <c r="F1118" s="5"/>
    </row>
    <row r="1119" spans="2:6" x14ac:dyDescent="0.2">
      <c r="B1119" s="5"/>
      <c r="F1119" s="5"/>
    </row>
    <row r="1120" spans="2:6" x14ac:dyDescent="0.2">
      <c r="B1120" s="5"/>
      <c r="F1120" s="5"/>
    </row>
    <row r="1121" spans="2:6" x14ac:dyDescent="0.2">
      <c r="B1121" s="5"/>
      <c r="F1121" s="5"/>
    </row>
    <row r="1122" spans="2:6" x14ac:dyDescent="0.2">
      <c r="B1122" s="5"/>
      <c r="F1122" s="5"/>
    </row>
    <row r="1123" spans="2:6" x14ac:dyDescent="0.2">
      <c r="B1123" s="5"/>
      <c r="F1123" s="5"/>
    </row>
    <row r="1124" spans="2:6" x14ac:dyDescent="0.2">
      <c r="B1124" s="5"/>
      <c r="F1124" s="5"/>
    </row>
    <row r="1125" spans="2:6" x14ac:dyDescent="0.2">
      <c r="B1125" s="5"/>
      <c r="F1125" s="5"/>
    </row>
    <row r="1126" spans="2:6" x14ac:dyDescent="0.2">
      <c r="B1126" s="5"/>
      <c r="F1126" s="5"/>
    </row>
    <row r="1127" spans="2:6" x14ac:dyDescent="0.2">
      <c r="B1127" s="5"/>
      <c r="F1127" s="5"/>
    </row>
    <row r="1128" spans="2:6" x14ac:dyDescent="0.2">
      <c r="B1128" s="5"/>
      <c r="F1128" s="5"/>
    </row>
    <row r="1129" spans="2:6" x14ac:dyDescent="0.2">
      <c r="B1129" s="5"/>
      <c r="F1129" s="5"/>
    </row>
    <row r="1130" spans="2:6" x14ac:dyDescent="0.2">
      <c r="B1130" s="5"/>
      <c r="F1130" s="5"/>
    </row>
    <row r="1131" spans="2:6" x14ac:dyDescent="0.2">
      <c r="B1131" s="5"/>
      <c r="F1131" s="5"/>
    </row>
    <row r="1132" spans="2:6" x14ac:dyDescent="0.2">
      <c r="B1132" s="5"/>
      <c r="F1132" s="5"/>
    </row>
    <row r="1133" spans="2:6" x14ac:dyDescent="0.2">
      <c r="B1133" s="5"/>
      <c r="F1133" s="5"/>
    </row>
    <row r="1134" spans="2:6" x14ac:dyDescent="0.2">
      <c r="B1134" s="5"/>
      <c r="F1134" s="5"/>
    </row>
    <row r="1135" spans="2:6" x14ac:dyDescent="0.2">
      <c r="B1135" s="5"/>
      <c r="F1135" s="5"/>
    </row>
    <row r="1136" spans="2:6" x14ac:dyDescent="0.2">
      <c r="B1136" s="5"/>
      <c r="F1136" s="5"/>
    </row>
    <row r="1137" spans="2:6" x14ac:dyDescent="0.2">
      <c r="B1137" s="5"/>
      <c r="F1137" s="5"/>
    </row>
    <row r="1138" spans="2:6" x14ac:dyDescent="0.2">
      <c r="B1138" s="5"/>
      <c r="F1138" s="5"/>
    </row>
    <row r="1139" spans="2:6" x14ac:dyDescent="0.2">
      <c r="B1139" s="5"/>
      <c r="F1139" s="5"/>
    </row>
  </sheetData>
  <phoneticPr fontId="8" type="noConversion"/>
  <hyperlinks>
    <hyperlink ref="A3" r:id="rId1" xr:uid="{00000000-0004-0000-0600-000000000000}"/>
    <hyperlink ref="P36" r:id="rId2" display="http://www.konkoly.hu/cgi-bin/IBVS?1994" xr:uid="{00000000-0004-0000-0600-000001000000}"/>
    <hyperlink ref="P37" r:id="rId3" display="http://www.konkoly.hu/cgi-bin/IBVS?1994" xr:uid="{00000000-0004-0000-0600-000002000000}"/>
    <hyperlink ref="P38" r:id="rId4" display="http://www.konkoly.hu/cgi-bin/IBVS?1994" xr:uid="{00000000-0004-0000-0600-000003000000}"/>
    <hyperlink ref="P39" r:id="rId5" display="http://www.konkoly.hu/cgi-bin/IBVS?1994" xr:uid="{00000000-0004-0000-0600-000004000000}"/>
    <hyperlink ref="P40" r:id="rId6" display="http://www.konkoly.hu/cgi-bin/IBVS?1994" xr:uid="{00000000-0004-0000-0600-000005000000}"/>
    <hyperlink ref="P41" r:id="rId7" display="http://www.konkoly.hu/cgi-bin/IBVS?1994" xr:uid="{00000000-0004-0000-0600-000006000000}"/>
    <hyperlink ref="P42" r:id="rId8" display="http://www.konkoly.hu/cgi-bin/IBVS?1994" xr:uid="{00000000-0004-0000-0600-000007000000}"/>
    <hyperlink ref="P43" r:id="rId9" display="http://www.konkoly.hu/cgi-bin/IBVS?1994" xr:uid="{00000000-0004-0000-0600-000008000000}"/>
    <hyperlink ref="P44" r:id="rId10" display="http://www.konkoly.hu/cgi-bin/IBVS?1994" xr:uid="{00000000-0004-0000-0600-000009000000}"/>
    <hyperlink ref="P46" r:id="rId11" display="http://www.konkoly.hu/cgi-bin/IBVS?1994" xr:uid="{00000000-0004-0000-0600-00000A000000}"/>
    <hyperlink ref="P47" r:id="rId12" display="http://www.konkoly.hu/cgi-bin/IBVS?2906" xr:uid="{00000000-0004-0000-0600-00000B000000}"/>
    <hyperlink ref="P48" r:id="rId13" display="http://www.konkoly.hu/cgi-bin/IBVS?2906" xr:uid="{00000000-0004-0000-0600-00000C000000}"/>
    <hyperlink ref="P49" r:id="rId14" display="http://www.konkoly.hu/cgi-bin/IBVS?2906" xr:uid="{00000000-0004-0000-0600-00000D000000}"/>
    <hyperlink ref="P50" r:id="rId15" display="http://www.konkoly.hu/cgi-bin/IBVS?2906" xr:uid="{00000000-0004-0000-0600-00000E000000}"/>
    <hyperlink ref="P51" r:id="rId16" display="http://www.konkoly.hu/cgi-bin/IBVS?2906" xr:uid="{00000000-0004-0000-0600-00000F000000}"/>
    <hyperlink ref="P52" r:id="rId17" display="http://www.konkoly.hu/cgi-bin/IBVS?2906" xr:uid="{00000000-0004-0000-0600-000010000000}"/>
    <hyperlink ref="P53" r:id="rId18" display="http://www.konkoly.hu/cgi-bin/IBVS?2906" xr:uid="{00000000-0004-0000-0600-000011000000}"/>
    <hyperlink ref="P54" r:id="rId19" display="http://www.konkoly.hu/cgi-bin/IBVS?2906" xr:uid="{00000000-0004-0000-0600-000012000000}"/>
    <hyperlink ref="P55" r:id="rId20" display="http://www.konkoly.hu/cgi-bin/IBVS?2906" xr:uid="{00000000-0004-0000-0600-000013000000}"/>
    <hyperlink ref="P56" r:id="rId21" display="http://www.konkoly.hu/cgi-bin/IBVS?2906" xr:uid="{00000000-0004-0000-0600-000014000000}"/>
    <hyperlink ref="P57" r:id="rId22" display="http://www.konkoly.hu/cgi-bin/IBVS?2906" xr:uid="{00000000-0004-0000-0600-000015000000}"/>
    <hyperlink ref="P58" r:id="rId23" display="http://www.konkoly.hu/cgi-bin/IBVS?2682" xr:uid="{00000000-0004-0000-0600-000016000000}"/>
    <hyperlink ref="P59" r:id="rId24" display="http://www.konkoly.hu/cgi-bin/IBVS?2682" xr:uid="{00000000-0004-0000-0600-000017000000}"/>
    <hyperlink ref="P72" r:id="rId25" display="http://www.konkoly.hu/cgi-bin/IBVS?3423" xr:uid="{00000000-0004-0000-0600-000018000000}"/>
    <hyperlink ref="P73" r:id="rId26" display="http://www.konkoly.hu/cgi-bin/IBVS?3377" xr:uid="{00000000-0004-0000-0600-000019000000}"/>
    <hyperlink ref="P74" r:id="rId27" display="http://www.konkoly.hu/cgi-bin/IBVS?3377" xr:uid="{00000000-0004-0000-0600-00001A000000}"/>
    <hyperlink ref="P132" r:id="rId28" display="http://www.konkoly.hu/cgi-bin/IBVS?3377" xr:uid="{00000000-0004-0000-0600-00001B000000}"/>
    <hyperlink ref="P75" r:id="rId29" display="http://www.konkoly.hu/cgi-bin/IBVS?3377" xr:uid="{00000000-0004-0000-0600-00001C000000}"/>
    <hyperlink ref="P76" r:id="rId30" display="http://www.konkoly.hu/cgi-bin/IBVS?3538" xr:uid="{00000000-0004-0000-0600-00001D000000}"/>
    <hyperlink ref="P77" r:id="rId31" display="http://www.konkoly.hu/cgi-bin/IBVS?3538" xr:uid="{00000000-0004-0000-0600-00001E000000}"/>
    <hyperlink ref="P78" r:id="rId32" display="http://www.konkoly.hu/cgi-bin/IBVS?3538" xr:uid="{00000000-0004-0000-0600-00001F000000}"/>
    <hyperlink ref="P133" r:id="rId33" display="http://www.konkoly.hu/cgi-bin/IBVS?3538" xr:uid="{00000000-0004-0000-0600-000020000000}"/>
    <hyperlink ref="P79" r:id="rId34" display="http://www.konkoly.hu/cgi-bin/IBVS?3714" xr:uid="{00000000-0004-0000-0600-000021000000}"/>
    <hyperlink ref="P80" r:id="rId35" display="http://www.konkoly.hu/cgi-bin/IBVS?3714" xr:uid="{00000000-0004-0000-0600-000022000000}"/>
    <hyperlink ref="P81" r:id="rId36" display="http://www.konkoly.hu/cgi-bin/IBVS?3714" xr:uid="{00000000-0004-0000-0600-000023000000}"/>
    <hyperlink ref="P82" r:id="rId37" display="http://www.konkoly.hu/cgi-bin/IBVS?3714" xr:uid="{00000000-0004-0000-0600-000024000000}"/>
    <hyperlink ref="P83" r:id="rId38" display="http://www.konkoly.hu/cgi-bin/IBVS?3714" xr:uid="{00000000-0004-0000-0600-000025000000}"/>
    <hyperlink ref="P84" r:id="rId39" display="http://www.konkoly.hu/cgi-bin/IBVS?3714" xr:uid="{00000000-0004-0000-0600-000026000000}"/>
    <hyperlink ref="P85" r:id="rId40" display="http://www.konkoly.hu/cgi-bin/IBVS?3714" xr:uid="{00000000-0004-0000-0600-000027000000}"/>
    <hyperlink ref="P86" r:id="rId41" display="http://www.konkoly.hu/cgi-bin/IBVS?3714" xr:uid="{00000000-0004-0000-0600-000028000000}"/>
    <hyperlink ref="P92" r:id="rId42" display="http://www.bav-astro.de/sfs/BAVM_link.php?BAVMnr=152" xr:uid="{00000000-0004-0000-0600-000029000000}"/>
    <hyperlink ref="P134" r:id="rId43" display="http://var.astro.cz/oejv/issues/oejv0074.pdf" xr:uid="{00000000-0004-0000-0600-00002A000000}"/>
    <hyperlink ref="P93" r:id="rId44" display="http://www.konkoly.hu/cgi-bin/IBVS?5694" xr:uid="{00000000-0004-0000-0600-00002B000000}"/>
    <hyperlink ref="P94" r:id="rId45" display="http://www.konkoly.hu/cgi-bin/IBVS?5694" xr:uid="{00000000-0004-0000-0600-00002C000000}"/>
    <hyperlink ref="P95" r:id="rId46" display="http://www.konkoly.hu/cgi-bin/IBVS?5502" xr:uid="{00000000-0004-0000-0600-00002D000000}"/>
    <hyperlink ref="P96" r:id="rId47" display="http://www.konkoly.hu/cgi-bin/IBVS?5592" xr:uid="{00000000-0004-0000-0600-00002E000000}"/>
    <hyperlink ref="P97" r:id="rId48" display="http://www.konkoly.hu/cgi-bin/IBVS?5592" xr:uid="{00000000-0004-0000-0600-00002F000000}"/>
    <hyperlink ref="P98" r:id="rId49" display="http://vsolj.cetus-net.org/no43.pdf" xr:uid="{00000000-0004-0000-0600-000030000000}"/>
    <hyperlink ref="P135" r:id="rId50" display="http://var.astro.cz/oejv/issues/oejv0074.pdf" xr:uid="{00000000-0004-0000-0600-000031000000}"/>
    <hyperlink ref="P136" r:id="rId51" display="http://var.astro.cz/oejv/issues/oejv0074.pdf" xr:uid="{00000000-0004-0000-0600-000032000000}"/>
    <hyperlink ref="P99" r:id="rId52" display="http://vsolj.cetus-net.org/no44.pdf" xr:uid="{00000000-0004-0000-0600-000033000000}"/>
    <hyperlink ref="P100" r:id="rId53" display="http://www.bav-astro.de/sfs/BAVM_link.php?BAVMnr=178" xr:uid="{00000000-0004-0000-0600-000034000000}"/>
    <hyperlink ref="P101" r:id="rId54" display="http://www.bav-astro.de/sfs/BAVM_link.php?BAVMnr=178" xr:uid="{00000000-0004-0000-0600-000035000000}"/>
    <hyperlink ref="P102" r:id="rId55" display="http://var.astro.cz/oejv/issues/oejv0074.pdf" xr:uid="{00000000-0004-0000-0600-000036000000}"/>
    <hyperlink ref="P103" r:id="rId56" display="http://www.konkoly.hu/cgi-bin/IBVS?5820" xr:uid="{00000000-0004-0000-0600-000037000000}"/>
    <hyperlink ref="P104" r:id="rId57" display="http://www.bav-astro.de/sfs/BAVM_link.php?BAVMnr=204" xr:uid="{00000000-0004-0000-0600-000038000000}"/>
    <hyperlink ref="P137" r:id="rId58" display="http://var.astro.cz/oejv/issues/oejv0094.pdf" xr:uid="{00000000-0004-0000-0600-000039000000}"/>
    <hyperlink ref="P105" r:id="rId59" display="http://www.bav-astro.de/sfs/BAVM_link.php?BAVMnr=201" xr:uid="{00000000-0004-0000-0600-00003A000000}"/>
    <hyperlink ref="P106" r:id="rId60" display="http://www.bav-astro.de/sfs/BAVM_link.php?BAVMnr=201" xr:uid="{00000000-0004-0000-0600-00003B000000}"/>
    <hyperlink ref="P107" r:id="rId61" display="http://www.konkoly.hu/cgi-bin/IBVS?5938" xr:uid="{00000000-0004-0000-0600-00003C000000}"/>
    <hyperlink ref="P138" r:id="rId62" display="http://var.astro.cz/oejv/issues/oejv0107.pdf" xr:uid="{00000000-0004-0000-0600-00003D000000}"/>
    <hyperlink ref="P139" r:id="rId63" display="http://var.astro.cz/oejv/issues/oejv0107.pdf" xr:uid="{00000000-0004-0000-0600-00003E000000}"/>
    <hyperlink ref="P140" r:id="rId64" display="http://var.astro.cz/oejv/issues/oejv0107.pdf" xr:uid="{00000000-0004-0000-0600-00003F000000}"/>
    <hyperlink ref="P108" r:id="rId65" display="http://www.konkoly.hu/cgi-bin/IBVS?5929" xr:uid="{00000000-0004-0000-0600-000040000000}"/>
    <hyperlink ref="P109" r:id="rId66" display="http://www.konkoly.hu/cgi-bin/IBVS?5974" xr:uid="{00000000-0004-0000-0600-000041000000}"/>
    <hyperlink ref="P141" r:id="rId67" display="http://var.astro.cz/oejv/issues/oejv0137.pdf" xr:uid="{00000000-0004-0000-0600-000042000000}"/>
    <hyperlink ref="P110" r:id="rId68" display="http://www.konkoly.hu/cgi-bin/IBVS?6007" xr:uid="{00000000-0004-0000-0600-000043000000}"/>
    <hyperlink ref="P111" r:id="rId69" display="http://www.konkoly.hu/cgi-bin/IBVS?6007" xr:uid="{00000000-0004-0000-0600-000044000000}"/>
    <hyperlink ref="P142" r:id="rId70" display="http://vsolj.cetus-net.org/vsoljno51.pdf" xr:uid="{00000000-0004-0000-0600-000045000000}"/>
    <hyperlink ref="P143" r:id="rId71" display="http://vsolj.cetus-net.org/vsoljno51.pdf" xr:uid="{00000000-0004-0000-0600-000046000000}"/>
    <hyperlink ref="P144" r:id="rId72" display="http://var.astro.cz/oejv/issues/oejv0137.pdf" xr:uid="{00000000-0004-0000-0600-000047000000}"/>
    <hyperlink ref="P112" r:id="rId73" display="http://www.konkoly.hu/cgi-bin/IBVS?6007" xr:uid="{00000000-0004-0000-0600-000048000000}"/>
    <hyperlink ref="P113" r:id="rId74" display="http://var.astro.cz/oejv/issues/oejv0160.pdf" xr:uid="{00000000-0004-0000-0600-000049000000}"/>
    <hyperlink ref="P114" r:id="rId75" display="http://var.astro.cz/oejv/issues/oejv0160.pdf" xr:uid="{00000000-0004-0000-0600-00004A000000}"/>
    <hyperlink ref="P115" r:id="rId76" display="http://var.astro.cz/oejv/issues/oejv0160.pdf" xr:uid="{00000000-0004-0000-0600-00004B000000}"/>
    <hyperlink ref="P116" r:id="rId77" display="http://var.astro.cz/oejv/issues/oejv0160.pdf" xr:uid="{00000000-0004-0000-0600-00004C000000}"/>
    <hyperlink ref="P117" r:id="rId78" display="http://var.astro.cz/oejv/issues/oejv0160.pdf" xr:uid="{00000000-0004-0000-0600-00004D000000}"/>
    <hyperlink ref="P118" r:id="rId79" display="http://var.astro.cz/oejv/issues/oejv0160.pdf" xr:uid="{00000000-0004-0000-0600-00004E000000}"/>
    <hyperlink ref="P119" r:id="rId80" display="http://www.konkoly.hu/cgi-bin/IBVS?6114" xr:uid="{00000000-0004-0000-0600-00004F000000}"/>
    <hyperlink ref="P120" r:id="rId81" display="http://www.bav-astro.de/sfs/BAVM_link.php?BAVMnr=228" xr:uid="{00000000-0004-0000-0600-000050000000}"/>
    <hyperlink ref="P121" r:id="rId82" display="http://www.bav-astro.de/sfs/BAVM_link.php?BAVMnr=228" xr:uid="{00000000-0004-0000-0600-000051000000}"/>
    <hyperlink ref="P122" r:id="rId83" display="http://www.bav-astro.de/sfs/BAVM_link.php?BAVMnr=228" xr:uid="{00000000-0004-0000-0600-000052000000}"/>
    <hyperlink ref="P123" r:id="rId84" display="http://www.bav-astro.de/sfs/BAVM_link.php?BAVMnr=228" xr:uid="{00000000-0004-0000-0600-000053000000}"/>
    <hyperlink ref="P145" r:id="rId85" display="http://www.bav-astro.de/sfs/BAVM_link.php?BAVMnr=233" xr:uid="{00000000-0004-0000-0600-000054000000}"/>
    <hyperlink ref="P124" r:id="rId86" display="http://www.bav-astro.de/sfs/BAVM_link.php?BAVMnr=231" xr:uid="{00000000-0004-0000-0600-000055000000}"/>
    <hyperlink ref="P125" r:id="rId87" display="http://www.konkoly.hu/cgi-bin/IBVS?6114" xr:uid="{00000000-0004-0000-0600-000056000000}"/>
    <hyperlink ref="P126" r:id="rId88" display="http://www.konkoly.hu/cgi-bin/IBVS?6114" xr:uid="{00000000-0004-0000-0600-000057000000}"/>
    <hyperlink ref="P127" r:id="rId89" display="http://www.bav-astro.de/sfs/BAVM_link.php?BAVMnr=232" xr:uid="{00000000-0004-0000-0600-000058000000}"/>
    <hyperlink ref="P128" r:id="rId90" display="http://www.konkoly.hu/cgi-bin/IBVS?6114" xr:uid="{00000000-0004-0000-0600-000059000000}"/>
    <hyperlink ref="P129" r:id="rId91" display="http://www.konkoly.hu/cgi-bin/IBVS?6114" xr:uid="{00000000-0004-0000-0600-00005A000000}"/>
    <hyperlink ref="P130" r:id="rId92" display="http://www.konkoly.hu/cgi-bin/IBVS?6114" xr:uid="{00000000-0004-0000-0600-00005B000000}"/>
    <hyperlink ref="P131" r:id="rId93" display="http://www.konkoly.hu/cgi-bin/IBVS?6114" xr:uid="{00000000-0004-0000-0600-00005C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Active</vt:lpstr>
      <vt:lpstr>Graphs</vt:lpstr>
      <vt:lpstr>A (old)</vt:lpstr>
      <vt:lpstr>Q_fit</vt:lpstr>
      <vt:lpstr>A (2)</vt:lpstr>
      <vt:lpstr>A (4)</vt:lpstr>
      <vt:lpstr>Sheet1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2023-12-31T05:10:16Z</dcterms:modified>
</cp:coreProperties>
</file>