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F67CF64-7037-4E43-B546-BB3FD0005A20}" xr6:coauthVersionLast="47" xr6:coauthVersionMax="47" xr10:uidLastSave="{00000000-0000-0000-0000-000000000000}"/>
  <bookViews>
    <workbookView xWindow="14400" yWindow="405" windowWidth="13470" windowHeight="1459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1" i="1" l="1"/>
  <c r="F51" i="1" s="1"/>
  <c r="G51" i="1" s="1"/>
  <c r="K51" i="1" s="1"/>
  <c r="Q51" i="1"/>
  <c r="E48" i="1"/>
  <c r="F48" i="1" s="1"/>
  <c r="G48" i="1" s="1"/>
  <c r="K48" i="1" s="1"/>
  <c r="Q48" i="1"/>
  <c r="E49" i="1"/>
  <c r="F49" i="1"/>
  <c r="G49" i="1" s="1"/>
  <c r="K49" i="1" s="1"/>
  <c r="Q49" i="1"/>
  <c r="E50" i="1"/>
  <c r="F50" i="1"/>
  <c r="G50" i="1" s="1"/>
  <c r="K50" i="1" s="1"/>
  <c r="Q50" i="1"/>
  <c r="Q46" i="1"/>
  <c r="Q47" i="1"/>
  <c r="Q44" i="1"/>
  <c r="Q45" i="1"/>
  <c r="E25" i="1"/>
  <c r="F25" i="1"/>
  <c r="G25" i="1"/>
  <c r="J25" i="1"/>
  <c r="Q40" i="1"/>
  <c r="Q41" i="1"/>
  <c r="Q42" i="1"/>
  <c r="Q43" i="1"/>
  <c r="C7" i="1"/>
  <c r="E46" i="1"/>
  <c r="F46" i="1"/>
  <c r="E44" i="1"/>
  <c r="F44" i="1"/>
  <c r="G44" i="1"/>
  <c r="K44" i="1"/>
  <c r="C8" i="1"/>
  <c r="Q29" i="1"/>
  <c r="D9" i="1"/>
  <c r="C9" i="1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28" i="2"/>
  <c r="C28" i="2"/>
  <c r="E28" i="2"/>
  <c r="G27" i="2"/>
  <c r="C27" i="2"/>
  <c r="E27" i="2"/>
  <c r="G26" i="2"/>
  <c r="C26" i="2"/>
  <c r="E26" i="2"/>
  <c r="G14" i="2"/>
  <c r="C14" i="2"/>
  <c r="E14" i="2"/>
  <c r="G13" i="2"/>
  <c r="C13" i="2"/>
  <c r="E13" i="2"/>
  <c r="G12" i="2"/>
  <c r="C12" i="2"/>
  <c r="G25" i="2"/>
  <c r="C25" i="2"/>
  <c r="E25" i="2"/>
  <c r="G24" i="2"/>
  <c r="C24" i="2"/>
  <c r="E24" i="2"/>
  <c r="G11" i="2"/>
  <c r="C11" i="2"/>
  <c r="E11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28" i="2"/>
  <c r="B28" i="2"/>
  <c r="D28" i="2"/>
  <c r="A28" i="2"/>
  <c r="H27" i="2"/>
  <c r="B27" i="2"/>
  <c r="D27" i="2"/>
  <c r="A27" i="2"/>
  <c r="H26" i="2"/>
  <c r="B26" i="2"/>
  <c r="D26" i="2"/>
  <c r="A26" i="2"/>
  <c r="H14" i="2"/>
  <c r="B14" i="2"/>
  <c r="D14" i="2"/>
  <c r="A14" i="2"/>
  <c r="H13" i="2"/>
  <c r="B13" i="2"/>
  <c r="D13" i="2"/>
  <c r="A13" i="2"/>
  <c r="H12" i="2"/>
  <c r="B12" i="2"/>
  <c r="D12" i="2"/>
  <c r="A12" i="2"/>
  <c r="H25" i="2"/>
  <c r="B25" i="2"/>
  <c r="D25" i="2"/>
  <c r="A25" i="2"/>
  <c r="H24" i="2"/>
  <c r="B24" i="2"/>
  <c r="D24" i="2"/>
  <c r="A24" i="2"/>
  <c r="H11" i="2"/>
  <c r="B11" i="2"/>
  <c r="D11" i="2"/>
  <c r="A11" i="2"/>
  <c r="Q39" i="1"/>
  <c r="Q35" i="1"/>
  <c r="Q37" i="1"/>
  <c r="Q38" i="1"/>
  <c r="Q36" i="1"/>
  <c r="Q33" i="1"/>
  <c r="Q32" i="1"/>
  <c r="Q31" i="1"/>
  <c r="Q34" i="1"/>
  <c r="Q30" i="1"/>
  <c r="Q22" i="1"/>
  <c r="Q21" i="1"/>
  <c r="F16" i="1"/>
  <c r="F17" i="1" s="1"/>
  <c r="C17" i="1"/>
  <c r="Q26" i="1"/>
  <c r="Q27" i="1"/>
  <c r="Q28" i="1"/>
  <c r="Q24" i="1"/>
  <c r="Q25" i="1"/>
  <c r="Q23" i="1"/>
  <c r="E38" i="1"/>
  <c r="F38" i="1"/>
  <c r="G38" i="1"/>
  <c r="K38" i="1"/>
  <c r="E30" i="1"/>
  <c r="F30" i="1"/>
  <c r="G30" i="1"/>
  <c r="J30" i="1"/>
  <c r="E22" i="1"/>
  <c r="F22" i="1"/>
  <c r="G22" i="1"/>
  <c r="J22" i="1"/>
  <c r="E40" i="1"/>
  <c r="F40" i="1"/>
  <c r="G40" i="1"/>
  <c r="K40" i="1"/>
  <c r="E32" i="1"/>
  <c r="F32" i="1"/>
  <c r="G32" i="1"/>
  <c r="K32" i="1"/>
  <c r="E24" i="1"/>
  <c r="F24" i="1"/>
  <c r="G24" i="1"/>
  <c r="J24" i="1"/>
  <c r="E45" i="1"/>
  <c r="F45" i="1"/>
  <c r="G45" i="1"/>
  <c r="K45" i="1"/>
  <c r="E37" i="1"/>
  <c r="F37" i="1"/>
  <c r="G37" i="1"/>
  <c r="I37" i="1"/>
  <c r="E29" i="1"/>
  <c r="E21" i="1"/>
  <c r="F21" i="1"/>
  <c r="G21" i="1"/>
  <c r="J21" i="1"/>
  <c r="E33" i="1"/>
  <c r="F33" i="1"/>
  <c r="G33" i="1"/>
  <c r="K33" i="1"/>
  <c r="E27" i="1"/>
  <c r="F27" i="1"/>
  <c r="G27" i="1"/>
  <c r="K27" i="1"/>
  <c r="E34" i="1"/>
  <c r="F34" i="1"/>
  <c r="G34" i="1"/>
  <c r="K34" i="1"/>
  <c r="E26" i="1"/>
  <c r="F26" i="1"/>
  <c r="G26" i="1"/>
  <c r="J26" i="1"/>
  <c r="E41" i="1"/>
  <c r="F41" i="1"/>
  <c r="G41" i="1"/>
  <c r="K41" i="1"/>
  <c r="E35" i="1"/>
  <c r="F35" i="1"/>
  <c r="G35" i="1"/>
  <c r="J35" i="1"/>
  <c r="E39" i="1"/>
  <c r="F39" i="1"/>
  <c r="G39" i="1"/>
  <c r="K39" i="1"/>
  <c r="E31" i="1"/>
  <c r="F31" i="1"/>
  <c r="G31" i="1"/>
  <c r="K31" i="1"/>
  <c r="E23" i="1"/>
  <c r="F23" i="1"/>
  <c r="G23" i="1"/>
  <c r="K23" i="1"/>
  <c r="E42" i="1"/>
  <c r="F42" i="1"/>
  <c r="G42" i="1"/>
  <c r="K42" i="1"/>
  <c r="E36" i="1"/>
  <c r="F36" i="1"/>
  <c r="G36" i="1"/>
  <c r="K36" i="1"/>
  <c r="E28" i="1"/>
  <c r="F28" i="1"/>
  <c r="G28" i="1"/>
  <c r="K28" i="1"/>
  <c r="E43" i="1"/>
  <c r="F43" i="1"/>
  <c r="G43" i="1"/>
  <c r="K43" i="1"/>
  <c r="F29" i="1"/>
  <c r="G29" i="1"/>
  <c r="I29" i="1"/>
  <c r="E12" i="2"/>
  <c r="E47" i="1"/>
  <c r="F47" i="1"/>
  <c r="G47" i="1"/>
  <c r="K47" i="1"/>
  <c r="G46" i="1"/>
  <c r="K46" i="1"/>
  <c r="C11" i="1"/>
  <c r="C12" i="1"/>
  <c r="O51" i="1" l="1"/>
  <c r="O50" i="1"/>
  <c r="O49" i="1"/>
  <c r="O48" i="1"/>
  <c r="C16" i="1"/>
  <c r="D18" i="1" s="1"/>
  <c r="O26" i="1"/>
  <c r="O25" i="1"/>
  <c r="O33" i="1"/>
  <c r="O28" i="1"/>
  <c r="O35" i="1"/>
  <c r="O27" i="1"/>
  <c r="O37" i="1"/>
  <c r="O38" i="1"/>
  <c r="O43" i="1"/>
  <c r="O24" i="1"/>
  <c r="O46" i="1"/>
  <c r="O22" i="1"/>
  <c r="C15" i="1"/>
  <c r="O41" i="1"/>
  <c r="O39" i="1"/>
  <c r="O44" i="1"/>
  <c r="O34" i="1"/>
  <c r="O47" i="1"/>
  <c r="O40" i="1"/>
  <c r="O31" i="1"/>
  <c r="O45" i="1"/>
  <c r="O42" i="1"/>
  <c r="O21" i="1"/>
  <c r="O23" i="1"/>
  <c r="O30" i="1"/>
  <c r="O32" i="1"/>
  <c r="O29" i="1"/>
  <c r="O36" i="1"/>
  <c r="C18" i="1" l="1"/>
  <c r="F18" i="1"/>
  <c r="F19" i="1" s="1"/>
</calcChain>
</file>

<file path=xl/sharedStrings.xml><?xml version="1.0" encoding="utf-8"?>
<sst xmlns="http://schemas.openxmlformats.org/spreadsheetml/2006/main" count="248" uniqueCount="154">
  <si>
    <t>IBVS 6244</t>
  </si>
  <si>
    <t>OEJV 0191</t>
  </si>
  <si>
    <t>IBVS 6196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</si>
  <si>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</si>
  <si>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</si>
  <si>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</si>
  <si>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</si>
  <si>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</si>
  <si>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</si>
  <si>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</si>
  <si>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</si>
  <si>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</si>
  <si>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</si>
  <si>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</si>
  <si>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</si>
  <si>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</si>
  <si>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</si>
  <si>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</si>
  <si>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</si>
  <si>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</si>
  <si>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</si>
  <si>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</si>
  <si>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</si>
  <si>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</si>
  <si>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</si>
  <si>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</si>
  <si>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</si>
  <si>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</si>
  <si>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</si>
  <si>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</si>
  <si>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</si>
  <si>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</si>
  <si>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</si>
  <si>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</si>
  <si>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</si>
  <si>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</si>
  <si>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</si>
  <si>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</si>
  <si>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</si>
  <si>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GQ Dra / GSC 3520-0989               </t>
  </si>
  <si>
    <t xml:space="preserve">EB        </t>
  </si>
  <si>
    <t>IBVS 5761</t>
  </si>
  <si>
    <t>IBVS 5802</t>
  </si>
  <si>
    <t>IBVS 5874</t>
  </si>
  <si>
    <t>OEJV 0107</t>
  </si>
  <si>
    <t>II</t>
  </si>
  <si>
    <t>Add cycle</t>
  </si>
  <si>
    <t>Old Cycle</t>
  </si>
  <si>
    <t>IBVS 4988</t>
  </si>
  <si>
    <t>IBVS 6010</t>
  </si>
  <si>
    <t>IBVS 6114</t>
  </si>
  <si>
    <t>IBVS 6092</t>
  </si>
  <si>
    <t>IBVS 6149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</si>
  <si>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</si>
  <si>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</si>
  <si>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</si>
  <si>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</si>
  <si>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</si>
  <si>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</si>
  <si>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</si>
  <si>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</si>
  <si>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</si>
  <si>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</si>
  <si>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</si>
  <si>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</si>
  <si>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</si>
  <si>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2448500.5641 </t>
  </si>
  <si>
    <t> 01.09.1991 01:32 </t>
  </si>
  <si>
    <t> 2.3243 </t>
  </si>
  <si>
    <t>E </t>
  </si>
  <si>
    <t> HIPPARCOS </t>
  </si>
  <si>
    <t>IBVS 4988 </t>
  </si>
  <si>
    <t>2451812.3133 </t>
  </si>
  <si>
    <t> 24.09.2000 19:31 </t>
  </si>
  <si>
    <t> 0.0013 </t>
  </si>
  <si>
    <t> E.Atay et al. </t>
  </si>
  <si>
    <t>2451817.2881 </t>
  </si>
  <si>
    <t> 29.09.2000 18:54 </t>
  </si>
  <si>
    <t> -0.0023 </t>
  </si>
  <si>
    <t>2454055.6459 </t>
  </si>
  <si>
    <t> 16.11.2006 03:30 </t>
  </si>
  <si>
    <t> -0.0028 </t>
  </si>
  <si>
    <t>C </t>
  </si>
  <si>
    <t> U.Schmidt </t>
  </si>
  <si>
    <t>BAVM 183 </t>
  </si>
  <si>
    <t>2454262.4470 </t>
  </si>
  <si>
    <t> 10.06.2007 22:43 </t>
  </si>
  <si>
    <t> 0.0039 </t>
  </si>
  <si>
    <t> F.Agerer </t>
  </si>
  <si>
    <t>BAVM 186 </t>
  </si>
  <si>
    <t>2454599.4421 </t>
  </si>
  <si>
    <t> 12.05.2008 22:36 </t>
  </si>
  <si>
    <t>2741</t>
  </si>
  <si>
    <t> 0.0007 </t>
  </si>
  <si>
    <t> H.Jungbluth </t>
  </si>
  <si>
    <t>BAVM 201 </t>
  </si>
  <si>
    <t>2454712.4104 </t>
  </si>
  <si>
    <t> 02.09.2008 21:50 </t>
  </si>
  <si>
    <t>2888.5</t>
  </si>
  <si>
    <t> -0.0021 </t>
  </si>
  <si>
    <t> L.Šmelcer </t>
  </si>
  <si>
    <t>OEJV 0107 </t>
  </si>
  <si>
    <t>2454712.4128 </t>
  </si>
  <si>
    <t> 02.09.2008 21:54 </t>
  </si>
  <si>
    <t> 0.0003 </t>
  </si>
  <si>
    <t>2454995.4150 </t>
  </si>
  <si>
    <t> 12.06.2009 21:57 </t>
  </si>
  <si>
    <t>3258</t>
  </si>
  <si>
    <t> 0.0005 </t>
  </si>
  <si>
    <t>BAVM 212 </t>
  </si>
  <si>
    <t>2455662.5155 </t>
  </si>
  <si>
    <t> 11.04.2011 00:22 </t>
  </si>
  <si>
    <t>4129</t>
  </si>
  <si>
    <t> -0.0025 </t>
  </si>
  <si>
    <t>BAVM 220 </t>
  </si>
  <si>
    <t>2456043.55365 </t>
  </si>
  <si>
    <t> 26.04.2012 01:17 </t>
  </si>
  <si>
    <t> -0.00222 </t>
  </si>
  <si>
    <t> R.Uhlar </t>
  </si>
  <si>
    <t>IBVS 6114 </t>
  </si>
  <si>
    <t>2456052.36294 </t>
  </si>
  <si>
    <t> 04.05.2012 20:42 </t>
  </si>
  <si>
    <t> -0.00084 </t>
  </si>
  <si>
    <t>2456357.57243 </t>
  </si>
  <si>
    <t> 06.03.2013 01:44 </t>
  </si>
  <si>
    <t> -0.00461 </t>
  </si>
  <si>
    <t>2456415.786 </t>
  </si>
  <si>
    <t> 03.05.2013 06:51 </t>
  </si>
  <si>
    <t> 0.000 </t>
  </si>
  <si>
    <t> R.Nelson </t>
  </si>
  <si>
    <t>IBVS 6092 </t>
  </si>
  <si>
    <t>2456750.4832 </t>
  </si>
  <si>
    <t> 02.04.2014 23:35 </t>
  </si>
  <si>
    <t> -0.0033 </t>
  </si>
  <si>
    <t>BAVM 238 </t>
  </si>
  <si>
    <t>2456755.46212 </t>
  </si>
  <si>
    <t> 07.04.2014 23:05 </t>
  </si>
  <si>
    <t> -0.00273 </t>
  </si>
  <si>
    <t>2456771.546 </t>
  </si>
  <si>
    <t> 24.04.2014 01:06 </t>
  </si>
  <si>
    <t> A.Paschke </t>
  </si>
  <si>
    <t>OEJV 0172 </t>
  </si>
  <si>
    <t>2456783.41372 </t>
  </si>
  <si>
    <t> 05.05.2014 21:55 </t>
  </si>
  <si>
    <t> -0.00667 </t>
  </si>
  <si>
    <t>BAD?</t>
  </si>
  <si>
    <t>IBVS 6195</t>
  </si>
  <si>
    <t>OEJV 0179</t>
  </si>
  <si>
    <t>OEJV 0211</t>
  </si>
  <si>
    <t>VSB 069</t>
  </si>
  <si>
    <t>cG</t>
  </si>
  <si>
    <t>JBAV, 55</t>
  </si>
  <si>
    <t>JBAV, 63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</si>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</sst>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43" fontId="41" fillId="0" borderId="0" applyFon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>
      <alignment vertical="top"/>
    </xf>
    <xf numFmtId="0" fontId="16" fillId="0" borderId="0" xfId="0" applyFont="1" applyAlignment="1"/>
    <xf numFmtId="0" fontId="5" fillId="0" borderId="0" xfId="0" applyFont="1" applyAlignment="1"/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5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35" fillId="0" borderId="0" xfId="43" applyFont="1" applyAlignment="1">
      <alignment horizontal="left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165" fontId="36" fillId="0" borderId="0" xfId="0" applyNumberFormat="1" applyFont="1" applyAlignment="1">
      <alignment horizontal="left" vertical="top"/>
    </xf>
    <xf numFmtId="0" fontId="38" fillId="0" borderId="0" xfId="0" applyFont="1" applyAlignment="1"/>
    <xf numFmtId="0" fontId="36" fillId="0" borderId="0" xfId="42" applyFont="1" applyAlignment="1">
      <alignment wrapText="1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6" fillId="0" borderId="0" xfId="43" applyFont="1"/>
    <xf numFmtId="0" fontId="36" fillId="0" borderId="0" xfId="43" applyFont="1" applyAlignment="1">
      <alignment horizontal="center"/>
    </xf>
    <xf numFmtId="0" fontId="36" fillId="0" borderId="0" xfId="43" applyFont="1" applyAlignment="1">
      <alignment horizontal="left"/>
    </xf>
    <xf numFmtId="0" fontId="35" fillId="0" borderId="0" xfId="43" applyFont="1" applyAlignment="1">
      <alignment horizontal="left" wrapText="1"/>
    </xf>
    <xf numFmtId="0" fontId="10" fillId="0" borderId="0" xfId="43" applyFont="1" applyAlignment="1">
      <alignment horizontal="left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66" fontId="40" fillId="0" borderId="0" xfId="0" applyNumberFormat="1" applyFont="1" applyAlignment="1">
      <alignment vertical="center" wrapText="1"/>
    </xf>
    <xf numFmtId="43" fontId="40" fillId="0" borderId="0" xfId="49" applyFont="1" applyBorder="1"/>
    <xf numFmtId="166" fontId="40" fillId="0" borderId="0" xfId="0" applyNumberFormat="1" applyFont="1" applyAlignment="1" applyProtection="1">
      <alignment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GQ Dra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20300751879698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Active!$D$21:$D$217</c:f>
                <c:numCache>
                  <c:formatCode>General</c:formatCode>
                  <c:ptCount val="19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Active!$D$21:$D$217</c:f>
                <c:numCache>
                  <c:formatCode>General</c:formatCode>
                  <c:ptCount val="19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Active!$H$21:$H$977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5B-44DF-B7F7-2D772040FA9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Active!$I$21:$I$977</c:f>
              <c:numCache>
                <c:formatCode>General</c:formatCode>
                <c:ptCount val="957"/>
                <c:pt idx="8">
                  <c:v>-6.0092000057920814E-4</c:v>
                </c:pt>
                <c:pt idx="16">
                  <c:v>-5.0119799998356029E-3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5B-44DF-B7F7-2D772040FA9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Active!$J$21:$J$977</c:f>
              <c:numCache>
                <c:formatCode>General</c:formatCode>
                <c:ptCount val="957"/>
                <c:pt idx="0">
                  <c:v>1.904519995150622E-3</c:v>
                </c:pt>
                <c:pt idx="1">
                  <c:v>-1.64278999727685E-3</c:v>
                </c:pt>
                <c:pt idx="3">
                  <c:v>-3.3579399969312362E-3</c:v>
                </c:pt>
                <c:pt idx="4">
                  <c:v>3.1922599955578335E-3</c:v>
                </c:pt>
                <c:pt idx="5">
                  <c:v>-2.3334000434260815E-4</c:v>
                </c:pt>
                <c:pt idx="9">
                  <c:v>-4.0004600014071912E-3</c:v>
                </c:pt>
                <c:pt idx="14">
                  <c:v>-5.4041300027165562E-3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5B-44DF-B7F7-2D772040FA9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Active!$K$21:$K$977</c:f>
              <c:numCache>
                <c:formatCode>General</c:formatCode>
                <c:ptCount val="957"/>
                <c:pt idx="2">
                  <c:v>0</c:v>
                </c:pt>
                <c:pt idx="6">
                  <c:v>-2.9999899998074397E-3</c:v>
                </c:pt>
                <c:pt idx="7">
                  <c:v>-5.9999000222887844E-4</c:v>
                </c:pt>
                <c:pt idx="10">
                  <c:v>-3.9561099983984604E-3</c:v>
                </c:pt>
                <c:pt idx="11">
                  <c:v>-2.5821200033533387E-3</c:v>
                </c:pt>
                <c:pt idx="12">
                  <c:v>-6.529509999381844E-3</c:v>
                </c:pt>
                <c:pt idx="13">
                  <c:v>-1.7957500022021122E-3</c:v>
                </c:pt>
                <c:pt idx="15">
                  <c:v>-4.8714400036260486E-3</c:v>
                </c:pt>
                <c:pt idx="17">
                  <c:v>-8.8309500060859136E-3</c:v>
                </c:pt>
                <c:pt idx="18">
                  <c:v>-5.0501799996709451E-3</c:v>
                </c:pt>
                <c:pt idx="19">
                  <c:v>1.2356769999314565E-2</c:v>
                </c:pt>
                <c:pt idx="20">
                  <c:v>-4.9868200003402308E-3</c:v>
                </c:pt>
                <c:pt idx="21">
                  <c:v>-4.317850005463697E-3</c:v>
                </c:pt>
                <c:pt idx="22">
                  <c:v>6.8363600003067404E-3</c:v>
                </c:pt>
                <c:pt idx="23">
                  <c:v>-6.1259200010681525E-3</c:v>
                </c:pt>
                <c:pt idx="24">
                  <c:v>-2.4171400073100813E-3</c:v>
                </c:pt>
                <c:pt idx="25">
                  <c:v>-6.9549401086987928E-3</c:v>
                </c:pt>
                <c:pt idx="26">
                  <c:v>-9.2081199982203543E-3</c:v>
                </c:pt>
                <c:pt idx="27">
                  <c:v>-1.6294160224788357E-2</c:v>
                </c:pt>
                <c:pt idx="28">
                  <c:v>-1.4444240005104803E-2</c:v>
                </c:pt>
                <c:pt idx="29">
                  <c:v>-1.819106000039028E-2</c:v>
                </c:pt>
                <c:pt idx="30">
                  <c:v>-1.9587119830248412E-2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5B-44DF-B7F7-2D772040FA9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Active!$L$21:$L$977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5B-44DF-B7F7-2D772040FA9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Active!$M$21:$M$977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5B-44DF-B7F7-2D772040FA9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0">
                    <c:v>3.8000000000000002E-4</c:v>
                  </c:pt>
                  <c:pt idx="1">
                    <c:v>1.09E-3</c:v>
                  </c:pt>
                  <c:pt idx="3">
                    <c:v>2.3999999999999998E-3</c:v>
                  </c:pt>
                  <c:pt idx="4">
                    <c:v>2.3E-3</c:v>
                  </c:pt>
                  <c:pt idx="5">
                    <c:v>4.0000000000000002E-4</c:v>
                  </c:pt>
                  <c:pt idx="6">
                    <c:v>6.9999999999999999E-4</c:v>
                  </c:pt>
                  <c:pt idx="7">
                    <c:v>8.0000000000000004E-4</c:v>
                  </c:pt>
                  <c:pt idx="8">
                    <c:v>0</c:v>
                  </c:pt>
                  <c:pt idx="9">
                    <c:v>5.1999999999999998E-3</c:v>
                  </c:pt>
                  <c:pt idx="10">
                    <c:v>6.4000000000000005E-4</c:v>
                  </c:pt>
                  <c:pt idx="11">
                    <c:v>1.8000000000000001E-4</c:v>
                  </c:pt>
                  <c:pt idx="12">
                    <c:v>5.2999999999999998E-4</c:v>
                  </c:pt>
                  <c:pt idx="13">
                    <c:v>1E-3</c:v>
                  </c:pt>
                  <c:pt idx="14">
                    <c:v>3.2000000000000002E-3</c:v>
                  </c:pt>
                  <c:pt idx="15">
                    <c:v>2.9E-4</c:v>
                  </c:pt>
                  <c:pt idx="16">
                    <c:v>8.0000000000000002E-3</c:v>
                  </c:pt>
                  <c:pt idx="17">
                    <c:v>5.1999999999999995E-4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6.4999999999999997E-3</c:v>
                  </c:pt>
                  <c:pt idx="21">
                    <c:v>1.4999999999999999E-2</c:v>
                  </c:pt>
                  <c:pt idx="22">
                    <c:v>6.9999999999999999E-4</c:v>
                  </c:pt>
                  <c:pt idx="23">
                    <c:v>6.9999999999999999E-4</c:v>
                  </c:pt>
                  <c:pt idx="24">
                    <c:v>3.0000000000000001E-3</c:v>
                  </c:pt>
                  <c:pt idx="25">
                    <c:v>2.9999999999999997E-4</c:v>
                  </c:pt>
                  <c:pt idx="26">
                    <c:v>0</c:v>
                  </c:pt>
                  <c:pt idx="27">
                    <c:v>1E-3</c:v>
                  </c:pt>
                  <c:pt idx="28">
                    <c:v>5.0000000000000001E-4</c:v>
                  </c:pt>
                  <c:pt idx="29">
                    <c:v>6.9999999999999999E-4</c:v>
                  </c:pt>
                  <c:pt idx="3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Active!$N$21:$N$977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5B-44DF-B7F7-2D772040FA9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Active!$F$21:$F$977</c:f>
              <c:numCache>
                <c:formatCode>General</c:formatCode>
                <c:ptCount val="957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Active!$O$21:$O$977</c:f>
              <c:numCache>
                <c:formatCode>General</c:formatCode>
                <c:ptCount val="957"/>
                <c:pt idx="0">
                  <c:v>4.0888048793700955E-3</c:v>
                </c:pt>
                <c:pt idx="1">
                  <c:v>4.0796456151569252E-3</c:v>
                </c:pt>
                <c:pt idx="2">
                  <c:v>2.8234173003812832E-3</c:v>
                </c:pt>
                <c:pt idx="3">
                  <c:v>-3.8500486841744775E-5</c:v>
                </c:pt>
                <c:pt idx="4">
                  <c:v>-4.1896223108114266E-4</c:v>
                </c:pt>
                <c:pt idx="5">
                  <c:v>-1.0389739624342359E-3</c:v>
                </c:pt>
                <c:pt idx="6">
                  <c:v>-1.2468188041946477E-3</c:v>
                </c:pt>
                <c:pt idx="7">
                  <c:v>-1.2468188041946477E-3</c:v>
                </c:pt>
                <c:pt idx="8">
                  <c:v>-1.7674877467741207E-3</c:v>
                </c:pt>
                <c:pt idx="9">
                  <c:v>-2.9948291513389935E-3</c:v>
                </c:pt>
                <c:pt idx="10">
                  <c:v>-3.6958651430393655E-3</c:v>
                </c:pt>
                <c:pt idx="11">
                  <c:v>-3.7120699951088219E-3</c:v>
                </c:pt>
                <c:pt idx="12">
                  <c:v>-4.2736033472547483E-3</c:v>
                </c:pt>
                <c:pt idx="13">
                  <c:v>-4.380696282670282E-3</c:v>
                </c:pt>
                <c:pt idx="14">
                  <c:v>-4.9964806613096045E-3</c:v>
                </c:pt>
                <c:pt idx="15">
                  <c:v>-5.0056399255227748E-3</c:v>
                </c:pt>
                <c:pt idx="16">
                  <c:v>-5.0352313945191728E-3</c:v>
                </c:pt>
                <c:pt idx="17">
                  <c:v>-5.0570727168736561E-3</c:v>
                </c:pt>
                <c:pt idx="18">
                  <c:v>-6.3457107357882099E-3</c:v>
                </c:pt>
                <c:pt idx="19">
                  <c:v>-6.3562791175726377E-3</c:v>
                </c:pt>
                <c:pt idx="20">
                  <c:v>-5.6918801827249487E-3</c:v>
                </c:pt>
                <c:pt idx="21">
                  <c:v>-6.3745976459989801E-3</c:v>
                </c:pt>
                <c:pt idx="22">
                  <c:v>-5.7524722382890003E-3</c:v>
                </c:pt>
                <c:pt idx="23">
                  <c:v>-7.0516786389879819E-3</c:v>
                </c:pt>
                <c:pt idx="24">
                  <c:v>-7.196817748827457E-3</c:v>
                </c:pt>
                <c:pt idx="25">
                  <c:v>-7.1545442216897461E-3</c:v>
                </c:pt>
                <c:pt idx="26">
                  <c:v>-9.2076285230112374E-3</c:v>
                </c:pt>
                <c:pt idx="27">
                  <c:v>-9.6951832026661716E-3</c:v>
                </c:pt>
                <c:pt idx="28">
                  <c:v>-1.0247557290598928E-2</c:v>
                </c:pt>
                <c:pt idx="29">
                  <c:v>-1.0308149346162979E-2</c:v>
                </c:pt>
                <c:pt idx="30">
                  <c:v>-1.0405378458579712E-2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F5B-44DF-B7F7-2D772040FA9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-898</c:v>
                </c:pt>
                <c:pt idx="1">
                  <c:v>-891.5</c:v>
                </c:pt>
                <c:pt idx="2">
                  <c:v>0</c:v>
                </c:pt>
                <c:pt idx="3">
                  <c:v>2031</c:v>
                </c:pt>
                <c:pt idx="4">
                  <c:v>2301</c:v>
                </c:pt>
                <c:pt idx="5">
                  <c:v>2741</c:v>
                </c:pt>
                <c:pt idx="6">
                  <c:v>2888.5</c:v>
                </c:pt>
                <c:pt idx="7">
                  <c:v>2888.5</c:v>
                </c:pt>
                <c:pt idx="8">
                  <c:v>3258</c:v>
                </c:pt>
                <c:pt idx="9">
                  <c:v>4129</c:v>
                </c:pt>
                <c:pt idx="10">
                  <c:v>4626.5</c:v>
                </c:pt>
                <c:pt idx="11">
                  <c:v>4638</c:v>
                </c:pt>
                <c:pt idx="12">
                  <c:v>5036.5</c:v>
                </c:pt>
                <c:pt idx="13">
                  <c:v>5112.5</c:v>
                </c:pt>
                <c:pt idx="14">
                  <c:v>5549.5</c:v>
                </c:pt>
                <c:pt idx="15">
                  <c:v>5556</c:v>
                </c:pt>
                <c:pt idx="16">
                  <c:v>5577</c:v>
                </c:pt>
                <c:pt idx="17">
                  <c:v>5592.5</c:v>
                </c:pt>
                <c:pt idx="18">
                  <c:v>6507</c:v>
                </c:pt>
                <c:pt idx="19">
                  <c:v>6514.5</c:v>
                </c:pt>
                <c:pt idx="20">
                  <c:v>6043</c:v>
                </c:pt>
                <c:pt idx="21">
                  <c:v>6527.5</c:v>
                </c:pt>
                <c:pt idx="22">
                  <c:v>6086</c:v>
                </c:pt>
                <c:pt idx="23">
                  <c:v>7008</c:v>
                </c:pt>
                <c:pt idx="24">
                  <c:v>7111</c:v>
                </c:pt>
                <c:pt idx="25">
                  <c:v>7081</c:v>
                </c:pt>
                <c:pt idx="26">
                  <c:v>8538</c:v>
                </c:pt>
                <c:pt idx="27">
                  <c:v>8884</c:v>
                </c:pt>
                <c:pt idx="28">
                  <c:v>9276</c:v>
                </c:pt>
                <c:pt idx="29">
                  <c:v>9319</c:v>
                </c:pt>
                <c:pt idx="30">
                  <c:v>9388</c:v>
                </c:pt>
              </c:numCache>
            </c:numRef>
          </c:xVal>
          <c:yVal>
            <c:numRef>
              <c:f>Active!$U$21:$U$988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F5B-44DF-B7F7-2D772040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73280"/>
        <c:axId val="1"/>
      </c:scatterChart>
      <c:valAx>
        <c:axId val="686173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233082706766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1732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F67EC7C-C4EB-4380-649C-07E8AADEF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07.pdf" TargetMode="External"/><Relationship Id="rId13" Type="http://schemas.openxmlformats.org/officeDocument/2006/relationships/hyperlink" Target="http://www.konkoly.hu/cgi-bin/IBVS?6114" TargetMode="External"/><Relationship Id="rId18" Type="http://schemas.openxmlformats.org/officeDocument/2006/relationships/hyperlink" Target="http://www.konkoly.hu/cgi-bin/IBVS?6114" TargetMode="External"/><Relationship Id="rId3" Type="http://schemas.openxmlformats.org/officeDocument/2006/relationships/hyperlink" Target="http://www.konkoly.hu/cgi-bin/IBVS?4988" TargetMode="External"/><Relationship Id="rId7" Type="http://schemas.openxmlformats.org/officeDocument/2006/relationships/hyperlink" Target="http://var.astro.cz/oejv/issues/oejv0107.pdf" TargetMode="External"/><Relationship Id="rId12" Type="http://schemas.openxmlformats.org/officeDocument/2006/relationships/hyperlink" Target="http://www.konkoly.hu/cgi-bin/IBVS?6114" TargetMode="External"/><Relationship Id="rId17" Type="http://schemas.openxmlformats.org/officeDocument/2006/relationships/hyperlink" Target="http://var.astro.cz/oejv/issues/oejv0172.pdf" TargetMode="External"/><Relationship Id="rId2" Type="http://schemas.openxmlformats.org/officeDocument/2006/relationships/hyperlink" Target="http://www.konkoly.hu/cgi-bin/IBVS?4988" TargetMode="External"/><Relationship Id="rId16" Type="http://schemas.openxmlformats.org/officeDocument/2006/relationships/hyperlink" Target="http://www.konkoly.hu/cgi-bin/IBVS?6114" TargetMode="External"/><Relationship Id="rId1" Type="http://schemas.openxmlformats.org/officeDocument/2006/relationships/hyperlink" Target="http://www.konkoly.hu/cgi-bin/IBVS?4988" TargetMode="External"/><Relationship Id="rId6" Type="http://schemas.openxmlformats.org/officeDocument/2006/relationships/hyperlink" Target="http://www.bav-astro.de/sfs/BAVM_link.php?BAVMnr=201" TargetMode="External"/><Relationship Id="rId11" Type="http://schemas.openxmlformats.org/officeDocument/2006/relationships/hyperlink" Target="http://www.konkoly.hu/cgi-bin/IBVS?6114" TargetMode="External"/><Relationship Id="rId5" Type="http://schemas.openxmlformats.org/officeDocument/2006/relationships/hyperlink" Target="http://www.bav-astro.de/sfs/BAVM_link.php?BAVMnr=186" TargetMode="External"/><Relationship Id="rId15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bav-astro.de/sfs/BAVM_link.php?BAVMnr=220" TargetMode="External"/><Relationship Id="rId4" Type="http://schemas.openxmlformats.org/officeDocument/2006/relationships/hyperlink" Target="http://www.bav-astro.de/sfs/BAVM_link.php?BAVMnr=183" TargetMode="External"/><Relationship Id="rId9" Type="http://schemas.openxmlformats.org/officeDocument/2006/relationships/hyperlink" Target="http://www.bav-astro.de/sfs/BAVM_link.php?BAVMnr=212" TargetMode="External"/><Relationship Id="rId14" Type="http://schemas.openxmlformats.org/officeDocument/2006/relationships/hyperlink" Target="http://www.konkoly.hu/cgi-bin/IBVS?6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18"/>
  <sheetViews>
    <sheetView tabSelected="1" workbookViewId="0">
      <pane xSplit="14" ySplit="21" topLeftCell="O40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39</v>
      </c>
      <c r="F1" s="3">
        <v>52500.094700000001</v>
      </c>
      <c r="G1" s="3">
        <v>0.76590574</v>
      </c>
      <c r="H1" s="3" t="s">
        <v>40</v>
      </c>
    </row>
    <row r="2" spans="1:8" x14ac:dyDescent="0.2">
      <c r="A2" t="s">
        <v>25</v>
      </c>
      <c r="B2" t="s">
        <v>40</v>
      </c>
      <c r="C2" s="3"/>
      <c r="D2" s="3"/>
    </row>
    <row r="3" spans="1:8" ht="13.5" thickBot="1" x14ac:dyDescent="0.25"/>
    <row r="4" spans="1:8" ht="14.25" thickTop="1" thickBot="1" x14ac:dyDescent="0.25">
      <c r="A4" s="5" t="s">
        <v>38</v>
      </c>
      <c r="C4" s="8">
        <v>52500.094700000001</v>
      </c>
      <c r="D4" s="9">
        <v>0.76590574</v>
      </c>
    </row>
    <row r="5" spans="1:8" ht="13.5" thickTop="1" x14ac:dyDescent="0.2">
      <c r="A5" s="11" t="s">
        <v>30</v>
      </c>
      <c r="B5" s="12"/>
      <c r="C5" s="13">
        <v>-9.5</v>
      </c>
      <c r="D5" s="12" t="s">
        <v>31</v>
      </c>
    </row>
    <row r="6" spans="1:8" x14ac:dyDescent="0.2">
      <c r="A6" s="5" t="s">
        <v>3</v>
      </c>
    </row>
    <row r="7" spans="1:8" x14ac:dyDescent="0.2">
      <c r="A7" t="s">
        <v>4</v>
      </c>
      <c r="C7">
        <f>C4</f>
        <v>52500.094700000001</v>
      </c>
    </row>
    <row r="8" spans="1:8" x14ac:dyDescent="0.2">
      <c r="A8" t="s">
        <v>5</v>
      </c>
      <c r="C8">
        <f>D4</f>
        <v>0.76590574</v>
      </c>
      <c r="D8" s="28"/>
    </row>
    <row r="9" spans="1:8" x14ac:dyDescent="0.2">
      <c r="A9" s="26" t="s">
        <v>35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8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8" x14ac:dyDescent="0.2">
      <c r="A11" s="12" t="s">
        <v>17</v>
      </c>
      <c r="B11" s="12"/>
      <c r="C11" s="23">
        <f ca="1">INTERCEPT(INDIRECT($D$9):G987,INDIRECT($C$9):F987)</f>
        <v>2.8234173003812832E-3</v>
      </c>
      <c r="D11" s="3"/>
      <c r="E11" s="12"/>
    </row>
    <row r="12" spans="1:8" x14ac:dyDescent="0.2">
      <c r="A12" s="12" t="s">
        <v>18</v>
      </c>
      <c r="B12" s="12"/>
      <c r="C12" s="23">
        <f ca="1">SLOPE(INDIRECT($D$9):G987,INDIRECT($C$9):F987)</f>
        <v>-1.4091175712570299E-6</v>
      </c>
      <c r="D12" s="3"/>
      <c r="E12" s="12"/>
    </row>
    <row r="13" spans="1:8" x14ac:dyDescent="0.2">
      <c r="A13" s="12" t="s">
        <v>20</v>
      </c>
      <c r="B13" s="12"/>
      <c r="C13" s="3" t="s">
        <v>15</v>
      </c>
    </row>
    <row r="14" spans="1:8" x14ac:dyDescent="0.2">
      <c r="A14" s="12"/>
      <c r="B14" s="12"/>
      <c r="C14" s="12"/>
    </row>
    <row r="15" spans="1:8" x14ac:dyDescent="0.2">
      <c r="A15" s="14" t="s">
        <v>19</v>
      </c>
      <c r="B15" s="12"/>
      <c r="C15" s="15">
        <f ca="1">(C7+C11)+(C8+C12)*INT(MAX(F21:F3528))</f>
        <v>59690.407381741541</v>
      </c>
      <c r="E15" s="16" t="s">
        <v>46</v>
      </c>
      <c r="F15" s="13">
        <v>1</v>
      </c>
    </row>
    <row r="16" spans="1:8" x14ac:dyDescent="0.2">
      <c r="A16" s="18" t="s">
        <v>6</v>
      </c>
      <c r="B16" s="12"/>
      <c r="C16" s="19">
        <f ca="1">+C8+C12</f>
        <v>0.76590433088242871</v>
      </c>
      <c r="E16" s="16" t="s">
        <v>32</v>
      </c>
      <c r="F16" s="17">
        <f ca="1">NOW()+15018.5+$C$5/24</f>
        <v>60171.539208912036</v>
      </c>
    </row>
    <row r="17" spans="1:21" ht="13.5" thickBot="1" x14ac:dyDescent="0.25">
      <c r="A17" s="16" t="s">
        <v>29</v>
      </c>
      <c r="B17" s="12"/>
      <c r="C17" s="12">
        <f>COUNT(C21:C2186)</f>
        <v>31</v>
      </c>
      <c r="E17" s="16" t="s">
        <v>47</v>
      </c>
      <c r="F17" s="17">
        <f ca="1">ROUND(2*(F16-$C$7)/$C$8,0)/2+F15</f>
        <v>10017</v>
      </c>
    </row>
    <row r="18" spans="1:21" ht="14.25" thickTop="1" thickBot="1" x14ac:dyDescent="0.25">
      <c r="A18" s="18" t="s">
        <v>7</v>
      </c>
      <c r="B18" s="12"/>
      <c r="C18" s="21">
        <f ca="1">+C15</f>
        <v>59690.407381741541</v>
      </c>
      <c r="D18" s="22">
        <f ca="1">+C16</f>
        <v>0.76590433088242871</v>
      </c>
      <c r="E18" s="16" t="s">
        <v>33</v>
      </c>
      <c r="F18" s="25">
        <f ca="1">ROUND(2*(F16-$C$15)/$C$16,0)/2+F15</f>
        <v>629</v>
      </c>
    </row>
    <row r="19" spans="1:21" ht="13.5" thickTop="1" x14ac:dyDescent="0.2">
      <c r="E19" s="16" t="s">
        <v>34</v>
      </c>
      <c r="F19" s="20">
        <f ca="1">+$C$15+$C$16*F18-15018.5-$C$5/24</f>
        <v>45154.057039199921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61</v>
      </c>
      <c r="I20" s="7" t="s">
        <v>64</v>
      </c>
      <c r="J20" s="7" t="s">
        <v>58</v>
      </c>
      <c r="K20" s="7" t="s">
        <v>56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4" t="s">
        <v>145</v>
      </c>
    </row>
    <row r="21" spans="1:21" x14ac:dyDescent="0.2">
      <c r="A21" s="32" t="s">
        <v>48</v>
      </c>
      <c r="B21" s="33" t="s">
        <v>36</v>
      </c>
      <c r="C21" s="32">
        <v>51812.313249999999</v>
      </c>
      <c r="D21" s="32">
        <v>3.8000000000000002E-4</v>
      </c>
      <c r="E21">
        <f t="shared" ref="E21:E39" si="0">+(C21-C$7)/C$8</f>
        <v>-897.99751337547389</v>
      </c>
      <c r="F21">
        <f t="shared" ref="F21:F45" si="1">ROUND(2*E21,0)/2</f>
        <v>-898</v>
      </c>
      <c r="G21">
        <f t="shared" ref="G21:G39" si="2">+C21-(C$7+F21*C$8)</f>
        <v>1.904519995150622E-3</v>
      </c>
      <c r="J21">
        <f>+G21</f>
        <v>1.904519995150622E-3</v>
      </c>
      <c r="O21">
        <f t="shared" ref="O21:O39" ca="1" si="3">+C$11+C$12*$F21</f>
        <v>4.0888048793700955E-3</v>
      </c>
      <c r="Q21" s="2">
        <f t="shared" ref="Q21:Q39" si="4">+C21-15018.5</f>
        <v>36793.813249999999</v>
      </c>
    </row>
    <row r="22" spans="1:21" x14ac:dyDescent="0.2">
      <c r="A22" s="32" t="s">
        <v>48</v>
      </c>
      <c r="B22" s="33" t="s">
        <v>45</v>
      </c>
      <c r="C22" s="32">
        <v>51817.288090000002</v>
      </c>
      <c r="D22" s="32">
        <v>1.09E-3</v>
      </c>
      <c r="E22">
        <f t="shared" si="0"/>
        <v>-891.50214489840437</v>
      </c>
      <c r="F22">
        <f t="shared" si="1"/>
        <v>-891.5</v>
      </c>
      <c r="G22">
        <f t="shared" si="2"/>
        <v>-1.64278999727685E-3</v>
      </c>
      <c r="J22">
        <f>+G22</f>
        <v>-1.64278999727685E-3</v>
      </c>
      <c r="O22">
        <f t="shared" ca="1" si="3"/>
        <v>4.0796456151569252E-3</v>
      </c>
      <c r="Q22" s="2">
        <f t="shared" si="4"/>
        <v>36798.788090000002</v>
      </c>
    </row>
    <row r="23" spans="1:21" x14ac:dyDescent="0.2">
      <c r="A23" s="30" t="s">
        <v>37</v>
      </c>
      <c r="B23" s="29" t="s">
        <v>36</v>
      </c>
      <c r="C23" s="30">
        <v>52500.094700000001</v>
      </c>
      <c r="D23" s="34"/>
      <c r="E23">
        <f t="shared" si="0"/>
        <v>0</v>
      </c>
      <c r="F23">
        <f t="shared" si="1"/>
        <v>0</v>
      </c>
      <c r="G23">
        <f t="shared" si="2"/>
        <v>0</v>
      </c>
      <c r="K23">
        <f>+G23</f>
        <v>0</v>
      </c>
      <c r="O23">
        <f t="shared" ca="1" si="3"/>
        <v>2.8234173003812832E-3</v>
      </c>
      <c r="Q23" s="2">
        <f t="shared" si="4"/>
        <v>37481.594700000001</v>
      </c>
    </row>
    <row r="24" spans="1:21" x14ac:dyDescent="0.2">
      <c r="A24" s="30" t="s">
        <v>41</v>
      </c>
      <c r="B24" s="31" t="s">
        <v>36</v>
      </c>
      <c r="C24" s="30">
        <v>54055.645900000003</v>
      </c>
      <c r="D24" s="30">
        <v>2.3999999999999998E-3</v>
      </c>
      <c r="E24">
        <f t="shared" si="0"/>
        <v>2030.9956157268148</v>
      </c>
      <c r="F24">
        <f t="shared" si="1"/>
        <v>2031</v>
      </c>
      <c r="G24">
        <f t="shared" si="2"/>
        <v>-3.3579399969312362E-3</v>
      </c>
      <c r="J24">
        <f>+G24</f>
        <v>-3.3579399969312362E-3</v>
      </c>
      <c r="O24">
        <f t="shared" ca="1" si="3"/>
        <v>-3.8500486841744775E-5</v>
      </c>
      <c r="Q24" s="2">
        <f t="shared" si="4"/>
        <v>39037.145900000003</v>
      </c>
    </row>
    <row r="25" spans="1:21" x14ac:dyDescent="0.2">
      <c r="A25" s="30" t="s">
        <v>42</v>
      </c>
      <c r="B25" s="31"/>
      <c r="C25" s="30">
        <v>54262.447</v>
      </c>
      <c r="D25" s="30">
        <v>2.3E-3</v>
      </c>
      <c r="E25">
        <f t="shared" si="0"/>
        <v>2301.0041679541382</v>
      </c>
      <c r="F25">
        <f t="shared" si="1"/>
        <v>2301</v>
      </c>
      <c r="G25">
        <f t="shared" si="2"/>
        <v>3.1922599955578335E-3</v>
      </c>
      <c r="J25">
        <f>+G25</f>
        <v>3.1922599955578335E-3</v>
      </c>
      <c r="O25">
        <f t="shared" ca="1" si="3"/>
        <v>-4.1896223108114266E-4</v>
      </c>
      <c r="Q25" s="2">
        <f t="shared" si="4"/>
        <v>39243.947</v>
      </c>
    </row>
    <row r="26" spans="1:21" x14ac:dyDescent="0.2">
      <c r="A26" s="30" t="s">
        <v>43</v>
      </c>
      <c r="B26" s="29" t="s">
        <v>36</v>
      </c>
      <c r="C26" s="30">
        <v>54599.4421</v>
      </c>
      <c r="D26" s="30">
        <v>4.0000000000000002E-4</v>
      </c>
      <c r="E26">
        <f t="shared" si="0"/>
        <v>2740.9996953410987</v>
      </c>
      <c r="F26">
        <f t="shared" si="1"/>
        <v>2741</v>
      </c>
      <c r="G26">
        <f t="shared" si="2"/>
        <v>-2.3334000434260815E-4</v>
      </c>
      <c r="J26">
        <f>+G26</f>
        <v>-2.3334000434260815E-4</v>
      </c>
      <c r="O26">
        <f t="shared" ca="1" si="3"/>
        <v>-1.0389739624342359E-3</v>
      </c>
      <c r="Q26" s="2">
        <f t="shared" si="4"/>
        <v>39580.9421</v>
      </c>
    </row>
    <row r="27" spans="1:21" x14ac:dyDescent="0.2">
      <c r="A27" s="35" t="s">
        <v>44</v>
      </c>
      <c r="B27" s="29" t="s">
        <v>45</v>
      </c>
      <c r="C27" s="30">
        <v>54712.410430000004</v>
      </c>
      <c r="D27" s="30">
        <v>6.9999999999999999E-4</v>
      </c>
      <c r="E27">
        <f t="shared" si="0"/>
        <v>2888.4960830819755</v>
      </c>
      <c r="F27">
        <f t="shared" si="1"/>
        <v>2888.5</v>
      </c>
      <c r="G27">
        <f t="shared" si="2"/>
        <v>-2.9999899998074397E-3</v>
      </c>
      <c r="K27">
        <f>+G27</f>
        <v>-2.9999899998074397E-3</v>
      </c>
      <c r="O27">
        <f t="shared" ca="1" si="3"/>
        <v>-1.2468188041946477E-3</v>
      </c>
      <c r="Q27" s="2">
        <f t="shared" si="4"/>
        <v>39693.910430000004</v>
      </c>
    </row>
    <row r="28" spans="1:21" x14ac:dyDescent="0.2">
      <c r="A28" s="35" t="s">
        <v>44</v>
      </c>
      <c r="B28" s="29" t="s">
        <v>45</v>
      </c>
      <c r="C28" s="30">
        <v>54712.412830000001</v>
      </c>
      <c r="D28" s="30">
        <v>8.0000000000000004E-4</v>
      </c>
      <c r="E28">
        <f t="shared" si="0"/>
        <v>2888.4992166268394</v>
      </c>
      <c r="F28">
        <f t="shared" si="1"/>
        <v>2888.5</v>
      </c>
      <c r="G28">
        <f t="shared" si="2"/>
        <v>-5.9999000222887844E-4</v>
      </c>
      <c r="K28">
        <f>+G28</f>
        <v>-5.9999000222887844E-4</v>
      </c>
      <c r="O28">
        <f t="shared" ca="1" si="3"/>
        <v>-1.2468188041946477E-3</v>
      </c>
      <c r="Q28" s="2">
        <f t="shared" si="4"/>
        <v>39693.912830000001</v>
      </c>
    </row>
    <row r="29" spans="1:21" x14ac:dyDescent="0.2">
      <c r="A29" s="51" t="s">
        <v>109</v>
      </c>
      <c r="B29" s="53" t="s">
        <v>36</v>
      </c>
      <c r="C29" s="52">
        <v>54995.415000000001</v>
      </c>
      <c r="D29" s="52" t="s">
        <v>64</v>
      </c>
      <c r="E29">
        <f t="shared" si="0"/>
        <v>3257.9992154125903</v>
      </c>
      <c r="F29">
        <f t="shared" si="1"/>
        <v>3258</v>
      </c>
      <c r="G29">
        <f t="shared" si="2"/>
        <v>-6.0092000057920814E-4</v>
      </c>
      <c r="I29">
        <f>+G29</f>
        <v>-6.0092000057920814E-4</v>
      </c>
      <c r="O29">
        <f t="shared" ca="1" si="3"/>
        <v>-1.7674877467741207E-3</v>
      </c>
      <c r="Q29" s="2">
        <f t="shared" si="4"/>
        <v>39976.915000000001</v>
      </c>
    </row>
    <row r="30" spans="1:21" x14ac:dyDescent="0.2">
      <c r="A30" s="32" t="s">
        <v>49</v>
      </c>
      <c r="B30" s="33" t="s">
        <v>36</v>
      </c>
      <c r="C30" s="32">
        <v>55662.515500000001</v>
      </c>
      <c r="D30" s="32">
        <v>5.1999999999999998E-3</v>
      </c>
      <c r="E30" s="37">
        <f t="shared" si="0"/>
        <v>4128.9947768246257</v>
      </c>
      <c r="F30">
        <f t="shared" si="1"/>
        <v>4129</v>
      </c>
      <c r="G30">
        <f t="shared" si="2"/>
        <v>-4.0004600014071912E-3</v>
      </c>
      <c r="J30">
        <f>+G30</f>
        <v>-4.0004600014071912E-3</v>
      </c>
      <c r="O30">
        <f t="shared" ca="1" si="3"/>
        <v>-2.9948291513389935E-3</v>
      </c>
      <c r="Q30" s="2">
        <f t="shared" si="4"/>
        <v>40644.015500000001</v>
      </c>
    </row>
    <row r="31" spans="1:21" x14ac:dyDescent="0.2">
      <c r="A31" s="30" t="s">
        <v>50</v>
      </c>
      <c r="B31" s="29" t="s">
        <v>45</v>
      </c>
      <c r="C31" s="30">
        <v>56043.553650000002</v>
      </c>
      <c r="D31" s="30">
        <v>6.4000000000000005E-4</v>
      </c>
      <c r="E31" s="37">
        <f t="shared" si="0"/>
        <v>4626.4948347299242</v>
      </c>
      <c r="F31">
        <f t="shared" si="1"/>
        <v>4626.5</v>
      </c>
      <c r="G31">
        <f t="shared" si="2"/>
        <v>-3.9561099983984604E-3</v>
      </c>
      <c r="K31">
        <f>+G31</f>
        <v>-3.9561099983984604E-3</v>
      </c>
      <c r="O31">
        <f t="shared" ca="1" si="3"/>
        <v>-3.6958651430393655E-3</v>
      </c>
      <c r="Q31" s="2">
        <f t="shared" si="4"/>
        <v>41025.053650000002</v>
      </c>
    </row>
    <row r="32" spans="1:21" x14ac:dyDescent="0.2">
      <c r="A32" s="30" t="s">
        <v>50</v>
      </c>
      <c r="B32" s="29" t="s">
        <v>36</v>
      </c>
      <c r="C32" s="30">
        <v>56052.362939999999</v>
      </c>
      <c r="D32" s="30">
        <v>1.8000000000000001E-4</v>
      </c>
      <c r="E32" s="37">
        <f t="shared" si="0"/>
        <v>4637.9966286713006</v>
      </c>
      <c r="F32">
        <f t="shared" si="1"/>
        <v>4638</v>
      </c>
      <c r="G32">
        <f t="shared" si="2"/>
        <v>-2.5821200033533387E-3</v>
      </c>
      <c r="K32">
        <f>+G32</f>
        <v>-2.5821200033533387E-3</v>
      </c>
      <c r="O32">
        <f t="shared" ca="1" si="3"/>
        <v>-3.7120699951088219E-3</v>
      </c>
      <c r="Q32" s="2">
        <f t="shared" si="4"/>
        <v>41033.862939999999</v>
      </c>
    </row>
    <row r="33" spans="1:17" x14ac:dyDescent="0.2">
      <c r="A33" s="30" t="s">
        <v>50</v>
      </c>
      <c r="B33" s="29" t="s">
        <v>45</v>
      </c>
      <c r="C33" s="30">
        <v>56357.57243</v>
      </c>
      <c r="D33" s="30">
        <v>5.2999999999999998E-4</v>
      </c>
      <c r="E33" s="37">
        <f t="shared" si="0"/>
        <v>5036.4914747864386</v>
      </c>
      <c r="F33">
        <f t="shared" si="1"/>
        <v>5036.5</v>
      </c>
      <c r="G33">
        <f t="shared" si="2"/>
        <v>-6.529509999381844E-3</v>
      </c>
      <c r="K33">
        <f>+G33</f>
        <v>-6.529509999381844E-3</v>
      </c>
      <c r="O33">
        <f t="shared" ca="1" si="3"/>
        <v>-4.2736033472547483E-3</v>
      </c>
      <c r="Q33" s="2">
        <f t="shared" si="4"/>
        <v>41339.07243</v>
      </c>
    </row>
    <row r="34" spans="1:17" x14ac:dyDescent="0.2">
      <c r="A34" s="36" t="s">
        <v>51</v>
      </c>
      <c r="B34" s="37"/>
      <c r="C34" s="30">
        <v>56415.786</v>
      </c>
      <c r="D34" s="30">
        <v>1E-3</v>
      </c>
      <c r="E34" s="37">
        <f t="shared" si="0"/>
        <v>5112.4976553903334</v>
      </c>
      <c r="F34">
        <f t="shared" si="1"/>
        <v>5112.5</v>
      </c>
      <c r="G34">
        <f t="shared" si="2"/>
        <v>-1.7957500022021122E-3</v>
      </c>
      <c r="K34">
        <f>+G34</f>
        <v>-1.7957500022021122E-3</v>
      </c>
      <c r="O34">
        <f t="shared" ca="1" si="3"/>
        <v>-4.380696282670282E-3</v>
      </c>
      <c r="Q34" s="2">
        <f t="shared" si="4"/>
        <v>41397.286</v>
      </c>
    </row>
    <row r="35" spans="1:17" x14ac:dyDescent="0.2">
      <c r="A35" s="56" t="s">
        <v>52</v>
      </c>
      <c r="B35" s="57" t="s">
        <v>36</v>
      </c>
      <c r="C35" s="56">
        <v>56750.483200000002</v>
      </c>
      <c r="D35" s="56">
        <v>3.2000000000000002E-3</v>
      </c>
      <c r="E35" s="58">
        <f t="shared" si="0"/>
        <v>5549.4929441317427</v>
      </c>
      <c r="F35">
        <f t="shared" si="1"/>
        <v>5549.5</v>
      </c>
      <c r="G35">
        <f t="shared" si="2"/>
        <v>-5.4041300027165562E-3</v>
      </c>
      <c r="J35">
        <f>+G35</f>
        <v>-5.4041300027165562E-3</v>
      </c>
      <c r="O35">
        <f t="shared" ca="1" si="3"/>
        <v>-4.9964806613096045E-3</v>
      </c>
      <c r="Q35" s="2">
        <f t="shared" si="4"/>
        <v>41731.983200000002</v>
      </c>
    </row>
    <row r="36" spans="1:17" x14ac:dyDescent="0.2">
      <c r="A36" s="59" t="s">
        <v>50</v>
      </c>
      <c r="B36" s="60" t="s">
        <v>36</v>
      </c>
      <c r="C36" s="59">
        <v>56755.462119999997</v>
      </c>
      <c r="D36" s="59">
        <v>2.9E-4</v>
      </c>
      <c r="E36" s="58">
        <f t="shared" si="0"/>
        <v>5555.993639635074</v>
      </c>
      <c r="F36">
        <f t="shared" si="1"/>
        <v>5556</v>
      </c>
      <c r="G36">
        <f t="shared" si="2"/>
        <v>-4.8714400036260486E-3</v>
      </c>
      <c r="K36">
        <f>+G36</f>
        <v>-4.8714400036260486E-3</v>
      </c>
      <c r="O36">
        <f t="shared" ca="1" si="3"/>
        <v>-5.0056399255227748E-3</v>
      </c>
      <c r="Q36" s="2">
        <f t="shared" si="4"/>
        <v>41736.962119999997</v>
      </c>
    </row>
    <row r="37" spans="1:17" x14ac:dyDescent="0.2">
      <c r="A37" s="61" t="s">
        <v>53</v>
      </c>
      <c r="B37" s="62" t="s">
        <v>36</v>
      </c>
      <c r="C37" s="63">
        <v>56771.546000000002</v>
      </c>
      <c r="D37" s="63">
        <v>8.0000000000000002E-3</v>
      </c>
      <c r="E37" s="58">
        <f t="shared" si="0"/>
        <v>5576.9934561399168</v>
      </c>
      <c r="F37">
        <f t="shared" si="1"/>
        <v>5577</v>
      </c>
      <c r="G37">
        <f t="shared" si="2"/>
        <v>-5.0119799998356029E-3</v>
      </c>
      <c r="I37">
        <f>+G37</f>
        <v>-5.0119799998356029E-3</v>
      </c>
      <c r="O37">
        <f t="shared" ca="1" si="3"/>
        <v>-5.0352313945191728E-3</v>
      </c>
      <c r="Q37" s="2">
        <f t="shared" si="4"/>
        <v>41753.046000000002</v>
      </c>
    </row>
    <row r="38" spans="1:17" x14ac:dyDescent="0.2">
      <c r="A38" s="59" t="s">
        <v>50</v>
      </c>
      <c r="B38" s="60" t="s">
        <v>45</v>
      </c>
      <c r="C38" s="59">
        <v>56783.413719999997</v>
      </c>
      <c r="D38" s="59">
        <v>5.1999999999999995E-4</v>
      </c>
      <c r="E38" s="58">
        <f t="shared" si="0"/>
        <v>5592.48846992581</v>
      </c>
      <c r="F38">
        <f t="shared" si="1"/>
        <v>5592.5</v>
      </c>
      <c r="G38">
        <f t="shared" si="2"/>
        <v>-8.8309500060859136E-3</v>
      </c>
      <c r="K38">
        <f t="shared" ref="K38:K43" si="5">+G38</f>
        <v>-8.8309500060859136E-3</v>
      </c>
      <c r="O38">
        <f t="shared" ca="1" si="3"/>
        <v>-5.0570727168736561E-3</v>
      </c>
      <c r="Q38" s="2">
        <f t="shared" si="4"/>
        <v>41764.913719999997</v>
      </c>
    </row>
    <row r="39" spans="1:17" x14ac:dyDescent="0.2">
      <c r="A39" s="64" t="s">
        <v>146</v>
      </c>
      <c r="B39" s="58"/>
      <c r="C39" s="59">
        <v>57483.838300000003</v>
      </c>
      <c r="D39" s="59">
        <v>2.0000000000000001E-4</v>
      </c>
      <c r="E39" s="58">
        <f t="shared" si="0"/>
        <v>6506.9934062643288</v>
      </c>
      <c r="F39">
        <f t="shared" si="1"/>
        <v>6507</v>
      </c>
      <c r="G39">
        <f t="shared" si="2"/>
        <v>-5.0501799996709451E-3</v>
      </c>
      <c r="K39">
        <f t="shared" si="5"/>
        <v>-5.0501799996709451E-3</v>
      </c>
      <c r="O39">
        <f t="shared" ca="1" si="3"/>
        <v>-6.3457107357882099E-3</v>
      </c>
      <c r="Q39" s="2">
        <f t="shared" si="4"/>
        <v>42465.338300000003</v>
      </c>
    </row>
    <row r="40" spans="1:17" x14ac:dyDescent="0.2">
      <c r="A40" s="65" t="s">
        <v>2</v>
      </c>
      <c r="B40" s="66" t="s">
        <v>45</v>
      </c>
      <c r="C40" s="67">
        <v>57489.599999999999</v>
      </c>
      <c r="D40" s="67">
        <v>2.0000000000000001E-4</v>
      </c>
      <c r="E40" s="58">
        <f t="shared" ref="E40:E45" si="6">+(C40-C$7)/C$8</f>
        <v>6514.5161335388311</v>
      </c>
      <c r="F40">
        <f t="shared" si="1"/>
        <v>6514.5</v>
      </c>
      <c r="G40">
        <f t="shared" ref="G40:G45" si="7">+C40-(C$7+F40*C$8)</f>
        <v>1.2356769999314565E-2</v>
      </c>
      <c r="K40">
        <f t="shared" si="5"/>
        <v>1.2356769999314565E-2</v>
      </c>
      <c r="O40">
        <f t="shared" ref="O40:O45" ca="1" si="8">+C$11+C$12*$F40</f>
        <v>-6.3562791175726377E-3</v>
      </c>
      <c r="Q40" s="2">
        <f t="shared" ref="Q40:Q45" si="9">+C40-15018.5</f>
        <v>42471.1</v>
      </c>
    </row>
    <row r="41" spans="1:17" x14ac:dyDescent="0.2">
      <c r="A41" s="65" t="s">
        <v>2</v>
      </c>
      <c r="B41" s="66" t="s">
        <v>36</v>
      </c>
      <c r="C41" s="67">
        <v>57128.458100000003</v>
      </c>
      <c r="D41" s="67">
        <v>6.4999999999999997E-3</v>
      </c>
      <c r="E41" s="58">
        <f t="shared" si="6"/>
        <v>6042.9934889899141</v>
      </c>
      <c r="F41">
        <f t="shared" si="1"/>
        <v>6043</v>
      </c>
      <c r="G41">
        <f t="shared" si="7"/>
        <v>-4.9868200003402308E-3</v>
      </c>
      <c r="K41">
        <f t="shared" si="5"/>
        <v>-4.9868200003402308E-3</v>
      </c>
      <c r="O41">
        <f t="shared" ca="1" si="8"/>
        <v>-5.6918801827249487E-3</v>
      </c>
      <c r="Q41" s="2">
        <f t="shared" si="9"/>
        <v>42109.958100000003</v>
      </c>
    </row>
    <row r="42" spans="1:17" x14ac:dyDescent="0.2">
      <c r="A42" s="65" t="s">
        <v>2</v>
      </c>
      <c r="B42" s="66" t="s">
        <v>36</v>
      </c>
      <c r="C42" s="67">
        <v>57499.540099999998</v>
      </c>
      <c r="D42" s="67">
        <v>1.4999999999999999E-2</v>
      </c>
      <c r="E42" s="58">
        <f t="shared" si="6"/>
        <v>6527.4943624263697</v>
      </c>
      <c r="F42">
        <f t="shared" si="1"/>
        <v>6527.5</v>
      </c>
      <c r="G42">
        <f t="shared" si="7"/>
        <v>-4.317850005463697E-3</v>
      </c>
      <c r="K42">
        <f t="shared" si="5"/>
        <v>-4.317850005463697E-3</v>
      </c>
      <c r="O42">
        <f t="shared" ca="1" si="8"/>
        <v>-6.3745976459989801E-3</v>
      </c>
      <c r="Q42" s="2">
        <f t="shared" si="9"/>
        <v>42481.040099999998</v>
      </c>
    </row>
    <row r="43" spans="1:17" x14ac:dyDescent="0.2">
      <c r="A43" s="68" t="s">
        <v>147</v>
      </c>
      <c r="B43" s="69" t="s">
        <v>36</v>
      </c>
      <c r="C43" s="70">
        <v>57161.403870000002</v>
      </c>
      <c r="D43" s="70">
        <v>6.9999999999999999E-4</v>
      </c>
      <c r="E43" s="58">
        <f t="shared" si="6"/>
        <v>6086.0089258503276</v>
      </c>
      <c r="F43">
        <f t="shared" si="1"/>
        <v>6086</v>
      </c>
      <c r="G43">
        <f t="shared" si="7"/>
        <v>6.8363600003067404E-3</v>
      </c>
      <c r="K43">
        <f t="shared" si="5"/>
        <v>6.8363600003067404E-3</v>
      </c>
      <c r="O43">
        <f t="shared" ca="1" si="8"/>
        <v>-5.7524722382890003E-3</v>
      </c>
      <c r="Q43" s="2">
        <f t="shared" si="9"/>
        <v>42142.903870000002</v>
      </c>
    </row>
    <row r="44" spans="1:17" x14ac:dyDescent="0.2">
      <c r="A44" s="55" t="s">
        <v>0</v>
      </c>
      <c r="B44" s="71" t="s">
        <v>36</v>
      </c>
      <c r="C44" s="71">
        <v>57867.555999999997</v>
      </c>
      <c r="D44" s="71">
        <v>6.9999999999999999E-4</v>
      </c>
      <c r="E44" s="58">
        <f t="shared" si="6"/>
        <v>7007.9920017311733</v>
      </c>
      <c r="F44">
        <f t="shared" si="1"/>
        <v>7008</v>
      </c>
      <c r="G44">
        <f t="shared" si="7"/>
        <v>-6.1259200010681525E-3</v>
      </c>
      <c r="K44">
        <f>+G44</f>
        <v>-6.1259200010681525E-3</v>
      </c>
      <c r="O44">
        <f t="shared" ca="1" si="8"/>
        <v>-7.0516786389879819E-3</v>
      </c>
      <c r="Q44" s="2">
        <f t="shared" si="9"/>
        <v>42849.055999999997</v>
      </c>
    </row>
    <row r="45" spans="1:17" x14ac:dyDescent="0.2">
      <c r="A45" s="72" t="s">
        <v>1</v>
      </c>
      <c r="B45" s="72" t="s">
        <v>36</v>
      </c>
      <c r="C45" s="55">
        <v>57946.447999999997</v>
      </c>
      <c r="D45" s="55">
        <v>3.0000000000000001E-3</v>
      </c>
      <c r="E45" s="58">
        <f t="shared" si="6"/>
        <v>7110.9968440763942</v>
      </c>
      <c r="F45">
        <f t="shared" si="1"/>
        <v>7111</v>
      </c>
      <c r="G45">
        <f t="shared" si="7"/>
        <v>-2.4171400073100813E-3</v>
      </c>
      <c r="K45">
        <f>+G45</f>
        <v>-2.4171400073100813E-3</v>
      </c>
      <c r="O45">
        <f t="shared" ca="1" si="8"/>
        <v>-7.196817748827457E-3</v>
      </c>
      <c r="Q45" s="2">
        <f t="shared" si="9"/>
        <v>42927.947999999997</v>
      </c>
    </row>
    <row r="46" spans="1:17" x14ac:dyDescent="0.2">
      <c r="A46" s="73" t="s">
        <v>148</v>
      </c>
      <c r="B46" s="74" t="s">
        <v>36</v>
      </c>
      <c r="C46" s="75">
        <v>57923.466289999895</v>
      </c>
      <c r="D46" s="75">
        <v>2.9999999999999997E-4</v>
      </c>
      <c r="E46" s="58">
        <f>+(C46-C$7)/C$8</f>
        <v>7080.9909193263038</v>
      </c>
      <c r="F46">
        <f>ROUND(2*E46,0)/2</f>
        <v>7081</v>
      </c>
      <c r="G46">
        <f>+C46-(C$7+F46*C$8)</f>
        <v>-6.9549401086987928E-3</v>
      </c>
      <c r="K46">
        <f>+G46</f>
        <v>-6.9549401086987928E-3</v>
      </c>
      <c r="O46">
        <f ca="1">+C$11+C$12*$F46</f>
        <v>-7.1545442216897461E-3</v>
      </c>
      <c r="Q46" s="2">
        <f>+C46-15018.5</f>
        <v>42904.966289999895</v>
      </c>
    </row>
    <row r="47" spans="1:17" x14ac:dyDescent="0.2">
      <c r="A47" s="73" t="s">
        <v>149</v>
      </c>
      <c r="B47" s="74" t="s">
        <v>36</v>
      </c>
      <c r="C47" s="75">
        <v>59039.388700000003</v>
      </c>
      <c r="D47" s="75" t="s">
        <v>150</v>
      </c>
      <c r="E47" s="58">
        <f>+(C47-C$7)/C$8</f>
        <v>8537.9879774761866</v>
      </c>
      <c r="F47">
        <f>ROUND(2*E47,0)/2</f>
        <v>8538</v>
      </c>
      <c r="G47">
        <f>+C47-(C$7+F47*C$8)</f>
        <v>-9.2081199982203543E-3</v>
      </c>
      <c r="K47">
        <f>+G47</f>
        <v>-9.2081199982203543E-3</v>
      </c>
      <c r="O47">
        <f ca="1">+C$11+C$12*$F47</f>
        <v>-9.2076285230112374E-3</v>
      </c>
      <c r="Q47" s="2">
        <f>+C47-15018.5</f>
        <v>44020.888700000003</v>
      </c>
    </row>
    <row r="48" spans="1:17" x14ac:dyDescent="0.2">
      <c r="A48" s="76" t="s">
        <v>151</v>
      </c>
      <c r="B48" s="77" t="s">
        <v>36</v>
      </c>
      <c r="C48" s="78">
        <v>59304.384999999776</v>
      </c>
      <c r="D48" s="76">
        <v>1E-3</v>
      </c>
      <c r="E48" s="58">
        <f t="shared" ref="E48:E50" si="10">+(C48-C$7)/C$8</f>
        <v>8883.9787256324453</v>
      </c>
      <c r="F48">
        <f t="shared" ref="F48:F50" si="11">ROUND(2*E48,0)/2</f>
        <v>8884</v>
      </c>
      <c r="G48">
        <f t="shared" ref="G48:G50" si="12">+C48-(C$7+F48*C$8)</f>
        <v>-1.6294160224788357E-2</v>
      </c>
      <c r="K48">
        <f t="shared" ref="K48:K50" si="13">+G48</f>
        <v>-1.6294160224788357E-2</v>
      </c>
      <c r="O48">
        <f t="shared" ref="O48:O50" ca="1" si="14">+C$11+C$12*$F48</f>
        <v>-9.6951832026661716E-3</v>
      </c>
      <c r="Q48" s="2">
        <f t="shared" ref="Q48:Q50" si="15">+C48-15018.5</f>
        <v>44285.884999999776</v>
      </c>
    </row>
    <row r="49" spans="1:17" x14ac:dyDescent="0.2">
      <c r="A49" s="76" t="s">
        <v>152</v>
      </c>
      <c r="B49" s="77" t="s">
        <v>45</v>
      </c>
      <c r="C49" s="78">
        <v>59604.621899999998</v>
      </c>
      <c r="D49" s="76">
        <v>5.0000000000000001E-4</v>
      </c>
      <c r="E49" s="58">
        <f t="shared" si="10"/>
        <v>9275.9811409691174</v>
      </c>
      <c r="F49">
        <f t="shared" si="11"/>
        <v>9276</v>
      </c>
      <c r="G49">
        <f t="shared" si="12"/>
        <v>-1.4444240005104803E-2</v>
      </c>
      <c r="K49">
        <f t="shared" si="13"/>
        <v>-1.4444240005104803E-2</v>
      </c>
      <c r="O49">
        <f t="shared" ca="1" si="14"/>
        <v>-1.0247557290598928E-2</v>
      </c>
      <c r="Q49" s="2">
        <f t="shared" si="15"/>
        <v>44586.121899999998</v>
      </c>
    </row>
    <row r="50" spans="1:17" x14ac:dyDescent="0.2">
      <c r="A50" s="76" t="s">
        <v>152</v>
      </c>
      <c r="B50" s="77" t="s">
        <v>45</v>
      </c>
      <c r="C50" s="78">
        <v>59637.552100000001</v>
      </c>
      <c r="D50" s="76">
        <v>6.9999999999999999E-4</v>
      </c>
      <c r="E50" s="58">
        <f t="shared" si="10"/>
        <v>9318.9762489572149</v>
      </c>
      <c r="F50">
        <f t="shared" si="11"/>
        <v>9319</v>
      </c>
      <c r="G50">
        <f t="shared" si="12"/>
        <v>-1.819106000039028E-2</v>
      </c>
      <c r="K50">
        <f t="shared" si="13"/>
        <v>-1.819106000039028E-2</v>
      </c>
      <c r="O50">
        <f t="shared" ca="1" si="14"/>
        <v>-1.0308149346162979E-2</v>
      </c>
      <c r="Q50" s="2">
        <f t="shared" si="15"/>
        <v>44619.052100000001</v>
      </c>
    </row>
    <row r="51" spans="1:17" x14ac:dyDescent="0.2">
      <c r="A51" s="79" t="s">
        <v>153</v>
      </c>
      <c r="B51" s="79" t="s">
        <v>36</v>
      </c>
      <c r="C51" s="80">
        <v>59690.398200000171</v>
      </c>
      <c r="D51" s="76">
        <v>2.9999999999999997E-4</v>
      </c>
      <c r="E51" s="58">
        <f t="shared" ref="E51" si="16">+(C51-C$7)/C$8</f>
        <v>9387.9744262005006</v>
      </c>
      <c r="F51">
        <f t="shared" ref="F51" si="17">ROUND(2*E51,0)/2</f>
        <v>9388</v>
      </c>
      <c r="G51">
        <f t="shared" ref="G51" si="18">+C51-(C$7+F51*C$8)</f>
        <v>-1.9587119830248412E-2</v>
      </c>
      <c r="K51">
        <f t="shared" ref="K51" si="19">+G51</f>
        <v>-1.9587119830248412E-2</v>
      </c>
      <c r="O51">
        <f t="shared" ref="O51" ca="1" si="20">+C$11+C$12*$F51</f>
        <v>-1.0405378458579712E-2</v>
      </c>
      <c r="Q51" s="2">
        <f t="shared" ref="Q51" si="21">+C51-15018.5</f>
        <v>44671.898200000171</v>
      </c>
    </row>
    <row r="52" spans="1:17" x14ac:dyDescent="0.2">
      <c r="C52" s="10"/>
      <c r="D52" s="10"/>
    </row>
    <row r="53" spans="1:17" x14ac:dyDescent="0.2">
      <c r="C53" s="10"/>
      <c r="D53" s="10"/>
    </row>
    <row r="54" spans="1:17" x14ac:dyDescent="0.2">
      <c r="C54" s="10"/>
      <c r="D54" s="10"/>
    </row>
    <row r="55" spans="1:17" x14ac:dyDescent="0.2">
      <c r="C55" s="10"/>
      <c r="D55" s="10"/>
    </row>
    <row r="56" spans="1:17" x14ac:dyDescent="0.2">
      <c r="C56" s="10"/>
      <c r="D56" s="10"/>
    </row>
    <row r="57" spans="1:17" x14ac:dyDescent="0.2">
      <c r="C57" s="10"/>
      <c r="D57" s="10"/>
    </row>
    <row r="58" spans="1:17" x14ac:dyDescent="0.2">
      <c r="C58" s="10"/>
      <c r="D58" s="10"/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</sheetData>
  <protectedRanges>
    <protectedRange sqref="A46:D47" name="Range1"/>
  </protectedRanges>
  <phoneticPr fontId="8" type="noConversion"/>
  <hyperlinks>
    <hyperlink ref="H672" r:id="rId1" display="http://vsolj.cetus-net.org/bulletin.html" xr:uid="{00000000-0004-0000-0000-000000000000}"/>
    <hyperlink ref="H64493" r:id="rId2" display="http://vsolj.cetus-net.org/bulletin.html" xr:uid="{00000000-0004-0000-0000-000001000000}"/>
    <hyperlink ref="H64486" r:id="rId3" display="https://www.aavso.org/ejaavso" xr:uid="{00000000-0004-0000-0000-000002000000}"/>
    <hyperlink ref="AP637" r:id="rId4" display="http://cdsbib.u-strasbg.fr/cgi-bin/cdsbib?1990RMxAA..21..381G" xr:uid="{00000000-0004-0000-0000-000003000000}"/>
    <hyperlink ref="AP641" r:id="rId5" display="http://cdsbib.u-strasbg.fr/cgi-bin/cdsbib?1990RMxAA..21..381G" xr:uid="{00000000-0004-0000-0000-000004000000}"/>
    <hyperlink ref="AP640" r:id="rId6" display="http://cdsbib.u-strasbg.fr/cgi-bin/cdsbib?1990RMxAA..21..381G" xr:uid="{00000000-0004-0000-0000-000005000000}"/>
    <hyperlink ref="AP621" r:id="rId7" display="http://cdsbib.u-strasbg.fr/cgi-bin/cdsbib?1990RMxAA..21..381G" xr:uid="{00000000-0004-0000-0000-000006000000}"/>
    <hyperlink ref="I64493" r:id="rId8" display="http://vsolj.cetus-net.org/bulletin.html" xr:uid="{00000000-0004-0000-0000-000007000000}"/>
    <hyperlink ref="AQ777" r:id="rId9" display="http://cdsbib.u-strasbg.fr/cgi-bin/cdsbib?1990RMxAA..21..381G" xr:uid="{00000000-0004-0000-0000-000008000000}"/>
    <hyperlink ref="AQ55543" r:id="rId10" display="http://cdsbib.u-strasbg.fr/cgi-bin/cdsbib?1990RMxAA..21..381G" xr:uid="{00000000-0004-0000-0000-000009000000}"/>
    <hyperlink ref="AQ778" r:id="rId11" display="http://cdsbib.u-strasbg.fr/cgi-bin/cdsbib?1990RMxAA..21..381G" xr:uid="{00000000-0004-0000-0000-00000A000000}"/>
    <hyperlink ref="H64490" r:id="rId12" display="https://www.aavso.org/ejaavso" xr:uid="{00000000-0004-0000-0000-00000B000000}"/>
    <hyperlink ref="H1663" r:id="rId13" display="http://vsolj.cetus-net.org/bulletin.html" xr:uid="{00000000-0004-0000-0000-00000C000000}"/>
    <hyperlink ref="AP2907" r:id="rId14" display="http://cdsbib.u-strasbg.fr/cgi-bin/cdsbib?1990RMxAA..21..381G" xr:uid="{00000000-0004-0000-0000-00000D000000}"/>
    <hyperlink ref="AP2910" r:id="rId15" display="http://cdsbib.u-strasbg.fr/cgi-bin/cdsbib?1990RMxAA..21..381G" xr:uid="{00000000-0004-0000-0000-00000E000000}"/>
    <hyperlink ref="AP2908" r:id="rId16" display="http://cdsbib.u-strasbg.fr/cgi-bin/cdsbib?1990RMxAA..21..381G" xr:uid="{00000000-0004-0000-0000-00000F000000}"/>
    <hyperlink ref="AP2892" r:id="rId17" display="http://cdsbib.u-strasbg.fr/cgi-bin/cdsbib?1990RMxAA..21..381G" xr:uid="{00000000-0004-0000-0000-000010000000}"/>
    <hyperlink ref="I1663" r:id="rId18" display="http://vsolj.cetus-net.org/bulletin.html" xr:uid="{00000000-0004-0000-0000-000011000000}"/>
    <hyperlink ref="AQ3121" r:id="rId19" display="http://cdsbib.u-strasbg.fr/cgi-bin/cdsbib?1990RMxAA..21..381G" xr:uid="{00000000-0004-0000-0000-000012000000}"/>
    <hyperlink ref="AQ65358" r:id="rId20" display="http://cdsbib.u-strasbg.fr/cgi-bin/cdsbib?1990RMxAA..21..381G" xr:uid="{00000000-0004-0000-0000-000013000000}"/>
    <hyperlink ref="AQ3125" r:id="rId21" display="http://cdsbib.u-strasbg.fr/cgi-bin/cdsbib?1990RMxAA..21..381G" xr:uid="{00000000-0004-0000-0000-000014000000}"/>
  </hyperlinks>
  <pageMargins left="0.75" right="0.75" top="1" bottom="1" header="0.5" footer="0.5"/>
  <pageSetup orientation="portrait" verticalDpi="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8"/>
  <sheetViews>
    <sheetView topLeftCell="A5" workbookViewId="0">
      <selection activeCell="N5" sqref="N1:N65536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8" t="s">
        <v>54</v>
      </c>
      <c r="I1" s="39" t="s">
        <v>55</v>
      </c>
      <c r="J1" s="40" t="s">
        <v>56</v>
      </c>
    </row>
    <row r="2" spans="1:16" x14ac:dyDescent="0.2">
      <c r="I2" s="41" t="s">
        <v>57</v>
      </c>
      <c r="J2" s="42" t="s">
        <v>58</v>
      </c>
    </row>
    <row r="3" spans="1:16" x14ac:dyDescent="0.2">
      <c r="A3" s="43" t="s">
        <v>59</v>
      </c>
      <c r="I3" s="41" t="s">
        <v>60</v>
      </c>
      <c r="J3" s="42" t="s">
        <v>61</v>
      </c>
    </row>
    <row r="4" spans="1:16" x14ac:dyDescent="0.2">
      <c r="I4" s="41" t="s">
        <v>62</v>
      </c>
      <c r="J4" s="42" t="s">
        <v>61</v>
      </c>
    </row>
    <row r="5" spans="1:16" ht="13.5" thickBot="1" x14ac:dyDescent="0.25">
      <c r="I5" s="44" t="s">
        <v>63</v>
      </c>
      <c r="J5" s="45" t="s">
        <v>64</v>
      </c>
    </row>
    <row r="10" spans="1:16" ht="13.5" thickBot="1" x14ac:dyDescent="0.25"/>
    <row r="11" spans="1:16" ht="12.75" customHeight="1" thickBot="1" x14ac:dyDescent="0.25">
      <c r="A11" s="10" t="str">
        <f t="shared" ref="A11:A28" si="0">P11</f>
        <v>IBVS 4988 </v>
      </c>
      <c r="B11" s="3" t="str">
        <f t="shared" ref="B11:B28" si="1">IF(H11=INT(H11),"I","II")</f>
        <v>I</v>
      </c>
      <c r="C11" s="10">
        <f t="shared" ref="C11:C28" si="2">1*G11</f>
        <v>48500.564100000003</v>
      </c>
      <c r="D11" s="12" t="str">
        <f t="shared" ref="D11:D28" si="3">VLOOKUP(F11,I$1:J$5,2,FALSE)</f>
        <v>vis</v>
      </c>
      <c r="E11" s="46" t="e">
        <f>VLOOKUP(C11,Active!C$21:E$968,3,FALSE)</f>
        <v>#N/A</v>
      </c>
      <c r="F11" s="3" t="s">
        <v>63</v>
      </c>
      <c r="G11" s="12" t="str">
        <f t="shared" ref="G11:G28" si="4">MID(I11,3,LEN(I11)-3)</f>
        <v>48500.5641</v>
      </c>
      <c r="H11" s="10">
        <f t="shared" ref="H11:H28" si="5">1*K11</f>
        <v>-5225</v>
      </c>
      <c r="I11" s="47" t="s">
        <v>66</v>
      </c>
      <c r="J11" s="48" t="s">
        <v>67</v>
      </c>
      <c r="K11" s="47">
        <v>-5225</v>
      </c>
      <c r="L11" s="47" t="s">
        <v>68</v>
      </c>
      <c r="M11" s="48" t="s">
        <v>69</v>
      </c>
      <c r="N11" s="48"/>
      <c r="O11" s="49" t="s">
        <v>70</v>
      </c>
      <c r="P11" s="50" t="s">
        <v>71</v>
      </c>
    </row>
    <row r="12" spans="1:16" ht="12.75" customHeight="1" thickBot="1" x14ac:dyDescent="0.25">
      <c r="A12" s="10" t="str">
        <f t="shared" si="0"/>
        <v>BAVM 183 </v>
      </c>
      <c r="B12" s="3" t="str">
        <f t="shared" si="1"/>
        <v>I</v>
      </c>
      <c r="C12" s="10">
        <f t="shared" si="2"/>
        <v>54055.645900000003</v>
      </c>
      <c r="D12" s="12" t="str">
        <f t="shared" si="3"/>
        <v>vis</v>
      </c>
      <c r="E12" s="46">
        <f>VLOOKUP(C12,Active!C$21:E$968,3,FALSE)</f>
        <v>2030.9956157268148</v>
      </c>
      <c r="F12" s="3" t="s">
        <v>63</v>
      </c>
      <c r="G12" s="12" t="str">
        <f t="shared" si="4"/>
        <v>54055.6459</v>
      </c>
      <c r="H12" s="10">
        <f t="shared" si="5"/>
        <v>2031</v>
      </c>
      <c r="I12" s="47" t="s">
        <v>79</v>
      </c>
      <c r="J12" s="48" t="s">
        <v>80</v>
      </c>
      <c r="K12" s="47">
        <v>2031</v>
      </c>
      <c r="L12" s="47" t="s">
        <v>81</v>
      </c>
      <c r="M12" s="48" t="s">
        <v>82</v>
      </c>
      <c r="N12" s="48"/>
      <c r="O12" s="49" t="s">
        <v>83</v>
      </c>
      <c r="P12" s="50" t="s">
        <v>84</v>
      </c>
    </row>
    <row r="13" spans="1:16" ht="12.75" customHeight="1" thickBot="1" x14ac:dyDescent="0.25">
      <c r="A13" s="10" t="str">
        <f t="shared" si="0"/>
        <v>BAVM 186 </v>
      </c>
      <c r="B13" s="3" t="str">
        <f t="shared" si="1"/>
        <v>I</v>
      </c>
      <c r="C13" s="10">
        <f t="shared" si="2"/>
        <v>54262.447</v>
      </c>
      <c r="D13" s="12" t="str">
        <f t="shared" si="3"/>
        <v>vis</v>
      </c>
      <c r="E13" s="46">
        <f>VLOOKUP(C13,Active!C$21:E$968,3,FALSE)</f>
        <v>2301.0041679541382</v>
      </c>
      <c r="F13" s="3" t="s">
        <v>63</v>
      </c>
      <c r="G13" s="12" t="str">
        <f t="shared" si="4"/>
        <v>54262.4470</v>
      </c>
      <c r="H13" s="10">
        <f t="shared" si="5"/>
        <v>2301</v>
      </c>
      <c r="I13" s="47" t="s">
        <v>85</v>
      </c>
      <c r="J13" s="48" t="s">
        <v>86</v>
      </c>
      <c r="K13" s="47">
        <v>2301</v>
      </c>
      <c r="L13" s="47" t="s">
        <v>87</v>
      </c>
      <c r="M13" s="48" t="s">
        <v>82</v>
      </c>
      <c r="N13" s="48"/>
      <c r="O13" s="49" t="s">
        <v>88</v>
      </c>
      <c r="P13" s="50" t="s">
        <v>89</v>
      </c>
    </row>
    <row r="14" spans="1:16" ht="12.75" customHeight="1" thickBot="1" x14ac:dyDescent="0.25">
      <c r="A14" s="10" t="str">
        <f t="shared" si="0"/>
        <v>BAVM 201 </v>
      </c>
      <c r="B14" s="3" t="str">
        <f t="shared" si="1"/>
        <v>I</v>
      </c>
      <c r="C14" s="10">
        <f t="shared" si="2"/>
        <v>54599.4421</v>
      </c>
      <c r="D14" s="12" t="str">
        <f t="shared" si="3"/>
        <v>vis</v>
      </c>
      <c r="E14" s="46">
        <f>VLOOKUP(C14,Active!C$21:E$968,3,FALSE)</f>
        <v>2740.9996953410987</v>
      </c>
      <c r="F14" s="3" t="s">
        <v>63</v>
      </c>
      <c r="G14" s="12" t="str">
        <f t="shared" si="4"/>
        <v>54599.4421</v>
      </c>
      <c r="H14" s="10">
        <f t="shared" si="5"/>
        <v>2741</v>
      </c>
      <c r="I14" s="47" t="s">
        <v>90</v>
      </c>
      <c r="J14" s="48" t="s">
        <v>91</v>
      </c>
      <c r="K14" s="47" t="s">
        <v>92</v>
      </c>
      <c r="L14" s="47" t="s">
        <v>93</v>
      </c>
      <c r="M14" s="48" t="s">
        <v>82</v>
      </c>
      <c r="N14" s="48"/>
      <c r="O14" s="49" t="s">
        <v>94</v>
      </c>
      <c r="P14" s="50" t="s">
        <v>95</v>
      </c>
    </row>
    <row r="15" spans="1:16" ht="12.75" customHeight="1" thickBot="1" x14ac:dyDescent="0.25">
      <c r="A15" s="10" t="str">
        <f t="shared" si="0"/>
        <v>BAVM 220 </v>
      </c>
      <c r="B15" s="3" t="str">
        <f t="shared" si="1"/>
        <v>I</v>
      </c>
      <c r="C15" s="10">
        <f t="shared" si="2"/>
        <v>55662.515500000001</v>
      </c>
      <c r="D15" s="12" t="str">
        <f t="shared" si="3"/>
        <v>vis</v>
      </c>
      <c r="E15" s="46">
        <f>VLOOKUP(C15,Active!C$21:E$968,3,FALSE)</f>
        <v>4128.9947768246257</v>
      </c>
      <c r="F15" s="3" t="s">
        <v>63</v>
      </c>
      <c r="G15" s="12" t="str">
        <f t="shared" si="4"/>
        <v>55662.5155</v>
      </c>
      <c r="H15" s="10">
        <f t="shared" si="5"/>
        <v>4129</v>
      </c>
      <c r="I15" s="47" t="s">
        <v>110</v>
      </c>
      <c r="J15" s="48" t="s">
        <v>111</v>
      </c>
      <c r="K15" s="47" t="s">
        <v>112</v>
      </c>
      <c r="L15" s="47" t="s">
        <v>113</v>
      </c>
      <c r="M15" s="48" t="s">
        <v>82</v>
      </c>
      <c r="N15" s="48"/>
      <c r="O15" s="49" t="s">
        <v>88</v>
      </c>
      <c r="P15" s="50" t="s">
        <v>114</v>
      </c>
    </row>
    <row r="16" spans="1:16" ht="12.75" customHeight="1" thickBot="1" x14ac:dyDescent="0.25">
      <c r="A16" s="10" t="str">
        <f t="shared" si="0"/>
        <v>IBVS 6114 </v>
      </c>
      <c r="B16" s="3" t="str">
        <f t="shared" si="1"/>
        <v>II</v>
      </c>
      <c r="C16" s="10">
        <f t="shared" si="2"/>
        <v>56043.553650000002</v>
      </c>
      <c r="D16" s="12" t="str">
        <f t="shared" si="3"/>
        <v>vis</v>
      </c>
      <c r="E16" s="46">
        <f>VLOOKUP(C16,Active!C$21:E$968,3,FALSE)</f>
        <v>4626.4948347299242</v>
      </c>
      <c r="F16" s="3" t="s">
        <v>63</v>
      </c>
      <c r="G16" s="12" t="str">
        <f t="shared" si="4"/>
        <v>56043.55365</v>
      </c>
      <c r="H16" s="10">
        <f t="shared" si="5"/>
        <v>4626.5</v>
      </c>
      <c r="I16" s="47" t="s">
        <v>115</v>
      </c>
      <c r="J16" s="48" t="s">
        <v>116</v>
      </c>
      <c r="K16" s="47">
        <v>4626.5</v>
      </c>
      <c r="L16" s="47" t="s">
        <v>117</v>
      </c>
      <c r="M16" s="48" t="s">
        <v>82</v>
      </c>
      <c r="N16" s="48"/>
      <c r="O16" s="49" t="s">
        <v>118</v>
      </c>
      <c r="P16" s="50" t="s">
        <v>119</v>
      </c>
    </row>
    <row r="17" spans="1:16" ht="12.75" customHeight="1" thickBot="1" x14ac:dyDescent="0.25">
      <c r="A17" s="10" t="str">
        <f t="shared" si="0"/>
        <v>IBVS 6114 </v>
      </c>
      <c r="B17" s="3" t="str">
        <f t="shared" si="1"/>
        <v>I</v>
      </c>
      <c r="C17" s="10">
        <f t="shared" si="2"/>
        <v>56052.362939999999</v>
      </c>
      <c r="D17" s="12" t="str">
        <f t="shared" si="3"/>
        <v>vis</v>
      </c>
      <c r="E17" s="46">
        <f>VLOOKUP(C17,Active!C$21:E$968,3,FALSE)</f>
        <v>4637.9966286713006</v>
      </c>
      <c r="F17" s="3" t="s">
        <v>63</v>
      </c>
      <c r="G17" s="12" t="str">
        <f t="shared" si="4"/>
        <v>56052.36294</v>
      </c>
      <c r="H17" s="10">
        <f t="shared" si="5"/>
        <v>4638</v>
      </c>
      <c r="I17" s="47" t="s">
        <v>120</v>
      </c>
      <c r="J17" s="48" t="s">
        <v>121</v>
      </c>
      <c r="K17" s="47">
        <v>4638</v>
      </c>
      <c r="L17" s="47" t="s">
        <v>122</v>
      </c>
      <c r="M17" s="48" t="s">
        <v>82</v>
      </c>
      <c r="N17" s="48"/>
      <c r="O17" s="49" t="s">
        <v>118</v>
      </c>
      <c r="P17" s="50" t="s">
        <v>119</v>
      </c>
    </row>
    <row r="18" spans="1:16" ht="12.75" customHeight="1" thickBot="1" x14ac:dyDescent="0.25">
      <c r="A18" s="10" t="str">
        <f t="shared" si="0"/>
        <v>IBVS 6114 </v>
      </c>
      <c r="B18" s="3" t="str">
        <f t="shared" si="1"/>
        <v>II</v>
      </c>
      <c r="C18" s="10">
        <f t="shared" si="2"/>
        <v>56357.57243</v>
      </c>
      <c r="D18" s="12" t="str">
        <f t="shared" si="3"/>
        <v>vis</v>
      </c>
      <c r="E18" s="46">
        <f>VLOOKUP(C18,Active!C$21:E$968,3,FALSE)</f>
        <v>5036.4914747864386</v>
      </c>
      <c r="F18" s="3" t="s">
        <v>63</v>
      </c>
      <c r="G18" s="12" t="str">
        <f t="shared" si="4"/>
        <v>56357.57243</v>
      </c>
      <c r="H18" s="10">
        <f t="shared" si="5"/>
        <v>5036.5</v>
      </c>
      <c r="I18" s="47" t="s">
        <v>123</v>
      </c>
      <c r="J18" s="48" t="s">
        <v>124</v>
      </c>
      <c r="K18" s="47">
        <v>5036.5</v>
      </c>
      <c r="L18" s="47" t="s">
        <v>125</v>
      </c>
      <c r="M18" s="48" t="s">
        <v>82</v>
      </c>
      <c r="N18" s="48"/>
      <c r="O18" s="49" t="s">
        <v>118</v>
      </c>
      <c r="P18" s="50" t="s">
        <v>119</v>
      </c>
    </row>
    <row r="19" spans="1:16" ht="12.75" customHeight="1" thickBot="1" x14ac:dyDescent="0.25">
      <c r="A19" s="10" t="str">
        <f t="shared" si="0"/>
        <v>IBVS 6092 </v>
      </c>
      <c r="B19" s="3" t="str">
        <f t="shared" si="1"/>
        <v>II</v>
      </c>
      <c r="C19" s="10">
        <f t="shared" si="2"/>
        <v>56415.786</v>
      </c>
      <c r="D19" s="12" t="str">
        <f t="shared" si="3"/>
        <v>vis</v>
      </c>
      <c r="E19" s="46">
        <f>VLOOKUP(C19,Active!C$21:E$968,3,FALSE)</f>
        <v>5112.4976553903334</v>
      </c>
      <c r="F19" s="3" t="s">
        <v>63</v>
      </c>
      <c r="G19" s="12" t="str">
        <f t="shared" si="4"/>
        <v>56415.786</v>
      </c>
      <c r="H19" s="10">
        <f t="shared" si="5"/>
        <v>5112.5</v>
      </c>
      <c r="I19" s="47" t="s">
        <v>126</v>
      </c>
      <c r="J19" s="48" t="s">
        <v>127</v>
      </c>
      <c r="K19" s="47">
        <v>5112.5</v>
      </c>
      <c r="L19" s="47" t="s">
        <v>128</v>
      </c>
      <c r="M19" s="48" t="s">
        <v>82</v>
      </c>
      <c r="N19" s="48"/>
      <c r="O19" s="49" t="s">
        <v>129</v>
      </c>
      <c r="P19" s="50" t="s">
        <v>130</v>
      </c>
    </row>
    <row r="20" spans="1:16" ht="12.75" customHeight="1" thickBot="1" x14ac:dyDescent="0.25">
      <c r="A20" s="10" t="str">
        <f t="shared" si="0"/>
        <v>BAVM 238 </v>
      </c>
      <c r="B20" s="3" t="str">
        <f t="shared" si="1"/>
        <v>II</v>
      </c>
      <c r="C20" s="10">
        <f t="shared" si="2"/>
        <v>56750.483200000002</v>
      </c>
      <c r="D20" s="12" t="str">
        <f t="shared" si="3"/>
        <v>vis</v>
      </c>
      <c r="E20" s="46">
        <f>VLOOKUP(C20,Active!C$21:E$968,3,FALSE)</f>
        <v>5549.4929441317427</v>
      </c>
      <c r="F20" s="3" t="s">
        <v>63</v>
      </c>
      <c r="G20" s="12" t="str">
        <f t="shared" si="4"/>
        <v>56750.4832</v>
      </c>
      <c r="H20" s="10">
        <f t="shared" si="5"/>
        <v>5549.5</v>
      </c>
      <c r="I20" s="47" t="s">
        <v>131</v>
      </c>
      <c r="J20" s="48" t="s">
        <v>132</v>
      </c>
      <c r="K20" s="47">
        <v>5549.5</v>
      </c>
      <c r="L20" s="47" t="s">
        <v>133</v>
      </c>
      <c r="M20" s="48" t="s">
        <v>82</v>
      </c>
      <c r="N20" s="48"/>
      <c r="O20" s="49" t="s">
        <v>88</v>
      </c>
      <c r="P20" s="50" t="s">
        <v>134</v>
      </c>
    </row>
    <row r="21" spans="1:16" ht="12.75" customHeight="1" thickBot="1" x14ac:dyDescent="0.25">
      <c r="A21" s="10" t="str">
        <f t="shared" si="0"/>
        <v>IBVS 6114 </v>
      </c>
      <c r="B21" s="3" t="str">
        <f t="shared" si="1"/>
        <v>I</v>
      </c>
      <c r="C21" s="10">
        <f t="shared" si="2"/>
        <v>56755.462119999997</v>
      </c>
      <c r="D21" s="12" t="str">
        <f t="shared" si="3"/>
        <v>vis</v>
      </c>
      <c r="E21" s="46">
        <f>VLOOKUP(C21,Active!C$21:E$968,3,FALSE)</f>
        <v>5555.993639635074</v>
      </c>
      <c r="F21" s="3" t="s">
        <v>63</v>
      </c>
      <c r="G21" s="12" t="str">
        <f t="shared" si="4"/>
        <v>56755.46212</v>
      </c>
      <c r="H21" s="10">
        <f t="shared" si="5"/>
        <v>5556</v>
      </c>
      <c r="I21" s="47" t="s">
        <v>135</v>
      </c>
      <c r="J21" s="48" t="s">
        <v>136</v>
      </c>
      <c r="K21" s="47">
        <v>5556</v>
      </c>
      <c r="L21" s="47" t="s">
        <v>137</v>
      </c>
      <c r="M21" s="48" t="s">
        <v>82</v>
      </c>
      <c r="N21" s="48"/>
      <c r="O21" s="49" t="s">
        <v>118</v>
      </c>
      <c r="P21" s="50" t="s">
        <v>119</v>
      </c>
    </row>
    <row r="22" spans="1:16" ht="12.75" customHeight="1" thickBot="1" x14ac:dyDescent="0.25">
      <c r="A22" s="10" t="str">
        <f t="shared" si="0"/>
        <v>OEJV 0172 </v>
      </c>
      <c r="B22" s="3" t="str">
        <f t="shared" si="1"/>
        <v>I</v>
      </c>
      <c r="C22" s="10">
        <f t="shared" si="2"/>
        <v>56771.546000000002</v>
      </c>
      <c r="D22" s="12" t="str">
        <f t="shared" si="3"/>
        <v>vis</v>
      </c>
      <c r="E22" s="46">
        <f>VLOOKUP(C22,Active!C$21:E$968,3,FALSE)</f>
        <v>5576.9934561399168</v>
      </c>
      <c r="F22" s="3" t="s">
        <v>63</v>
      </c>
      <c r="G22" s="12" t="str">
        <f t="shared" si="4"/>
        <v>56771.546</v>
      </c>
      <c r="H22" s="10">
        <f t="shared" si="5"/>
        <v>5577</v>
      </c>
      <c r="I22" s="47" t="s">
        <v>138</v>
      </c>
      <c r="J22" s="48" t="s">
        <v>139</v>
      </c>
      <c r="K22" s="47">
        <v>5577</v>
      </c>
      <c r="L22" s="47" t="s">
        <v>65</v>
      </c>
      <c r="M22" s="48" t="s">
        <v>82</v>
      </c>
      <c r="N22" s="48"/>
      <c r="O22" s="49" t="s">
        <v>140</v>
      </c>
      <c r="P22" s="50" t="s">
        <v>141</v>
      </c>
    </row>
    <row r="23" spans="1:16" ht="12.75" customHeight="1" thickBot="1" x14ac:dyDescent="0.25">
      <c r="A23" s="10" t="str">
        <f t="shared" si="0"/>
        <v>IBVS 6114 </v>
      </c>
      <c r="B23" s="3" t="str">
        <f t="shared" si="1"/>
        <v>II</v>
      </c>
      <c r="C23" s="10">
        <f t="shared" si="2"/>
        <v>56783.413719999997</v>
      </c>
      <c r="D23" s="12" t="str">
        <f t="shared" si="3"/>
        <v>vis</v>
      </c>
      <c r="E23" s="46">
        <f>VLOOKUP(C23,Active!C$21:E$968,3,FALSE)</f>
        <v>5592.48846992581</v>
      </c>
      <c r="F23" s="3" t="s">
        <v>63</v>
      </c>
      <c r="G23" s="12" t="str">
        <f t="shared" si="4"/>
        <v>56783.41372</v>
      </c>
      <c r="H23" s="10">
        <f t="shared" si="5"/>
        <v>5592.5</v>
      </c>
      <c r="I23" s="47" t="s">
        <v>142</v>
      </c>
      <c r="J23" s="48" t="s">
        <v>143</v>
      </c>
      <c r="K23" s="47">
        <v>5592.5</v>
      </c>
      <c r="L23" s="47" t="s">
        <v>144</v>
      </c>
      <c r="M23" s="48" t="s">
        <v>82</v>
      </c>
      <c r="N23" s="48"/>
      <c r="O23" s="49" t="s">
        <v>118</v>
      </c>
      <c r="P23" s="50" t="s">
        <v>119</v>
      </c>
    </row>
    <row r="24" spans="1:16" ht="12.75" customHeight="1" thickBot="1" x14ac:dyDescent="0.25">
      <c r="A24" s="10" t="str">
        <f t="shared" si="0"/>
        <v>IBVS 4988 </v>
      </c>
      <c r="B24" s="3" t="str">
        <f t="shared" si="1"/>
        <v>I</v>
      </c>
      <c r="C24" s="10">
        <f t="shared" si="2"/>
        <v>51812.313300000002</v>
      </c>
      <c r="D24" s="12" t="str">
        <f t="shared" si="3"/>
        <v>vis</v>
      </c>
      <c r="E24" s="46" t="e">
        <f>VLOOKUP(C24,Active!C$21:E$968,3,FALSE)</f>
        <v>#N/A</v>
      </c>
      <c r="F24" s="3" t="s">
        <v>63</v>
      </c>
      <c r="G24" s="12" t="str">
        <f t="shared" si="4"/>
        <v>51812.3133</v>
      </c>
      <c r="H24" s="10">
        <f t="shared" si="5"/>
        <v>-898</v>
      </c>
      <c r="I24" s="47" t="s">
        <v>72</v>
      </c>
      <c r="J24" s="48" t="s">
        <v>73</v>
      </c>
      <c r="K24" s="47">
        <v>-898</v>
      </c>
      <c r="L24" s="47" t="s">
        <v>74</v>
      </c>
      <c r="M24" s="48" t="s">
        <v>69</v>
      </c>
      <c r="N24" s="48"/>
      <c r="O24" s="49" t="s">
        <v>75</v>
      </c>
      <c r="P24" s="50" t="s">
        <v>71</v>
      </c>
    </row>
    <row r="25" spans="1:16" ht="12.75" customHeight="1" thickBot="1" x14ac:dyDescent="0.25">
      <c r="A25" s="10" t="str">
        <f t="shared" si="0"/>
        <v>IBVS 4988 </v>
      </c>
      <c r="B25" s="3" t="str">
        <f t="shared" si="1"/>
        <v>II</v>
      </c>
      <c r="C25" s="10">
        <f t="shared" si="2"/>
        <v>51817.288099999998</v>
      </c>
      <c r="D25" s="12" t="str">
        <f t="shared" si="3"/>
        <v>vis</v>
      </c>
      <c r="E25" s="46" t="e">
        <f>VLOOKUP(C25,Active!C$21:E$968,3,FALSE)</f>
        <v>#N/A</v>
      </c>
      <c r="F25" s="3" t="s">
        <v>63</v>
      </c>
      <c r="G25" s="12" t="str">
        <f t="shared" si="4"/>
        <v>51817.2881</v>
      </c>
      <c r="H25" s="10">
        <f t="shared" si="5"/>
        <v>-891.5</v>
      </c>
      <c r="I25" s="47" t="s">
        <v>76</v>
      </c>
      <c r="J25" s="48" t="s">
        <v>77</v>
      </c>
      <c r="K25" s="47">
        <v>-891.5</v>
      </c>
      <c r="L25" s="47" t="s">
        <v>78</v>
      </c>
      <c r="M25" s="48" t="s">
        <v>69</v>
      </c>
      <c r="N25" s="48"/>
      <c r="O25" s="49" t="s">
        <v>75</v>
      </c>
      <c r="P25" s="50" t="s">
        <v>71</v>
      </c>
    </row>
    <row r="26" spans="1:16" ht="12.75" customHeight="1" thickBot="1" x14ac:dyDescent="0.25">
      <c r="A26" s="10" t="str">
        <f t="shared" si="0"/>
        <v>OEJV 0107 </v>
      </c>
      <c r="B26" s="3" t="str">
        <f t="shared" si="1"/>
        <v>II</v>
      </c>
      <c r="C26" s="10">
        <f t="shared" si="2"/>
        <v>54712.410400000001</v>
      </c>
      <c r="D26" s="12" t="str">
        <f t="shared" si="3"/>
        <v>vis</v>
      </c>
      <c r="E26" s="46" t="e">
        <f>VLOOKUP(C26,Active!C$21:E$968,3,FALSE)</f>
        <v>#N/A</v>
      </c>
      <c r="F26" s="3" t="s">
        <v>63</v>
      </c>
      <c r="G26" s="12" t="str">
        <f t="shared" si="4"/>
        <v>54712.4104</v>
      </c>
      <c r="H26" s="10">
        <f t="shared" si="5"/>
        <v>2888.5</v>
      </c>
      <c r="I26" s="47" t="s">
        <v>96</v>
      </c>
      <c r="J26" s="48" t="s">
        <v>97</v>
      </c>
      <c r="K26" s="47" t="s">
        <v>98</v>
      </c>
      <c r="L26" s="47" t="s">
        <v>99</v>
      </c>
      <c r="M26" s="48" t="s">
        <v>82</v>
      </c>
      <c r="N26" s="48"/>
      <c r="O26" s="49" t="s">
        <v>100</v>
      </c>
      <c r="P26" s="50" t="s">
        <v>101</v>
      </c>
    </row>
    <row r="27" spans="1:16" ht="12.75" customHeight="1" thickBot="1" x14ac:dyDescent="0.25">
      <c r="A27" s="10" t="str">
        <f t="shared" si="0"/>
        <v>OEJV 0107 </v>
      </c>
      <c r="B27" s="3" t="str">
        <f t="shared" si="1"/>
        <v>II</v>
      </c>
      <c r="C27" s="10">
        <f t="shared" si="2"/>
        <v>54712.412799999998</v>
      </c>
      <c r="D27" s="12" t="str">
        <f t="shared" si="3"/>
        <v>vis</v>
      </c>
      <c r="E27" s="46" t="e">
        <f>VLOOKUP(C27,Active!C$21:E$968,3,FALSE)</f>
        <v>#N/A</v>
      </c>
      <c r="F27" s="3" t="s">
        <v>63</v>
      </c>
      <c r="G27" s="12" t="str">
        <f t="shared" si="4"/>
        <v>54712.4128</v>
      </c>
      <c r="H27" s="10">
        <f t="shared" si="5"/>
        <v>2888.5</v>
      </c>
      <c r="I27" s="47" t="s">
        <v>102</v>
      </c>
      <c r="J27" s="48" t="s">
        <v>103</v>
      </c>
      <c r="K27" s="47" t="s">
        <v>98</v>
      </c>
      <c r="L27" s="47" t="s">
        <v>104</v>
      </c>
      <c r="M27" s="48" t="s">
        <v>82</v>
      </c>
      <c r="N27" s="48"/>
      <c r="O27" s="49" t="s">
        <v>100</v>
      </c>
      <c r="P27" s="50" t="s">
        <v>101</v>
      </c>
    </row>
    <row r="28" spans="1:16" ht="12.75" customHeight="1" thickBot="1" x14ac:dyDescent="0.25">
      <c r="A28" s="10" t="str">
        <f t="shared" si="0"/>
        <v>BAVM 212 </v>
      </c>
      <c r="B28" s="3" t="str">
        <f t="shared" si="1"/>
        <v>I</v>
      </c>
      <c r="C28" s="10">
        <f t="shared" si="2"/>
        <v>54995.415000000001</v>
      </c>
      <c r="D28" s="12" t="str">
        <f t="shared" si="3"/>
        <v>vis</v>
      </c>
      <c r="E28" s="46">
        <f>VLOOKUP(C28,Active!C$21:E$968,3,FALSE)</f>
        <v>3257.9992154125903</v>
      </c>
      <c r="F28" s="3" t="s">
        <v>63</v>
      </c>
      <c r="G28" s="12" t="str">
        <f t="shared" si="4"/>
        <v>54995.4150</v>
      </c>
      <c r="H28" s="10">
        <f t="shared" si="5"/>
        <v>3258</v>
      </c>
      <c r="I28" s="47" t="s">
        <v>105</v>
      </c>
      <c r="J28" s="48" t="s">
        <v>106</v>
      </c>
      <c r="K28" s="47" t="s">
        <v>107</v>
      </c>
      <c r="L28" s="47" t="s">
        <v>108</v>
      </c>
      <c r="M28" s="48" t="s">
        <v>82</v>
      </c>
      <c r="N28" s="48"/>
      <c r="O28" s="49" t="s">
        <v>94</v>
      </c>
      <c r="P28" s="50" t="s">
        <v>109</v>
      </c>
    </row>
    <row r="29" spans="1:16" x14ac:dyDescent="0.2">
      <c r="B29" s="3"/>
      <c r="E29" s="46"/>
      <c r="F29" s="3"/>
    </row>
    <row r="30" spans="1:16" x14ac:dyDescent="0.2">
      <c r="B30" s="3"/>
      <c r="E30" s="46"/>
      <c r="F30" s="3"/>
    </row>
    <row r="31" spans="1:16" x14ac:dyDescent="0.2">
      <c r="B31" s="3"/>
      <c r="E31" s="46"/>
      <c r="F31" s="3"/>
    </row>
    <row r="32" spans="1:16" x14ac:dyDescent="0.2">
      <c r="B32" s="3"/>
      <c r="E32" s="46"/>
      <c r="F32" s="3"/>
    </row>
    <row r="33" spans="2:6" x14ac:dyDescent="0.2">
      <c r="B33" s="3"/>
      <c r="E33" s="46"/>
      <c r="F33" s="3"/>
    </row>
    <row r="34" spans="2:6" x14ac:dyDescent="0.2">
      <c r="B34" s="3"/>
      <c r="E34" s="46"/>
      <c r="F34" s="3"/>
    </row>
    <row r="35" spans="2:6" x14ac:dyDescent="0.2">
      <c r="B35" s="3"/>
      <c r="E35" s="46"/>
      <c r="F35" s="3"/>
    </row>
    <row r="36" spans="2:6" x14ac:dyDescent="0.2">
      <c r="B36" s="3"/>
      <c r="E36" s="46"/>
      <c r="F36" s="3"/>
    </row>
    <row r="37" spans="2:6" x14ac:dyDescent="0.2">
      <c r="B37" s="3"/>
      <c r="E37" s="46"/>
      <c r="F37" s="3"/>
    </row>
    <row r="38" spans="2:6" x14ac:dyDescent="0.2">
      <c r="B38" s="3"/>
      <c r="E38" s="46"/>
      <c r="F38" s="3"/>
    </row>
    <row r="39" spans="2:6" x14ac:dyDescent="0.2">
      <c r="B39" s="3"/>
      <c r="E39" s="46"/>
      <c r="F39" s="3"/>
    </row>
    <row r="40" spans="2:6" x14ac:dyDescent="0.2">
      <c r="B40" s="3"/>
      <c r="E40" s="46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</sheetData>
  <phoneticPr fontId="8" type="noConversion"/>
  <hyperlinks>
    <hyperlink ref="P11" r:id="rId1" display="http://www.konkoly.hu/cgi-bin/IBVS?4988" xr:uid="{00000000-0004-0000-0100-000000000000}"/>
    <hyperlink ref="P24" r:id="rId2" display="http://www.konkoly.hu/cgi-bin/IBVS?4988" xr:uid="{00000000-0004-0000-0100-000001000000}"/>
    <hyperlink ref="P25" r:id="rId3" display="http://www.konkoly.hu/cgi-bin/IBVS?4988" xr:uid="{00000000-0004-0000-0100-000002000000}"/>
    <hyperlink ref="P12" r:id="rId4" display="http://www.bav-astro.de/sfs/BAVM_link.php?BAVMnr=183" xr:uid="{00000000-0004-0000-0100-000003000000}"/>
    <hyperlink ref="P13" r:id="rId5" display="http://www.bav-astro.de/sfs/BAVM_link.php?BAVMnr=186" xr:uid="{00000000-0004-0000-0100-000004000000}"/>
    <hyperlink ref="P14" r:id="rId6" display="http://www.bav-astro.de/sfs/BAVM_link.php?BAVMnr=201" xr:uid="{00000000-0004-0000-0100-000005000000}"/>
    <hyperlink ref="P26" r:id="rId7" display="http://var.astro.cz/oejv/issues/oejv0107.pdf" xr:uid="{00000000-0004-0000-0100-000006000000}"/>
    <hyperlink ref="P27" r:id="rId8" display="http://var.astro.cz/oejv/issues/oejv0107.pdf" xr:uid="{00000000-0004-0000-0100-000007000000}"/>
    <hyperlink ref="P28" r:id="rId9" display="http://www.bav-astro.de/sfs/BAVM_link.php?BAVMnr=212" xr:uid="{00000000-0004-0000-0100-000008000000}"/>
    <hyperlink ref="P15" r:id="rId10" display="http://www.bav-astro.de/sfs/BAVM_link.php?BAVMnr=220" xr:uid="{00000000-0004-0000-0100-000009000000}"/>
    <hyperlink ref="P16" r:id="rId11" display="http://www.konkoly.hu/cgi-bin/IBVS?6114" xr:uid="{00000000-0004-0000-0100-00000A000000}"/>
    <hyperlink ref="P17" r:id="rId12" display="http://www.konkoly.hu/cgi-bin/IBVS?6114" xr:uid="{00000000-0004-0000-0100-00000B000000}"/>
    <hyperlink ref="P18" r:id="rId13" display="http://www.konkoly.hu/cgi-bin/IBVS?6114" xr:uid="{00000000-0004-0000-0100-00000C000000}"/>
    <hyperlink ref="P19" r:id="rId14" display="http://www.konkoly.hu/cgi-bin/IBVS?6092" xr:uid="{00000000-0004-0000-0100-00000D000000}"/>
    <hyperlink ref="P20" r:id="rId15" display="http://www.bav-astro.de/sfs/BAVM_link.php?BAVMnr=238" xr:uid="{00000000-0004-0000-0100-00000E000000}"/>
    <hyperlink ref="P21" r:id="rId16" display="http://www.konkoly.hu/cgi-bin/IBVS?6114" xr:uid="{00000000-0004-0000-0100-00000F000000}"/>
    <hyperlink ref="P22" r:id="rId17" display="http://var.astro.cz/oejv/issues/oejv0172.pdf" xr:uid="{00000000-0004-0000-0100-000010000000}"/>
    <hyperlink ref="P23" r:id="rId18" display="http://www.konkoly.hu/cgi-bin/IBVS?6114" xr:uid="{00000000-0004-0000-0100-00001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2023-08-15T00:56:27Z</dcterms:modified>
</cp:coreProperties>
</file>