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8550" windowHeight="1158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<sst xmlns="http://schemas.openxmlformats.org/spreadsheetml/2006/main" count="84" uniqueCount="69">
  <si>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</si>
  <si>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</si>
  <si>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</si>
  <si>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</si>
  <si>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</si>
  <si>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</si>
  <si>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</si>
  <si>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</si>
  <si>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</si>
  <si>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</si>
  <si>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</si>
  <si>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</si>
  <si>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</si>
  <si>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</si>
  <si>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</si>
  <si>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</si>
  <si>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</si>
  <si>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</si>
  <si>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</si>
  <si>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</si>
  <si>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</si>
  <si>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</si>
  <si>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</si>
  <si>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</si>
  <si>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</si>
  <si>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</si>
  <si>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</si>
  <si>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</si>
  <si>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</si>
  <si>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</si>
  <si>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</t>
  </si>
  <si>
    <t>BBSAG Bull.70</t>
  </si>
  <si>
    <t>BBSAG Bull.82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</si>
  <si>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</si>
  <si>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</si>
  <si>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</si>
  <si>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</si>
  <si>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</si>
  <si>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</si>
  <si>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</si>
  <si>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</si>
  <si>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</si>
  <si>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</si>
  <si>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</si>
  <si>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2444637.341 </t>
  </si>
  <si>
    <t> 01.02.1981 20:11 </t>
  </si>
  <si>
    <t> 0.000 </t>
  </si>
  <si>
    <t>V </t>
  </si>
  <si>
    <t> K.Locher </t>
  </si>
  <si>
    <t> BBS 53 </t>
  </si>
  <si>
    <t>2445697.308 </t>
  </si>
  <si>
    <t> 28.12.1983 19:23 </t>
  </si>
  <si>
    <t> -0.044 </t>
  </si>
  <si>
    <t> BBS 70 </t>
  </si>
  <si>
    <t>2446770.447 </t>
  </si>
  <si>
    <t> 05.12.1986 22:43 </t>
  </si>
  <si>
    <t> -0.067 </t>
  </si>
  <si>
    <t> BBS 82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</si>
  <si>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</si>
  <si>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</si>
  <si>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</si>
  <si>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</si>
  <si>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</si>
  <si>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</si>
  <si>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</si>
  <si>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</si>
  <si>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AK Eri / GSC 5893-1064</t>
  </si>
  <si>
    <t>E/SD: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</si>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</sst>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0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18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"/>
          <c:w val="0.9102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5778263"/>
        <c:axId val="30677776"/>
      </c:scatterChart>
      <c:valAx>
        <c:axId val="2577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7776"/>
        <c:crosses val="autoZero"/>
        <c:crossBetween val="midCat"/>
        <c:dispUnits/>
      </c:valAx>
      <c:valAx>
        <c:axId val="30677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2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2925"/>
          <c:w val="0.76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24375" y="0"/>
        <a:ext cx="6219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66</v>
      </c>
    </row>
    <row r="2" spans="1:2" ht="12.75">
      <c r="A2" t="s">
        <v>25</v>
      </c>
      <c r="B2" s="39" t="s">
        <v>67</v>
      </c>
    </row>
    <row r="4" spans="1:4" ht="12.75">
      <c r="A4" s="8" t="s">
        <v>0</v>
      </c>
      <c r="C4" s="3">
        <v>44637.341</v>
      </c>
      <c r="D4" s="4">
        <v>2.6303</v>
      </c>
    </row>
    <row r="5" spans="1:4" ht="12.75">
      <c r="A5" s="28" t="s">
        <v>58</v>
      </c>
      <c r="B5" s="15"/>
      <c r="C5" s="42">
        <v>-9.5</v>
      </c>
      <c r="D5" s="29" t="s">
        <v>59</v>
      </c>
    </row>
    <row r="6" ht="12.75">
      <c r="A6" s="8" t="s">
        <v>1</v>
      </c>
    </row>
    <row r="7" spans="1:3" ht="12.75">
      <c r="A7" t="s">
        <v>2</v>
      </c>
      <c r="C7">
        <f>+C4</f>
        <v>44637.341</v>
      </c>
    </row>
    <row r="8" spans="1:3" ht="12.75">
      <c r="A8" t="s">
        <v>3</v>
      </c>
      <c r="C8">
        <f>+D4</f>
        <v>2.6303</v>
      </c>
    </row>
    <row r="9" spans="1:4" ht="12.75">
      <c r="A9" s="30" t="s">
        <v>60</v>
      </c>
      <c r="B9" s="31">
        <v>21</v>
      </c>
      <c r="C9" s="32" t="str">
        <f>"F"&amp;B9</f>
        <v>F21</v>
      </c>
      <c r="D9" s="33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0">
        <f ca="1">INTERCEPT(INDIRECT($D$9):G978,INDIRECT($C$9):F978)</f>
        <v>-0.0035072664145478077</v>
      </c>
      <c r="D11" s="6"/>
    </row>
    <row r="12" spans="1:4" ht="12.75">
      <c r="A12" t="s">
        <v>17</v>
      </c>
      <c r="C12" s="40">
        <f ca="1">SLOPE(INDIRECT($D$9):G978,INDIRECT($C$9):F978)</f>
        <v>-8.293097262191425E-05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2">
        <f>(C7+C11)+(C8+C12)*INT(MAX(F21:F3533))</f>
        <v>46770.44353571479</v>
      </c>
      <c r="E15" s="34" t="s">
        <v>61</v>
      </c>
      <c r="F15" s="35">
        <v>1</v>
      </c>
    </row>
    <row r="16" spans="1:6" ht="12.75">
      <c r="A16" s="8" t="s">
        <v>4</v>
      </c>
      <c r="C16" s="13">
        <f>+C8+C12</f>
        <v>2.630217069027378</v>
      </c>
      <c r="E16" s="34" t="s">
        <v>62</v>
      </c>
      <c r="F16" s="36">
        <f ca="1">NOW()+15018.5+$C$5/24</f>
        <v>59899.80146516203</v>
      </c>
    </row>
    <row r="17" spans="5:6" ht="13.5" thickBot="1">
      <c r="E17" s="34" t="s">
        <v>63</v>
      </c>
      <c r="F17" s="36">
        <f>ROUND(2*(F16-$C$7)/$C$8,0)/2+F15</f>
        <v>5803.5</v>
      </c>
    </row>
    <row r="18" spans="1:6" ht="12.75">
      <c r="A18" s="8" t="s">
        <v>5</v>
      </c>
      <c r="C18" s="3">
        <f>+C15</f>
        <v>46770.44353571479</v>
      </c>
      <c r="D18" s="4">
        <f>+C16</f>
        <v>2.630217069027378</v>
      </c>
      <c r="E18" s="34" t="s">
        <v>64</v>
      </c>
      <c r="F18" s="37">
        <f>ROUND(2*(F16-$C$15)/$C$16,0)/2+F15</f>
        <v>4992.5</v>
      </c>
    </row>
    <row r="19" spans="5:6" ht="13.5" thickTop="1">
      <c r="E19" s="34" t="s">
        <v>65</v>
      </c>
      <c r="F19" s="38">
        <f>+$C$15+$C$16*F18-15018.5-$C$5/24</f>
        <v>44883.69808616731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40</v>
      </c>
      <c r="I20" s="10" t="s">
        <v>43</v>
      </c>
      <c r="J20" s="10" t="s">
        <v>37</v>
      </c>
      <c r="K20" s="10" t="s">
        <v>35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  <c r="U20" s="41" t="s">
        <v>68</v>
      </c>
    </row>
    <row r="21" spans="1:17" ht="12.75">
      <c r="A21" t="s">
        <v>12</v>
      </c>
      <c r="C21">
        <v>44637.341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-0.0035072664145478077</v>
      </c>
      <c r="Q21" s="2">
        <f>+C21-15018.5</f>
        <v>29618.841</v>
      </c>
    </row>
    <row r="22" spans="1:30" ht="12.75">
      <c r="A22" t="s">
        <v>31</v>
      </c>
      <c r="C22" s="11">
        <v>45697.308</v>
      </c>
      <c r="D22" s="6"/>
      <c r="E22">
        <f>+(C22-C$7)/C$8</f>
        <v>402.98330988860465</v>
      </c>
      <c r="F22">
        <f>ROUND(2*E22,0)/2</f>
        <v>403</v>
      </c>
      <c r="G22">
        <f>+C22-(C$7+F22*C$8)</f>
        <v>-0.043900000004214235</v>
      </c>
      <c r="I22">
        <f>+G22</f>
        <v>-0.043900000004214235</v>
      </c>
      <c r="O22">
        <f>+C$11+C$12*$F22</f>
        <v>-0.03692844838117925</v>
      </c>
      <c r="Q22" s="2">
        <f>+C22-15018.5</f>
        <v>30678.807999999997</v>
      </c>
      <c r="AA22">
        <v>6</v>
      </c>
      <c r="AB22" t="s">
        <v>29</v>
      </c>
      <c r="AD22" t="s">
        <v>30</v>
      </c>
    </row>
    <row r="23" spans="1:30" ht="12.75">
      <c r="A23" t="s">
        <v>32</v>
      </c>
      <c r="C23" s="11">
        <v>46770.447</v>
      </c>
      <c r="D23" s="6"/>
      <c r="E23">
        <f>+(C23-C$7)/C$8</f>
        <v>810.9744135649925</v>
      </c>
      <c r="F23">
        <f>ROUND(2*E23,0)/2</f>
        <v>811</v>
      </c>
      <c r="G23">
        <f>+C23-(C$7+F23*C$8)</f>
        <v>-0.06730000000243308</v>
      </c>
      <c r="I23">
        <f>+G23</f>
        <v>-0.06730000000243308</v>
      </c>
      <c r="O23">
        <f>+C$11+C$12*$F23</f>
        <v>-0.07076428521092026</v>
      </c>
      <c r="Q23" s="2">
        <f>+C23-15018.5</f>
        <v>31751.947</v>
      </c>
      <c r="AA23">
        <v>4</v>
      </c>
      <c r="AB23" t="s">
        <v>29</v>
      </c>
      <c r="AD23" t="s">
        <v>30</v>
      </c>
    </row>
    <row r="24" spans="4:17" ht="12.75">
      <c r="D24" s="6"/>
      <c r="Q24" s="2"/>
    </row>
    <row r="25" spans="4:17" ht="12.75">
      <c r="D25" s="6"/>
      <c r="Q25" s="2"/>
    </row>
    <row r="26" spans="4:17" ht="12.75">
      <c r="D26" s="6"/>
      <c r="Q26" s="2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5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6" customWidth="1"/>
    <col min="2" max="2" width="4.421875" style="15" customWidth="1"/>
    <col min="3" max="3" width="12.7109375" style="16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6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14" t="s">
        <v>33</v>
      </c>
      <c r="I1" s="17" t="s">
        <v>34</v>
      </c>
      <c r="J1" s="18" t="s">
        <v>35</v>
      </c>
    </row>
    <row r="2" spans="9:10" ht="12.75">
      <c r="I2" s="19" t="s">
        <v>36</v>
      </c>
      <c r="J2" s="20" t="s">
        <v>37</v>
      </c>
    </row>
    <row r="3" spans="1:10" ht="12.75">
      <c r="A3" s="21" t="s">
        <v>38</v>
      </c>
      <c r="I3" s="19" t="s">
        <v>39</v>
      </c>
      <c r="J3" s="20" t="s">
        <v>40</v>
      </c>
    </row>
    <row r="4" spans="9:10" ht="12.75">
      <c r="I4" s="19" t="s">
        <v>41</v>
      </c>
      <c r="J4" s="20" t="s">
        <v>40</v>
      </c>
    </row>
    <row r="5" spans="9:10" ht="13.5" thickBot="1">
      <c r="I5" s="22" t="s">
        <v>42</v>
      </c>
      <c r="J5" s="23" t="s">
        <v>43</v>
      </c>
    </row>
    <row r="10" ht="13.5" thickBot="1"/>
    <row r="11" spans="1:16" ht="12.75" customHeight="1" thickBot="1">
      <c r="A11" s="16" t="str">
        <f>P11</f>
        <v> BBS 53 </v>
      </c>
      <c r="B11" s="6" t="str">
        <f>IF(H11=INT(H11),"I","II")</f>
        <v>I</v>
      </c>
      <c r="C11" s="16">
        <f>1*G11</f>
        <v>44637.341</v>
      </c>
      <c r="D11" s="15" t="str">
        <f>VLOOKUP(F11,I$1:J$5,2,FALSE)</f>
        <v>vis</v>
      </c>
      <c r="E11" s="24">
        <f>VLOOKUP(C11,A!C$21:E$973,3,FALSE)</f>
        <v>0</v>
      </c>
      <c r="F11" s="6" t="s">
        <v>42</v>
      </c>
      <c r="G11" s="15" t="str">
        <f>MID(I11,3,LEN(I11)-3)</f>
        <v>44637.341</v>
      </c>
      <c r="H11" s="16">
        <f>1*K11</f>
        <v>0</v>
      </c>
      <c r="I11" s="25" t="s">
        <v>44</v>
      </c>
      <c r="J11" s="26" t="s">
        <v>45</v>
      </c>
      <c r="K11" s="25">
        <v>0</v>
      </c>
      <c r="L11" s="25" t="s">
        <v>46</v>
      </c>
      <c r="M11" s="26" t="s">
        <v>47</v>
      </c>
      <c r="N11" s="26"/>
      <c r="O11" s="27" t="s">
        <v>48</v>
      </c>
      <c r="P11" s="27" t="s">
        <v>49</v>
      </c>
    </row>
    <row r="12" spans="1:16" ht="12.75" customHeight="1" thickBot="1">
      <c r="A12" s="16" t="str">
        <f>P12</f>
        <v> BBS 70 </v>
      </c>
      <c r="B12" s="6" t="str">
        <f>IF(H12=INT(H12),"I","II")</f>
        <v>I</v>
      </c>
      <c r="C12" s="16">
        <f>1*G12</f>
        <v>45697.308</v>
      </c>
      <c r="D12" s="15" t="str">
        <f>VLOOKUP(F12,I$1:J$5,2,FALSE)</f>
        <v>vis</v>
      </c>
      <c r="E12" s="24">
        <f>VLOOKUP(C12,A!C$21:E$973,3,FALSE)</f>
        <v>402.98330988860465</v>
      </c>
      <c r="F12" s="6" t="s">
        <v>42</v>
      </c>
      <c r="G12" s="15" t="str">
        <f>MID(I12,3,LEN(I12)-3)</f>
        <v>45697.308</v>
      </c>
      <c r="H12" s="16">
        <f>1*K12</f>
        <v>403</v>
      </c>
      <c r="I12" s="25" t="s">
        <v>50</v>
      </c>
      <c r="J12" s="26" t="s">
        <v>51</v>
      </c>
      <c r="K12" s="25">
        <v>403</v>
      </c>
      <c r="L12" s="25" t="s">
        <v>52</v>
      </c>
      <c r="M12" s="26" t="s">
        <v>47</v>
      </c>
      <c r="N12" s="26"/>
      <c r="O12" s="27" t="s">
        <v>48</v>
      </c>
      <c r="P12" s="27" t="s">
        <v>53</v>
      </c>
    </row>
    <row r="13" spans="1:16" ht="12.75" customHeight="1" thickBot="1">
      <c r="A13" s="16" t="str">
        <f>P13</f>
        <v> BBS 82 </v>
      </c>
      <c r="B13" s="6" t="str">
        <f>IF(H13=INT(H13),"I","II")</f>
        <v>I</v>
      </c>
      <c r="C13" s="16">
        <f>1*G13</f>
        <v>46770.447</v>
      </c>
      <c r="D13" s="15" t="str">
        <f>VLOOKUP(F13,I$1:J$5,2,FALSE)</f>
        <v>vis</v>
      </c>
      <c r="E13" s="24">
        <f>VLOOKUP(C13,A!C$21:E$973,3,FALSE)</f>
        <v>810.9744135649925</v>
      </c>
      <c r="F13" s="6" t="s">
        <v>42</v>
      </c>
      <c r="G13" s="15" t="str">
        <f>MID(I13,3,LEN(I13)-3)</f>
        <v>46770.447</v>
      </c>
      <c r="H13" s="16">
        <f>1*K13</f>
        <v>811</v>
      </c>
      <c r="I13" s="25" t="s">
        <v>54</v>
      </c>
      <c r="J13" s="26" t="s">
        <v>55</v>
      </c>
      <c r="K13" s="25">
        <v>811</v>
      </c>
      <c r="L13" s="25" t="s">
        <v>56</v>
      </c>
      <c r="M13" s="26" t="s">
        <v>47</v>
      </c>
      <c r="N13" s="26"/>
      <c r="O13" s="27" t="s">
        <v>48</v>
      </c>
      <c r="P13" s="27" t="s">
        <v>57</v>
      </c>
    </row>
    <row r="14" spans="2:6" ht="12.75">
      <c r="B14" s="6"/>
      <c r="F14" s="6"/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2022-11-16T06:14:06Z</dcterms:modified>
  <cp:category/>
  <cp:version/>
  <cp:contentType/>
  <cp:contentStatus/>
</cp:coreProperties>
</file>