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15" windowWidth="7920" windowHeight="14325" activeTab="0"/>
  </bookViews>
  <sheets>
    <sheet name="Active" sheetId="1" r:id="rId1"/>
    <sheet name="A (2)" sheetId="2" r:id="rId2"/>
    <sheet name="A (3)" sheetId="3" r:id="rId3"/>
    <sheet name="A (4)" sheetId="4" r:id="rId4"/>
  </sheets>
  <definedNames/>
  <calcPr fullCalcOnLoad="1"/>
</workbook>
</file>

<file path=xl/sharedStrings.xml><?xml version="1.0" encoding="utf-8"?>
<sst xmlns="http://schemas.openxmlformats.org/spreadsheetml/2006/main" count="227" uniqueCount="50">
  <si>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</si>
  <si>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</si>
  <si>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</si>
  <si>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</si>
  <si>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</si>
  <si>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</si>
  <si>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</si>
  <si>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</si>
  <si>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</si>
  <si>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</si>
  <si>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</si>
  <si>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</si>
  <si>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</si>
  <si>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</si>
  <si>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</si>
  <si>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</si>
  <si>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</si>
  <si>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</si>
  <si>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</si>
  <si>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</si>
  <si>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</si>
  <si>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</si>
  <si>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</si>
  <si>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</si>
  <si>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</si>
  <si>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</si>
  <si>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</si>
  <si>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</si>
  <si>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</si>
  <si>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</si>
  <si>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IBVS 5502</t>
  </si>
  <si>
    <t>IBVS</t>
  </si>
  <si>
    <t>EB</t>
  </si>
  <si>
    <t># of data points:</t>
  </si>
  <si>
    <t>BW Eri / GSC 06462-00610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</si>
  <si>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</si>
  <si>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</si>
  <si>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</si>
  <si>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</si>
  <si>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</si>
  <si>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</si>
  <si>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</si>
  <si>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IBVS 5843</t>
  </si>
  <si>
    <t>I</t>
  </si>
  <si>
    <t>II</t>
  </si>
  <si>
    <t>Add cycle</t>
  </si>
  <si>
    <t>Old Cycle</t>
  </si>
  <si>
    <t>OEJV 0142</t>
  </si>
  <si>
    <t>OEJV</t>
  </si>
  <si>
    <t>All sheets active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</si>
</sst>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2" fillId="0" borderId="0" xfId="0" applyNumberFormat="1" applyFont="1" applyAlignment="1">
      <alignment horizontal="left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33" borderId="0" xfId="0" applyFont="1" applyFill="1" applyAlignment="1">
      <alignment/>
    </xf>
    <xf numFmtId="0" fontId="4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BW Eri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65"/>
          <c:w val="0.90625"/>
          <c:h val="0.7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Active!$F$21:$F$999</c:f>
              <c:numCache/>
            </c:numRef>
          </c:xVal>
          <c:yVal>
            <c:numRef>
              <c:f>Active!$H$21:$H$999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Active!$D$22:$D$50</c:f>
                <c:numCache>
                  <c:ptCount val="29"/>
                  <c:pt idx="0">
                    <c:v>0.0004</c:v>
                  </c:pt>
                  <c:pt idx="1">
                    <c:v>0.0002</c:v>
                  </c:pt>
                  <c:pt idx="2">
                    <c:v>0.001</c:v>
                  </c:pt>
                  <c:pt idx="3">
                    <c:v>0.0011</c:v>
                  </c:pt>
                  <c:pt idx="4">
                    <c:v>0.0014</c:v>
                  </c:pt>
                  <c:pt idx="5">
                    <c:v>0.02</c:v>
                  </c:pt>
                  <c:pt idx="6">
                    <c:v>0.008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</c:numCache>
              </c:numRef>
            </c:plus>
            <c:minus>
              <c:numLit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0.0022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Active!$F$21:$F$999</c:f>
              <c:numCache/>
            </c:numRef>
          </c:xVal>
          <c:yVal>
            <c:numRef>
              <c:f>Active!$I$21:$I$999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Active!$D$21:$D$50</c:f>
                <c:numCache>
                  <c:ptCount val="30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</c:v>
                  </c:pt>
                  <c:pt idx="4">
                    <c:v>0.0011</c:v>
                  </c:pt>
                  <c:pt idx="5">
                    <c:v>0.0014</c:v>
                  </c:pt>
                  <c:pt idx="6">
                    <c:v>0.02</c:v>
                  </c:pt>
                  <c:pt idx="7">
                    <c:v>0.008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</c:numCache>
              </c:numRef>
            </c:plus>
            <c:minus>
              <c:numRef>
                <c:f>Active!$D$21:$D$50</c:f>
                <c:numCache>
                  <c:ptCount val="30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</c:v>
                  </c:pt>
                  <c:pt idx="4">
                    <c:v>0.0011</c:v>
                  </c:pt>
                  <c:pt idx="5">
                    <c:v>0.0014</c:v>
                  </c:pt>
                  <c:pt idx="6">
                    <c:v>0.02</c:v>
                  </c:pt>
                  <c:pt idx="7">
                    <c:v>0.008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Active!$F$21:$F$999</c:f>
              <c:numCache/>
            </c:numRef>
          </c:xVal>
          <c:yVal>
            <c:numRef>
              <c:f>Active!$J$21:$J$999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Active!$F$21:$F$999</c:f>
              <c:numCache/>
            </c:numRef>
          </c:xVal>
          <c:yVal>
            <c:numRef>
              <c:f>Active!$K$21:$K$999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Active!$F$21:$F$999</c:f>
              <c:numCache/>
            </c:numRef>
          </c:xVal>
          <c:yVal>
            <c:numRef>
              <c:f>Active!$L$21:$L$999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Active!$F$21:$F$999</c:f>
              <c:numCache/>
            </c:numRef>
          </c:xVal>
          <c:yVal>
            <c:numRef>
              <c:f>Active!$M$21:$M$999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Active!$F$21:$F$999</c:f>
              <c:numCache/>
            </c:numRef>
          </c:xVal>
          <c:yVal>
            <c:numRef>
              <c:f>Active!$N$21:$N$999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Active!$F$21:$F$999</c:f>
              <c:numCache/>
            </c:numRef>
          </c:xVal>
          <c:yVal>
            <c:numRef>
              <c:f>Active!$O$21:$O$999</c:f>
              <c:numCache/>
            </c:numRef>
          </c:yVal>
          <c:smooth val="0"/>
        </c:ser>
        <c:axId val="53473361"/>
        <c:axId val="11498202"/>
      </c:scatterChart>
      <c:valAx>
        <c:axId val="53473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98202"/>
        <c:crosses val="autoZero"/>
        <c:crossBetween val="midCat"/>
        <c:dispUnits/>
      </c:valAx>
      <c:valAx>
        <c:axId val="11498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7336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375"/>
          <c:y val="0.92975"/>
          <c:w val="0.742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BW Eri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65"/>
          <c:w val="0.90625"/>
          <c:h val="0.7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(2)'!$H$20:$H$20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(2)'!$F$21:$F$999</c:f>
              <c:numCache/>
            </c:numRef>
          </c:xVal>
          <c:yVal>
            <c:numRef>
              <c:f>'A (2)'!$H$21:$H$999</c:f>
              <c:numCache/>
            </c:numRef>
          </c:yVal>
          <c:smooth val="0"/>
        </c:ser>
        <c:ser>
          <c:idx val="1"/>
          <c:order val="1"/>
          <c:tx>
            <c:strRef>
              <c:f>'A (2)'!$I$20:$I$20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(2)'!$D$22:$D$50</c:f>
                <c:numCache>
                  <c:ptCount val="29"/>
                  <c:pt idx="0">
                    <c:v>0.0004</c:v>
                  </c:pt>
                  <c:pt idx="1">
                    <c:v>0.0002</c:v>
                  </c:pt>
                  <c:pt idx="2">
                    <c:v>0.001</c:v>
                  </c:pt>
                  <c:pt idx="3">
                    <c:v>0.0011</c:v>
                  </c:pt>
                  <c:pt idx="4">
                    <c:v>0.0014</c:v>
                  </c:pt>
                  <c:pt idx="5">
                    <c:v>0.02</c:v>
                  </c:pt>
                  <c:pt idx="6">
                    <c:v>0.008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</c:numCache>
              </c:numRef>
            </c:plus>
            <c:minus>
              <c:numLit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0.0022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(2)'!$F$21:$F$999</c:f>
              <c:numCache/>
            </c:numRef>
          </c:xVal>
          <c:yVal>
            <c:numRef>
              <c:f>'A (2)'!$I$21:$I$999</c:f>
              <c:numCache/>
            </c:numRef>
          </c:yVal>
          <c:smooth val="0"/>
        </c:ser>
        <c:ser>
          <c:idx val="3"/>
          <c:order val="2"/>
          <c:tx>
            <c:strRef>
              <c:f>'A (2)'!$J$20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(2)'!$D$21:$D$50</c:f>
                <c:numCache>
                  <c:ptCount val="30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</c:v>
                  </c:pt>
                  <c:pt idx="4">
                    <c:v>0.0011</c:v>
                  </c:pt>
                  <c:pt idx="5">
                    <c:v>0.0014</c:v>
                  </c:pt>
                  <c:pt idx="6">
                    <c:v>0.02</c:v>
                  </c:pt>
                  <c:pt idx="7">
                    <c:v>0.008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</c:numCache>
              </c:numRef>
            </c:plus>
            <c:minus>
              <c:numRef>
                <c:f>'A (2)'!$D$21:$D$50</c:f>
                <c:numCache>
                  <c:ptCount val="30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</c:v>
                  </c:pt>
                  <c:pt idx="4">
                    <c:v>0.0011</c:v>
                  </c:pt>
                  <c:pt idx="5">
                    <c:v>0.0014</c:v>
                  </c:pt>
                  <c:pt idx="6">
                    <c:v>0.02</c:v>
                  </c:pt>
                  <c:pt idx="7">
                    <c:v>0.008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(2)'!$F$21:$F$999</c:f>
              <c:numCache/>
            </c:numRef>
          </c:xVal>
          <c:yVal>
            <c:numRef>
              <c:f>'A (2)'!$J$21:$J$999</c:f>
              <c:numCache/>
            </c:numRef>
          </c:yVal>
          <c:smooth val="0"/>
        </c:ser>
        <c:ser>
          <c:idx val="4"/>
          <c:order val="3"/>
          <c:tx>
            <c:strRef>
              <c:f>'A (2)'!$K$20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 (2)'!$F$21:$F$999</c:f>
              <c:numCache/>
            </c:numRef>
          </c:xVal>
          <c:yVal>
            <c:numRef>
              <c:f>'A (2)'!$K$21:$K$999</c:f>
              <c:numCache/>
            </c:numRef>
          </c:yVal>
          <c:smooth val="0"/>
        </c:ser>
        <c:ser>
          <c:idx val="2"/>
          <c:order val="4"/>
          <c:tx>
            <c:strRef>
              <c:f>'A (2)'!$L$20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 (2)'!$F$21:$F$999</c:f>
              <c:numCache/>
            </c:numRef>
          </c:xVal>
          <c:yVal>
            <c:numRef>
              <c:f>'A (2)'!$L$21:$L$999</c:f>
              <c:numCache/>
            </c:numRef>
          </c:yVal>
          <c:smooth val="0"/>
        </c:ser>
        <c:ser>
          <c:idx val="5"/>
          <c:order val="5"/>
          <c:tx>
            <c:strRef>
              <c:f>'A (2)'!$M$20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 (2)'!$F$21:$F$999</c:f>
              <c:numCache/>
            </c:numRef>
          </c:xVal>
          <c:yVal>
            <c:numRef>
              <c:f>'A (2)'!$M$21:$M$999</c:f>
              <c:numCache/>
            </c:numRef>
          </c:yVal>
          <c:smooth val="0"/>
        </c:ser>
        <c:ser>
          <c:idx val="6"/>
          <c:order val="6"/>
          <c:tx>
            <c:strRef>
              <c:f>'A (2)'!$N$20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 (2)'!$F$21:$F$999</c:f>
              <c:numCache/>
            </c:numRef>
          </c:xVal>
          <c:yVal>
            <c:numRef>
              <c:f>'A (2)'!$N$21:$N$999</c:f>
              <c:numCache/>
            </c:numRef>
          </c:yVal>
          <c:smooth val="0"/>
        </c:ser>
        <c:ser>
          <c:idx val="7"/>
          <c:order val="7"/>
          <c:tx>
            <c:strRef>
              <c:f>'A (2)'!$O$20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(2)'!$F$21:$F$999</c:f>
              <c:numCache/>
            </c:numRef>
          </c:xVal>
          <c:yVal>
            <c:numRef>
              <c:f>'A (2)'!$O$21:$O$999</c:f>
              <c:numCache/>
            </c:numRef>
          </c:yVal>
          <c:smooth val="0"/>
        </c:ser>
        <c:axId val="36374955"/>
        <c:axId val="58939140"/>
      </c:scatterChart>
      <c:valAx>
        <c:axId val="36374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39140"/>
        <c:crosses val="autoZero"/>
        <c:crossBetween val="midCat"/>
        <c:dispUnits/>
      </c:valAx>
      <c:valAx>
        <c:axId val="58939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7495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85"/>
          <c:y val="0.92975"/>
          <c:w val="0.7197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BW Eri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65"/>
          <c:w val="0.90625"/>
          <c:h val="0.7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(3)'!$H$20:$H$20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(3)'!$F$21:$F$999</c:f>
              <c:numCache/>
            </c:numRef>
          </c:xVal>
          <c:yVal>
            <c:numRef>
              <c:f>'A (3)'!$H$21:$H$999</c:f>
              <c:numCache/>
            </c:numRef>
          </c:yVal>
          <c:smooth val="0"/>
        </c:ser>
        <c:ser>
          <c:idx val="1"/>
          <c:order val="1"/>
          <c:tx>
            <c:strRef>
              <c:f>'A (3)'!$I$20:$I$20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(3)'!$D$22:$D$50</c:f>
                <c:numCache>
                  <c:ptCount val="29"/>
                  <c:pt idx="0">
                    <c:v>0.0004</c:v>
                  </c:pt>
                  <c:pt idx="1">
                    <c:v>0.0002</c:v>
                  </c:pt>
                  <c:pt idx="2">
                    <c:v>0.001</c:v>
                  </c:pt>
                  <c:pt idx="3">
                    <c:v>0.0011</c:v>
                  </c:pt>
                  <c:pt idx="4">
                    <c:v>0.0014</c:v>
                  </c:pt>
                  <c:pt idx="5">
                    <c:v>0.02</c:v>
                  </c:pt>
                  <c:pt idx="6">
                    <c:v>0.008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</c:numCache>
              </c:numRef>
            </c:plus>
            <c:minus>
              <c:numLit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0.0022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(3)'!$F$21:$F$999</c:f>
              <c:numCache/>
            </c:numRef>
          </c:xVal>
          <c:yVal>
            <c:numRef>
              <c:f>'A (3)'!$I$21:$I$999</c:f>
              <c:numCache/>
            </c:numRef>
          </c:yVal>
          <c:smooth val="0"/>
        </c:ser>
        <c:ser>
          <c:idx val="3"/>
          <c:order val="2"/>
          <c:tx>
            <c:strRef>
              <c:f>'A (3)'!$J$20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(3)'!$D$21:$D$50</c:f>
                <c:numCache>
                  <c:ptCount val="30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</c:v>
                  </c:pt>
                  <c:pt idx="4">
                    <c:v>0.0011</c:v>
                  </c:pt>
                  <c:pt idx="5">
                    <c:v>0.0014</c:v>
                  </c:pt>
                  <c:pt idx="6">
                    <c:v>0.02</c:v>
                  </c:pt>
                  <c:pt idx="7">
                    <c:v>0.008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</c:numCache>
              </c:numRef>
            </c:plus>
            <c:minus>
              <c:numRef>
                <c:f>'A (3)'!$D$21:$D$50</c:f>
                <c:numCache>
                  <c:ptCount val="30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</c:v>
                  </c:pt>
                  <c:pt idx="4">
                    <c:v>0.0011</c:v>
                  </c:pt>
                  <c:pt idx="5">
                    <c:v>0.0014</c:v>
                  </c:pt>
                  <c:pt idx="6">
                    <c:v>0.02</c:v>
                  </c:pt>
                  <c:pt idx="7">
                    <c:v>0.008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(3)'!$F$21:$F$999</c:f>
              <c:numCache/>
            </c:numRef>
          </c:xVal>
          <c:yVal>
            <c:numRef>
              <c:f>'A (3)'!$J$21:$J$999</c:f>
              <c:numCache/>
            </c:numRef>
          </c:yVal>
          <c:smooth val="0"/>
        </c:ser>
        <c:ser>
          <c:idx val="4"/>
          <c:order val="3"/>
          <c:tx>
            <c:strRef>
              <c:f>'A (3)'!$K$20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 (3)'!$F$21:$F$999</c:f>
              <c:numCache/>
            </c:numRef>
          </c:xVal>
          <c:yVal>
            <c:numRef>
              <c:f>'A (3)'!$K$21:$K$999</c:f>
              <c:numCache/>
            </c:numRef>
          </c:yVal>
          <c:smooth val="0"/>
        </c:ser>
        <c:ser>
          <c:idx val="2"/>
          <c:order val="4"/>
          <c:tx>
            <c:strRef>
              <c:f>'A (3)'!$L$20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 (3)'!$F$21:$F$999</c:f>
              <c:numCache/>
            </c:numRef>
          </c:xVal>
          <c:yVal>
            <c:numRef>
              <c:f>'A (3)'!$L$21:$L$999</c:f>
              <c:numCache/>
            </c:numRef>
          </c:yVal>
          <c:smooth val="0"/>
        </c:ser>
        <c:ser>
          <c:idx val="5"/>
          <c:order val="5"/>
          <c:tx>
            <c:strRef>
              <c:f>'A (3)'!$M$20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 (3)'!$F$21:$F$999</c:f>
              <c:numCache/>
            </c:numRef>
          </c:xVal>
          <c:yVal>
            <c:numRef>
              <c:f>'A (3)'!$M$21:$M$999</c:f>
              <c:numCache/>
            </c:numRef>
          </c:yVal>
          <c:smooth val="0"/>
        </c:ser>
        <c:ser>
          <c:idx val="6"/>
          <c:order val="6"/>
          <c:tx>
            <c:strRef>
              <c:f>'A (3)'!$N$20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 (3)'!$F$21:$F$999</c:f>
              <c:numCache/>
            </c:numRef>
          </c:xVal>
          <c:yVal>
            <c:numRef>
              <c:f>'A (3)'!$N$21:$N$999</c:f>
              <c:numCache/>
            </c:numRef>
          </c:yVal>
          <c:smooth val="0"/>
        </c:ser>
        <c:ser>
          <c:idx val="7"/>
          <c:order val="7"/>
          <c:tx>
            <c:strRef>
              <c:f>'A (3)'!$O$20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(3)'!$F$21:$F$999</c:f>
              <c:numCache/>
            </c:numRef>
          </c:xVal>
          <c:yVal>
            <c:numRef>
              <c:f>'A (3)'!$O$21:$O$999</c:f>
              <c:numCache/>
            </c:numRef>
          </c:yVal>
          <c:smooth val="0"/>
        </c:ser>
        <c:axId val="60690213"/>
        <c:axId val="9341006"/>
      </c:scatterChart>
      <c:valAx>
        <c:axId val="60690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41006"/>
        <c:crosses val="autoZero"/>
        <c:crossBetween val="midCat"/>
        <c:dispUnits/>
      </c:valAx>
      <c:valAx>
        <c:axId val="9341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021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85"/>
          <c:y val="0.92975"/>
          <c:w val="0.7197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BW Eri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65"/>
          <c:w val="0.90625"/>
          <c:h val="0.7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(4)'!$H$20:$H$20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(4)'!$F$21:$F$999</c:f>
              <c:numCache/>
            </c:numRef>
          </c:xVal>
          <c:yVal>
            <c:numRef>
              <c:f>'A (4)'!$H$21:$H$999</c:f>
              <c:numCache/>
            </c:numRef>
          </c:yVal>
          <c:smooth val="0"/>
        </c:ser>
        <c:ser>
          <c:idx val="1"/>
          <c:order val="1"/>
          <c:tx>
            <c:strRef>
              <c:f>'A (4)'!$I$20:$I$20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(4)'!$D$22:$D$50</c:f>
                <c:numCache>
                  <c:ptCount val="29"/>
                  <c:pt idx="0">
                    <c:v>0.0004</c:v>
                  </c:pt>
                  <c:pt idx="1">
                    <c:v>0.0002</c:v>
                  </c:pt>
                  <c:pt idx="2">
                    <c:v>0.001</c:v>
                  </c:pt>
                  <c:pt idx="3">
                    <c:v>0.0011</c:v>
                  </c:pt>
                  <c:pt idx="4">
                    <c:v>0.0014</c:v>
                  </c:pt>
                  <c:pt idx="5">
                    <c:v>0.02</c:v>
                  </c:pt>
                  <c:pt idx="6">
                    <c:v>0.008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</c:numCache>
              </c:numRef>
            </c:plus>
            <c:minus>
              <c:numLit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0.0022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(4)'!$F$21:$F$999</c:f>
              <c:numCache/>
            </c:numRef>
          </c:xVal>
          <c:yVal>
            <c:numRef>
              <c:f>'A (4)'!$I$21:$I$999</c:f>
              <c:numCache/>
            </c:numRef>
          </c:yVal>
          <c:smooth val="0"/>
        </c:ser>
        <c:ser>
          <c:idx val="3"/>
          <c:order val="2"/>
          <c:tx>
            <c:strRef>
              <c:f>'A (4)'!$J$20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(4)'!$D$21:$D$50</c:f>
                <c:numCache>
                  <c:ptCount val="30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</c:v>
                  </c:pt>
                  <c:pt idx="4">
                    <c:v>0.0011</c:v>
                  </c:pt>
                  <c:pt idx="5">
                    <c:v>0.0014</c:v>
                  </c:pt>
                  <c:pt idx="6">
                    <c:v>0.02</c:v>
                  </c:pt>
                  <c:pt idx="7">
                    <c:v>0.008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</c:numCache>
              </c:numRef>
            </c:plus>
            <c:minus>
              <c:numRef>
                <c:f>'A (4)'!$D$21:$D$50</c:f>
                <c:numCache>
                  <c:ptCount val="30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</c:v>
                  </c:pt>
                  <c:pt idx="4">
                    <c:v>0.0011</c:v>
                  </c:pt>
                  <c:pt idx="5">
                    <c:v>0.0014</c:v>
                  </c:pt>
                  <c:pt idx="6">
                    <c:v>0.02</c:v>
                  </c:pt>
                  <c:pt idx="7">
                    <c:v>0.008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(4)'!$F$21:$F$999</c:f>
              <c:numCache/>
            </c:numRef>
          </c:xVal>
          <c:yVal>
            <c:numRef>
              <c:f>'A (4)'!$J$21:$J$999</c:f>
              <c:numCache/>
            </c:numRef>
          </c:yVal>
          <c:smooth val="0"/>
        </c:ser>
        <c:ser>
          <c:idx val="4"/>
          <c:order val="3"/>
          <c:tx>
            <c:strRef>
              <c:f>'A (4)'!$K$20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 (4)'!$F$21:$F$999</c:f>
              <c:numCache/>
            </c:numRef>
          </c:xVal>
          <c:yVal>
            <c:numRef>
              <c:f>'A (4)'!$K$21:$K$999</c:f>
              <c:numCache/>
            </c:numRef>
          </c:yVal>
          <c:smooth val="0"/>
        </c:ser>
        <c:ser>
          <c:idx val="2"/>
          <c:order val="4"/>
          <c:tx>
            <c:strRef>
              <c:f>'A (4)'!$L$20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 (4)'!$F$21:$F$999</c:f>
              <c:numCache/>
            </c:numRef>
          </c:xVal>
          <c:yVal>
            <c:numRef>
              <c:f>'A (4)'!$L$21:$L$999</c:f>
              <c:numCache/>
            </c:numRef>
          </c:yVal>
          <c:smooth val="0"/>
        </c:ser>
        <c:ser>
          <c:idx val="5"/>
          <c:order val="5"/>
          <c:tx>
            <c:strRef>
              <c:f>'A (4)'!$M$20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 (4)'!$F$21:$F$999</c:f>
              <c:numCache/>
            </c:numRef>
          </c:xVal>
          <c:yVal>
            <c:numRef>
              <c:f>'A (4)'!$M$21:$M$999</c:f>
              <c:numCache/>
            </c:numRef>
          </c:yVal>
          <c:smooth val="0"/>
        </c:ser>
        <c:ser>
          <c:idx val="6"/>
          <c:order val="6"/>
          <c:tx>
            <c:strRef>
              <c:f>'A (4)'!$N$20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 (4)'!$F$21:$F$999</c:f>
              <c:numCache/>
            </c:numRef>
          </c:xVal>
          <c:yVal>
            <c:numRef>
              <c:f>'A (4)'!$N$21:$N$999</c:f>
              <c:numCache/>
            </c:numRef>
          </c:yVal>
          <c:smooth val="0"/>
        </c:ser>
        <c:ser>
          <c:idx val="7"/>
          <c:order val="7"/>
          <c:tx>
            <c:strRef>
              <c:f>'A (4)'!$O$20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(4)'!$F$21:$F$999</c:f>
              <c:numCache/>
            </c:numRef>
          </c:xVal>
          <c:yVal>
            <c:numRef>
              <c:f>'A (4)'!$O$21:$O$999</c:f>
              <c:numCache/>
            </c:numRef>
          </c:yVal>
          <c:smooth val="0"/>
        </c:ser>
        <c:axId val="16960191"/>
        <c:axId val="18423992"/>
      </c:scatterChart>
      <c:valAx>
        <c:axId val="16960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23992"/>
        <c:crosses val="autoZero"/>
        <c:crossBetween val="midCat"/>
        <c:dispUnits/>
      </c:valAx>
      <c:valAx>
        <c:axId val="18423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6019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35"/>
          <c:y val="0.92975"/>
          <c:w val="0.7197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0</xdr:row>
      <xdr:rowOff>123825</xdr:rowOff>
    </xdr:from>
    <xdr:to>
      <xdr:col>16</xdr:col>
      <xdr:colOff>133350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4229100" y="123825"/>
        <a:ext cx="58959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19050</xdr:rowOff>
    </xdr:from>
    <xdr:to>
      <xdr:col>15</xdr:col>
      <xdr:colOff>247650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3829050" y="19050"/>
        <a:ext cx="58959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19050</xdr:rowOff>
    </xdr:from>
    <xdr:to>
      <xdr:col>15</xdr:col>
      <xdr:colOff>247650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3829050" y="19050"/>
        <a:ext cx="58959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19050</xdr:rowOff>
    </xdr:from>
    <xdr:to>
      <xdr:col>15</xdr:col>
      <xdr:colOff>247650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3829050" y="19050"/>
        <a:ext cx="58959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94"/>
  <sheetViews>
    <sheetView tabSelected="1" zoomScalePageLayoutView="0" workbookViewId="0" topLeftCell="A1">
      <selection activeCell="H38" sqref="H38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6.0039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34</v>
      </c>
    </row>
    <row r="2" spans="1:5" ht="12.75">
      <c r="A2" t="s">
        <v>26</v>
      </c>
      <c r="B2" s="9" t="s">
        <v>32</v>
      </c>
      <c r="E2" s="42" t="s">
        <v>49</v>
      </c>
    </row>
    <row r="4" spans="1:4" ht="12.75">
      <c r="A4" s="6" t="s">
        <v>0</v>
      </c>
      <c r="C4" s="3">
        <v>43448.684</v>
      </c>
      <c r="D4" s="4">
        <v>0.6384773</v>
      </c>
    </row>
    <row r="6" ht="12.75">
      <c r="A6" s="6" t="s">
        <v>1</v>
      </c>
    </row>
    <row r="7" spans="1:3" ht="12.75">
      <c r="A7" t="s">
        <v>2</v>
      </c>
      <c r="C7">
        <f>+C4</f>
        <v>43448.684</v>
      </c>
    </row>
    <row r="8" spans="1:3" ht="12.75">
      <c r="A8" t="s">
        <v>3</v>
      </c>
      <c r="C8">
        <f>+D4</f>
        <v>0.6384773</v>
      </c>
    </row>
    <row r="9" spans="1:5" ht="12.75">
      <c r="A9" s="11" t="s">
        <v>35</v>
      </c>
      <c r="B9" s="12"/>
      <c r="C9" s="13">
        <v>-9.5</v>
      </c>
      <c r="D9" s="12" t="s">
        <v>36</v>
      </c>
      <c r="E9" s="12"/>
    </row>
    <row r="10" spans="1:5" ht="13.5" thickBot="1">
      <c r="A10" s="12"/>
      <c r="B10" s="12"/>
      <c r="C10" s="5" t="s">
        <v>22</v>
      </c>
      <c r="D10" s="5" t="s">
        <v>23</v>
      </c>
      <c r="E10" s="12"/>
    </row>
    <row r="11" spans="1:7" ht="12.75">
      <c r="A11" s="12" t="s">
        <v>16</v>
      </c>
      <c r="B11" s="12"/>
      <c r="C11" s="14">
        <f ca="1">INTERCEPT(INDIRECT($G$11):G992,INDIRECT($F$11):F992)</f>
        <v>-0.034964004717285724</v>
      </c>
      <c r="D11" s="15"/>
      <c r="E11" s="12"/>
      <c r="F11" s="16" t="str">
        <f>"F"&amp;E19</f>
        <v>F22</v>
      </c>
      <c r="G11" s="17" t="str">
        <f>"G"&amp;E19</f>
        <v>G22</v>
      </c>
    </row>
    <row r="12" spans="1:5" ht="12.75">
      <c r="A12" s="12" t="s">
        <v>17</v>
      </c>
      <c r="B12" s="12"/>
      <c r="C12" s="14">
        <f ca="1">SLOPE(INDIRECT($G$11):G992,INDIRECT($F$11):F992)</f>
        <v>9.73315278191372E-06</v>
      </c>
      <c r="D12" s="15"/>
      <c r="E12" s="12"/>
    </row>
    <row r="13" spans="1:5" ht="12.75">
      <c r="A13" s="12" t="s">
        <v>21</v>
      </c>
      <c r="B13" s="12"/>
      <c r="C13" s="15" t="s">
        <v>14</v>
      </c>
      <c r="D13" s="20" t="s">
        <v>45</v>
      </c>
      <c r="E13" s="13">
        <v>1</v>
      </c>
    </row>
    <row r="14" spans="1:5" ht="12.75">
      <c r="A14" s="12"/>
      <c r="B14" s="12"/>
      <c r="C14" s="12"/>
      <c r="D14" s="20" t="s">
        <v>37</v>
      </c>
      <c r="E14" s="21">
        <f ca="1">NOW()+15018.5+$C$9/24</f>
        <v>59899.80694016204</v>
      </c>
    </row>
    <row r="15" spans="1:5" ht="12.75">
      <c r="A15" s="18" t="s">
        <v>18</v>
      </c>
      <c r="B15" s="12"/>
      <c r="C15" s="19">
        <f>(C7+C11)+(C8+C12)*INT(MAX(F21:F3533))</f>
        <v>55884.460980712014</v>
      </c>
      <c r="D15" s="20" t="s">
        <v>46</v>
      </c>
      <c r="E15" s="21">
        <f>ROUND(2*(E14-$C$7)/$C$8,0)/2+E13</f>
        <v>25767</v>
      </c>
    </row>
    <row r="16" spans="1:5" ht="12.75">
      <c r="A16" s="22" t="s">
        <v>4</v>
      </c>
      <c r="B16" s="12"/>
      <c r="C16" s="23">
        <f>+C8+C12</f>
        <v>0.638487033152782</v>
      </c>
      <c r="D16" s="20" t="s">
        <v>38</v>
      </c>
      <c r="E16" s="17">
        <f>ROUND(2*(E14-$C$15)/$C$16,0)/2+E13</f>
        <v>6290</v>
      </c>
    </row>
    <row r="17" spans="1:5" ht="13.5" thickBot="1">
      <c r="A17" s="20" t="s">
        <v>33</v>
      </c>
      <c r="B17" s="12"/>
      <c r="C17" s="12">
        <f>COUNT(C21:C2191)</f>
        <v>8</v>
      </c>
      <c r="D17" s="20" t="s">
        <v>39</v>
      </c>
      <c r="E17" s="24">
        <f>+$C$15+$C$16*E16-15018.5-$C$9/24</f>
        <v>44882.44025257635</v>
      </c>
    </row>
    <row r="18" spans="1:18" ht="12.75">
      <c r="A18" s="22" t="s">
        <v>5</v>
      </c>
      <c r="B18" s="12"/>
      <c r="C18" s="25">
        <f>+C15</f>
        <v>55884.460980712014</v>
      </c>
      <c r="D18" s="26">
        <f>+C16</f>
        <v>0.638487033152782</v>
      </c>
      <c r="E18" s="27" t="s">
        <v>40</v>
      </c>
      <c r="R18">
        <f>SQRT(SUM(R22:R26)/4)</f>
        <v>0.02061891305127908</v>
      </c>
    </row>
    <row r="19" spans="1:5" ht="13.5" thickTop="1">
      <c r="A19" s="28" t="s">
        <v>41</v>
      </c>
      <c r="E19" s="29">
        <v>22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31</v>
      </c>
      <c r="J20" s="8" t="s">
        <v>48</v>
      </c>
      <c r="K20" s="8" t="s">
        <v>20</v>
      </c>
      <c r="L20" s="8" t="s">
        <v>27</v>
      </c>
      <c r="M20" s="8" t="s">
        <v>28</v>
      </c>
      <c r="N20" s="8" t="s">
        <v>29</v>
      </c>
      <c r="O20" s="8" t="s">
        <v>25</v>
      </c>
      <c r="P20" s="7" t="s">
        <v>24</v>
      </c>
      <c r="Q20" s="5" t="s">
        <v>15</v>
      </c>
    </row>
    <row r="21" spans="1:17" ht="12.75">
      <c r="A21" t="s">
        <v>12</v>
      </c>
      <c r="C21" s="10">
        <v>43448.684</v>
      </c>
      <c r="D21" s="10" t="s">
        <v>14</v>
      </c>
      <c r="E21">
        <f aca="true" t="shared" si="0" ref="E21:E26">+(C21-C$7)/C$8</f>
        <v>0</v>
      </c>
      <c r="F21">
        <f aca="true" t="shared" si="1" ref="F21:F28">ROUND(2*E21,0)/2</f>
        <v>0</v>
      </c>
      <c r="G21">
        <f aca="true" t="shared" si="2" ref="G21:G26">+C21-(C$7+F21*C$8)</f>
        <v>0</v>
      </c>
      <c r="H21">
        <f>+G21</f>
        <v>0</v>
      </c>
      <c r="O21">
        <f aca="true" t="shared" si="3" ref="O21:O26">+C$11+C$12*F21</f>
        <v>-0.034964004717285724</v>
      </c>
      <c r="Q21" s="2">
        <f aca="true" t="shared" si="4" ref="Q21:Q26">+C21-15018.5</f>
        <v>28430.184</v>
      </c>
    </row>
    <row r="22" spans="1:18" ht="12.75">
      <c r="A22" s="33" t="s">
        <v>30</v>
      </c>
      <c r="B22" s="34" t="s">
        <v>43</v>
      </c>
      <c r="C22" s="35">
        <v>52664.5848</v>
      </c>
      <c r="D22" s="36">
        <v>0.0004</v>
      </c>
      <c r="E22">
        <f t="shared" si="0"/>
        <v>14434.187088562108</v>
      </c>
      <c r="F22">
        <f t="shared" si="1"/>
        <v>14434</v>
      </c>
      <c r="G22">
        <f t="shared" si="2"/>
        <v>0.11945179999747779</v>
      </c>
      <c r="I22">
        <f>+G22</f>
        <v>0.11945179999747779</v>
      </c>
      <c r="O22">
        <f t="shared" si="3"/>
        <v>0.10552432253685692</v>
      </c>
      <c r="Q22" s="2">
        <f t="shared" si="4"/>
        <v>37646.0848</v>
      </c>
      <c r="R22">
        <f aca="true" t="shared" si="5" ref="R22:R28">(O22-G22)^2</f>
        <v>0.00019397462841610233</v>
      </c>
    </row>
    <row r="23" spans="1:18" ht="12.75">
      <c r="A23" t="s">
        <v>30</v>
      </c>
      <c r="C23" s="10">
        <v>52729.6943</v>
      </c>
      <c r="D23" s="10">
        <v>0.0002</v>
      </c>
      <c r="E23">
        <f t="shared" si="0"/>
        <v>14536.163306040797</v>
      </c>
      <c r="F23">
        <f t="shared" si="1"/>
        <v>14536</v>
      </c>
      <c r="G23">
        <f t="shared" si="2"/>
        <v>0.10426720000396017</v>
      </c>
      <c r="I23">
        <f>+G23</f>
        <v>0.10426720000396017</v>
      </c>
      <c r="O23">
        <f t="shared" si="3"/>
        <v>0.10651710412061213</v>
      </c>
      <c r="Q23" s="2">
        <f t="shared" si="4"/>
        <v>37711.1943</v>
      </c>
      <c r="R23">
        <f t="shared" si="5"/>
        <v>5.0620685341274494E-06</v>
      </c>
    </row>
    <row r="24" spans="1:18" ht="12.75">
      <c r="A24" s="37" t="s">
        <v>42</v>
      </c>
      <c r="B24" s="38" t="s">
        <v>44</v>
      </c>
      <c r="C24" s="33">
        <v>54051.6976</v>
      </c>
      <c r="D24" s="33">
        <v>0.001</v>
      </c>
      <c r="E24">
        <f t="shared" si="0"/>
        <v>16606.719769050516</v>
      </c>
      <c r="F24">
        <f t="shared" si="1"/>
        <v>16606.5</v>
      </c>
      <c r="G24">
        <f t="shared" si="2"/>
        <v>0.14031755000178237</v>
      </c>
      <c r="I24">
        <f>+G24</f>
        <v>0.14031755000178237</v>
      </c>
      <c r="O24">
        <f t="shared" si="3"/>
        <v>0.12666959695556448</v>
      </c>
      <c r="Q24" s="2">
        <f t="shared" si="4"/>
        <v>39033.1976</v>
      </c>
      <c r="R24">
        <f t="shared" si="5"/>
        <v>0.00018626662235176795</v>
      </c>
    </row>
    <row r="25" spans="1:18" ht="12.75">
      <c r="A25" s="30" t="s">
        <v>42</v>
      </c>
      <c r="B25" s="31" t="s">
        <v>43</v>
      </c>
      <c r="C25" s="32">
        <v>54067.6099</v>
      </c>
      <c r="D25" s="32">
        <v>0.0011</v>
      </c>
      <c r="E25">
        <f t="shared" si="0"/>
        <v>16631.642033318964</v>
      </c>
      <c r="F25">
        <f t="shared" si="1"/>
        <v>16631.5</v>
      </c>
      <c r="G25">
        <f t="shared" si="2"/>
        <v>0.09068505000323057</v>
      </c>
      <c r="I25">
        <f>+G25</f>
        <v>0.09068505000323057</v>
      </c>
      <c r="O25">
        <f t="shared" si="3"/>
        <v>0.12691292577511232</v>
      </c>
      <c r="Q25" s="2">
        <f t="shared" si="4"/>
        <v>39049.1099</v>
      </c>
      <c r="R25">
        <f t="shared" si="5"/>
        <v>0.0013124589829428964</v>
      </c>
    </row>
    <row r="26" spans="1:18" ht="12.75">
      <c r="A26" s="37" t="s">
        <v>42</v>
      </c>
      <c r="B26" s="38" t="s">
        <v>44</v>
      </c>
      <c r="C26" s="33">
        <v>54067.6478</v>
      </c>
      <c r="D26" s="33">
        <v>0.0014</v>
      </c>
      <c r="E26">
        <f t="shared" si="0"/>
        <v>16631.701393299336</v>
      </c>
      <c r="F26">
        <f t="shared" si="1"/>
        <v>16631.5</v>
      </c>
      <c r="G26">
        <f t="shared" si="2"/>
        <v>0.1285850499989465</v>
      </c>
      <c r="I26">
        <f>+G26</f>
        <v>0.1285850499989465</v>
      </c>
      <c r="O26">
        <f t="shared" si="3"/>
        <v>0.12691292577511232</v>
      </c>
      <c r="Q26" s="2">
        <f t="shared" si="4"/>
        <v>39049.1478</v>
      </c>
      <c r="R26">
        <f t="shared" si="5"/>
        <v>2.7959994199330272E-06</v>
      </c>
    </row>
    <row r="27" spans="1:18" ht="12.75">
      <c r="A27" s="39" t="s">
        <v>47</v>
      </c>
      <c r="B27" s="40" t="s">
        <v>44</v>
      </c>
      <c r="C27" s="39">
        <v>55881.595</v>
      </c>
      <c r="D27" s="39">
        <v>0.02</v>
      </c>
      <c r="E27">
        <f>+(C27-C$7)/C$8</f>
        <v>19472.753377449753</v>
      </c>
      <c r="F27" s="41">
        <f>ROUND(2*E27,0)/2-0.5</f>
        <v>19472.5</v>
      </c>
      <c r="G27">
        <f>+C27-(C$7+F27*C$8)</f>
        <v>0.16177574999892386</v>
      </c>
      <c r="J27">
        <f>+G27</f>
        <v>0.16177574999892386</v>
      </c>
      <c r="O27">
        <f>+C$11+C$12*F27</f>
        <v>0.1545648128285292</v>
      </c>
      <c r="Q27" s="2">
        <f>+C27-15018.5</f>
        <v>40863.095</v>
      </c>
      <c r="R27">
        <f t="shared" si="5"/>
        <v>5.1997614875379105E-05</v>
      </c>
    </row>
    <row r="28" spans="1:18" ht="12.75">
      <c r="A28" s="39" t="s">
        <v>47</v>
      </c>
      <c r="B28" s="40" t="s">
        <v>43</v>
      </c>
      <c r="C28" s="39">
        <v>55884.463</v>
      </c>
      <c r="D28" s="39">
        <v>0.008</v>
      </c>
      <c r="E28">
        <f>+(C28-C$7)/C$8</f>
        <v>19477.24531475121</v>
      </c>
      <c r="F28">
        <f t="shared" si="1"/>
        <v>19477</v>
      </c>
      <c r="G28">
        <f>+C28-(C$7+F28*C$8)</f>
        <v>0.1566279000035138</v>
      </c>
      <c r="J28">
        <f>+G28</f>
        <v>0.1566279000035138</v>
      </c>
      <c r="O28">
        <f>+C$11+C$12*F28</f>
        <v>0.1546086120160478</v>
      </c>
      <c r="Q28" s="2">
        <f>+C28-15018.5</f>
        <v>40865.963</v>
      </c>
      <c r="R28">
        <f t="shared" si="5"/>
        <v>4.077523976324402E-06</v>
      </c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94"/>
  <sheetViews>
    <sheetView zoomScalePageLayoutView="0" workbookViewId="0" topLeftCell="A1">
      <selection activeCell="E26" sqref="E26:R28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6.0039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34</v>
      </c>
    </row>
    <row r="2" spans="1:2" ht="12.75">
      <c r="A2" t="s">
        <v>26</v>
      </c>
      <c r="B2" s="9" t="s">
        <v>32</v>
      </c>
    </row>
    <row r="4" spans="1:4" ht="12.75">
      <c r="A4" s="6" t="s">
        <v>0</v>
      </c>
      <c r="C4" s="3">
        <v>43448.684</v>
      </c>
      <c r="D4" s="4">
        <v>0.6384773</v>
      </c>
    </row>
    <row r="6" ht="12.75">
      <c r="A6" s="6" t="s">
        <v>1</v>
      </c>
    </row>
    <row r="7" spans="1:3" ht="12.75">
      <c r="A7" t="s">
        <v>2</v>
      </c>
      <c r="C7">
        <f>+C4</f>
        <v>43448.684</v>
      </c>
    </row>
    <row r="8" spans="1:3" ht="12.75">
      <c r="A8" t="s">
        <v>3</v>
      </c>
      <c r="C8">
        <v>1.32864</v>
      </c>
    </row>
    <row r="9" spans="1:5" ht="12.75">
      <c r="A9" s="11" t="s">
        <v>35</v>
      </c>
      <c r="B9" s="12"/>
      <c r="C9" s="13">
        <v>8</v>
      </c>
      <c r="D9" s="12" t="s">
        <v>36</v>
      </c>
      <c r="E9" s="12"/>
    </row>
    <row r="10" spans="1:5" ht="13.5" thickBot="1">
      <c r="A10" s="12"/>
      <c r="B10" s="12"/>
      <c r="C10" s="5" t="s">
        <v>22</v>
      </c>
      <c r="D10" s="5" t="s">
        <v>23</v>
      </c>
      <c r="E10" s="12"/>
    </row>
    <row r="11" spans="1:7" ht="12.75">
      <c r="A11" s="12" t="s">
        <v>16</v>
      </c>
      <c r="B11" s="12"/>
      <c r="C11" s="14">
        <f ca="1">INTERCEPT(INDIRECT($G$11):G992,INDIRECT($F$11):F992)</f>
        <v>-0.6717359334654587</v>
      </c>
      <c r="D11" s="15"/>
      <c r="E11" s="12"/>
      <c r="F11" s="16" t="str">
        <f>"F"&amp;E19</f>
        <v>F22</v>
      </c>
      <c r="G11" s="17" t="str">
        <f>"G"&amp;E19</f>
        <v>G22</v>
      </c>
    </row>
    <row r="12" spans="1:5" ht="12.75">
      <c r="A12" s="12" t="s">
        <v>17</v>
      </c>
      <c r="B12" s="12"/>
      <c r="C12" s="14">
        <f ca="1">SLOPE(INDIRECT($G$11):G992,INDIRECT($F$11):F992)</f>
        <v>6.252718901590702E-05</v>
      </c>
      <c r="D12" s="15"/>
      <c r="E12" s="12"/>
    </row>
    <row r="13" spans="1:5" ht="12.75">
      <c r="A13" s="12" t="s">
        <v>21</v>
      </c>
      <c r="B13" s="12"/>
      <c r="C13" s="15" t="s">
        <v>14</v>
      </c>
      <c r="D13" s="15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8" t="s">
        <v>18</v>
      </c>
      <c r="B15" s="12"/>
      <c r="C15" s="19">
        <f>(C7+C11)+(C8+C12)*INT(MAX(F21:F3533))</f>
        <v>55884.66791855573</v>
      </c>
      <c r="D15" s="20" t="s">
        <v>37</v>
      </c>
      <c r="E15" s="21">
        <f ca="1">TODAY()+15018.5-B9/24</f>
        <v>59899.5</v>
      </c>
    </row>
    <row r="16" spans="1:5" ht="12.75">
      <c r="A16" s="22" t="s">
        <v>4</v>
      </c>
      <c r="B16" s="12"/>
      <c r="C16" s="23">
        <f>+C8+C12</f>
        <v>1.328702527189016</v>
      </c>
      <c r="D16" s="20" t="s">
        <v>38</v>
      </c>
      <c r="E16" s="21">
        <f>ROUND(2*(E15-C15)/C16,0)/2+1</f>
        <v>3022.5</v>
      </c>
    </row>
    <row r="17" spans="1:5" ht="13.5" thickBot="1">
      <c r="A17" s="20" t="s">
        <v>33</v>
      </c>
      <c r="B17" s="12"/>
      <c r="C17" s="12">
        <f>COUNT(C21:C2191)</f>
        <v>8</v>
      </c>
      <c r="D17" s="20" t="s">
        <v>39</v>
      </c>
      <c r="E17" s="24">
        <f>+C15+C16*E16-15018.5-C9/24</f>
        <v>44881.83797365119</v>
      </c>
    </row>
    <row r="18" spans="1:18" ht="12.75">
      <c r="A18" s="22" t="s">
        <v>5</v>
      </c>
      <c r="B18" s="12"/>
      <c r="C18" s="25">
        <f>+C15</f>
        <v>55884.66791855573</v>
      </c>
      <c r="D18" s="26">
        <f>+C16</f>
        <v>1.328702527189016</v>
      </c>
      <c r="E18" s="27" t="s">
        <v>40</v>
      </c>
      <c r="R18">
        <f>SQRT(SUM(R22:R26)/4)</f>
        <v>0.03867101753077436</v>
      </c>
    </row>
    <row r="19" spans="1:5" ht="13.5" thickTop="1">
      <c r="A19" s="28" t="s">
        <v>41</v>
      </c>
      <c r="E19" s="29">
        <v>22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31</v>
      </c>
      <c r="J20" s="8" t="s">
        <v>19</v>
      </c>
      <c r="K20" s="8" t="s">
        <v>20</v>
      </c>
      <c r="L20" s="8" t="s">
        <v>27</v>
      </c>
      <c r="M20" s="8" t="s">
        <v>28</v>
      </c>
      <c r="N20" s="8" t="s">
        <v>29</v>
      </c>
      <c r="O20" s="8" t="s">
        <v>25</v>
      </c>
      <c r="P20" s="7" t="s">
        <v>24</v>
      </c>
      <c r="Q20" s="5" t="s">
        <v>15</v>
      </c>
    </row>
    <row r="21" spans="1:17" ht="12.75">
      <c r="A21" t="s">
        <v>12</v>
      </c>
      <c r="C21" s="10">
        <v>43448.684</v>
      </c>
      <c r="D21" s="10" t="s">
        <v>14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H21">
        <f>+G21</f>
        <v>0</v>
      </c>
      <c r="O21">
        <f aca="true" t="shared" si="3" ref="O21:O26">+C$11+C$12*F21</f>
        <v>-0.6717359334654587</v>
      </c>
      <c r="Q21" s="2">
        <f aca="true" t="shared" si="4" ref="Q21:Q26">+C21-15018.5</f>
        <v>28430.184</v>
      </c>
    </row>
    <row r="22" spans="1:18" ht="12.75">
      <c r="A22" s="33" t="s">
        <v>30</v>
      </c>
      <c r="B22" s="34" t="s">
        <v>43</v>
      </c>
      <c r="C22" s="35">
        <v>52664.5848</v>
      </c>
      <c r="D22" s="36">
        <v>0.0004</v>
      </c>
      <c r="E22">
        <f t="shared" si="0"/>
        <v>6936.341522157993</v>
      </c>
      <c r="F22">
        <f t="shared" si="1"/>
        <v>6936.5</v>
      </c>
      <c r="G22">
        <f t="shared" si="2"/>
        <v>-0.21056000000680797</v>
      </c>
      <c r="I22">
        <f>+G22</f>
        <v>-0.21056000000680797</v>
      </c>
      <c r="O22">
        <f t="shared" si="3"/>
        <v>-0.23801608685661962</v>
      </c>
      <c r="Q22" s="2">
        <f t="shared" si="4"/>
        <v>37646.0848</v>
      </c>
      <c r="R22">
        <f>(O22-G22)^2</f>
        <v>0.0007538367051044006</v>
      </c>
    </row>
    <row r="23" spans="1:18" ht="12.75">
      <c r="A23" t="s">
        <v>30</v>
      </c>
      <c r="C23" s="10">
        <v>52729.6943</v>
      </c>
      <c r="D23" s="10">
        <v>0.0002</v>
      </c>
      <c r="E23">
        <f t="shared" si="0"/>
        <v>6985.346143424857</v>
      </c>
      <c r="F23">
        <f t="shared" si="1"/>
        <v>6985.5</v>
      </c>
      <c r="G23">
        <f t="shared" si="2"/>
        <v>-0.2044199999945704</v>
      </c>
      <c r="I23">
        <f>+G23</f>
        <v>-0.2044199999945704</v>
      </c>
      <c r="O23">
        <f t="shared" si="3"/>
        <v>-0.2349522545948402</v>
      </c>
      <c r="Q23" s="2">
        <f t="shared" si="4"/>
        <v>37711.1943</v>
      </c>
      <c r="R23">
        <f>(O23-G23)^2</f>
        <v>0.0009322185709756972</v>
      </c>
    </row>
    <row r="24" spans="1:18" ht="12.75">
      <c r="A24" s="37" t="s">
        <v>42</v>
      </c>
      <c r="B24" s="38" t="s">
        <v>44</v>
      </c>
      <c r="C24" s="33">
        <v>54051.6976</v>
      </c>
      <c r="D24" s="33">
        <v>0.001</v>
      </c>
      <c r="E24">
        <f t="shared" si="0"/>
        <v>7980.351035645471</v>
      </c>
      <c r="F24">
        <f t="shared" si="1"/>
        <v>7980.5</v>
      </c>
      <c r="G24">
        <f t="shared" si="2"/>
        <v>-0.1979200000059791</v>
      </c>
      <c r="I24">
        <f>+G24</f>
        <v>-0.1979200000059791</v>
      </c>
      <c r="O24">
        <f t="shared" si="3"/>
        <v>-0.17273770152401274</v>
      </c>
      <c r="Q24" s="2">
        <f t="shared" si="4"/>
        <v>39033.1976</v>
      </c>
      <c r="R24">
        <f>(O24-G24)^2</f>
        <v>0.0006341481568348447</v>
      </c>
    </row>
    <row r="25" spans="1:18" ht="12.75">
      <c r="A25" s="30" t="s">
        <v>42</v>
      </c>
      <c r="B25" s="31" t="s">
        <v>43</v>
      </c>
      <c r="C25" s="32">
        <v>54067.6099</v>
      </c>
      <c r="D25" s="32">
        <v>0.0011</v>
      </c>
      <c r="E25">
        <f t="shared" si="0"/>
        <v>7992.327417509635</v>
      </c>
      <c r="F25">
        <f t="shared" si="1"/>
        <v>7992.5</v>
      </c>
      <c r="G25">
        <f t="shared" si="2"/>
        <v>-0.22929999999905704</v>
      </c>
      <c r="I25">
        <f>+G25</f>
        <v>-0.22929999999905704</v>
      </c>
      <c r="O25">
        <f t="shared" si="3"/>
        <v>-0.17198737525582186</v>
      </c>
      <c r="Q25" s="2">
        <f t="shared" si="4"/>
        <v>39049.1099</v>
      </c>
      <c r="R25">
        <f>(O25-G25)^2</f>
        <v>0.0032847369549588927</v>
      </c>
    </row>
    <row r="26" spans="1:18" ht="12.75">
      <c r="A26" s="37" t="s">
        <v>42</v>
      </c>
      <c r="B26" s="38" t="s">
        <v>44</v>
      </c>
      <c r="C26" s="33">
        <v>54067.6478</v>
      </c>
      <c r="D26" s="33">
        <v>0.0014</v>
      </c>
      <c r="E26">
        <f t="shared" si="0"/>
        <v>7992.355942919073</v>
      </c>
      <c r="F26">
        <f t="shared" si="1"/>
        <v>7992.5</v>
      </c>
      <c r="G26">
        <f t="shared" si="2"/>
        <v>-0.19140000000334112</v>
      </c>
      <c r="I26">
        <f>+G26</f>
        <v>-0.19140000000334112</v>
      </c>
      <c r="O26">
        <f t="shared" si="3"/>
        <v>-0.17198737525582186</v>
      </c>
      <c r="Q26" s="2">
        <f t="shared" si="4"/>
        <v>39049.1478</v>
      </c>
      <c r="R26">
        <f>(O26-G26)^2</f>
        <v>0.00037684999958799713</v>
      </c>
    </row>
    <row r="27" spans="1:18" ht="12.75">
      <c r="A27" s="39" t="s">
        <v>47</v>
      </c>
      <c r="B27" s="40" t="s">
        <v>44</v>
      </c>
      <c r="C27" s="39">
        <v>55881.595</v>
      </c>
      <c r="D27" s="39">
        <v>0.02</v>
      </c>
      <c r="E27">
        <f>+(C27-C$7)/C$8</f>
        <v>9357.622079720617</v>
      </c>
      <c r="F27">
        <f>ROUND(2*E27,0)/2</f>
        <v>9357.5</v>
      </c>
      <c r="G27">
        <f>+C27-(C$7+F27*C$8)</f>
        <v>0.1621999999988475</v>
      </c>
      <c r="I27">
        <f>+G27</f>
        <v>0.1621999999988475</v>
      </c>
      <c r="O27">
        <f>+C$11+C$12*F27</f>
        <v>-0.0866377622491088</v>
      </c>
      <c r="Q27" s="2">
        <f>+C27-15018.5</f>
        <v>40863.095</v>
      </c>
      <c r="R27">
        <f>(O27-G27)^2</f>
        <v>0.06192023192057042</v>
      </c>
    </row>
    <row r="28" spans="1:18" ht="12.75">
      <c r="A28" s="39" t="s">
        <v>47</v>
      </c>
      <c r="B28" s="40" t="s">
        <v>43</v>
      </c>
      <c r="C28" s="39">
        <v>55884.463</v>
      </c>
      <c r="D28" s="39">
        <v>0.008</v>
      </c>
      <c r="E28">
        <f>+(C28-C$7)/C$8</f>
        <v>9359.780677986513</v>
      </c>
      <c r="F28">
        <f>ROUND(2*E28,0)/2</f>
        <v>9360</v>
      </c>
      <c r="G28">
        <f>+C28-(C$7+F28*C$8)</f>
        <v>-0.29140000000188593</v>
      </c>
      <c r="I28">
        <f>+G28</f>
        <v>-0.29140000000188593</v>
      </c>
      <c r="O28">
        <f>+C$11+C$12*F28</f>
        <v>-0.08648144427656901</v>
      </c>
      <c r="Q28" s="2">
        <f>+C28-15018.5</f>
        <v>40865.963</v>
      </c>
      <c r="R28">
        <f>(O28-G28)^2</f>
        <v>0.04199161448054982</v>
      </c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94"/>
  <sheetViews>
    <sheetView zoomScalePageLayoutView="0" workbookViewId="0" topLeftCell="A1">
      <selection activeCell="E26" sqref="E26:R28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6.0039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34</v>
      </c>
    </row>
    <row r="2" spans="1:2" ht="12.75">
      <c r="A2" t="s">
        <v>26</v>
      </c>
      <c r="B2" s="9" t="s">
        <v>32</v>
      </c>
    </row>
    <row r="4" spans="1:4" ht="12.75">
      <c r="A4" s="6" t="s">
        <v>0</v>
      </c>
      <c r="C4" s="3">
        <v>43448.684</v>
      </c>
      <c r="D4" s="4">
        <v>0.6384773</v>
      </c>
    </row>
    <row r="6" ht="12.75">
      <c r="A6" s="6" t="s">
        <v>1</v>
      </c>
    </row>
    <row r="7" spans="1:3" ht="12.75">
      <c r="A7" t="s">
        <v>2</v>
      </c>
      <c r="C7">
        <f>+C4</f>
        <v>43448.684</v>
      </c>
    </row>
    <row r="8" spans="1:3" ht="12.75">
      <c r="A8" t="s">
        <v>3</v>
      </c>
      <c r="C8">
        <v>1.385032</v>
      </c>
    </row>
    <row r="9" spans="1:5" ht="12.75">
      <c r="A9" s="11" t="s">
        <v>35</v>
      </c>
      <c r="B9" s="12"/>
      <c r="C9" s="13">
        <v>8</v>
      </c>
      <c r="D9" s="12" t="s">
        <v>36</v>
      </c>
      <c r="E9" s="12"/>
    </row>
    <row r="10" spans="1:5" ht="13.5" thickBot="1">
      <c r="A10" s="12"/>
      <c r="B10" s="12"/>
      <c r="C10" s="5" t="s">
        <v>22</v>
      </c>
      <c r="D10" s="5" t="s">
        <v>23</v>
      </c>
      <c r="E10" s="12"/>
    </row>
    <row r="11" spans="1:7" ht="12.75">
      <c r="A11" s="12" t="s">
        <v>16</v>
      </c>
      <c r="B11" s="12"/>
      <c r="C11" s="14">
        <f ca="1">INTERCEPT(INDIRECT($G$11):G992,INDIRECT($F$11):F992)</f>
        <v>-1.1272698143535798</v>
      </c>
      <c r="D11" s="15"/>
      <c r="E11" s="12"/>
      <c r="F11" s="16" t="str">
        <f>"F"&amp;E19</f>
        <v>F22</v>
      </c>
      <c r="G11" s="17" t="str">
        <f>"G"&amp;E19</f>
        <v>G22</v>
      </c>
    </row>
    <row r="12" spans="1:5" ht="12.75">
      <c r="A12" s="12" t="s">
        <v>17</v>
      </c>
      <c r="B12" s="12"/>
      <c r="C12" s="14">
        <f ca="1">SLOPE(INDIRECT($G$11):G992,INDIRECT($F$11):F992)</f>
        <v>0.00014457232019573257</v>
      </c>
      <c r="D12" s="15"/>
      <c r="E12" s="12"/>
    </row>
    <row r="13" spans="1:5" ht="12.75">
      <c r="A13" s="12" t="s">
        <v>21</v>
      </c>
      <c r="B13" s="12"/>
      <c r="C13" s="15" t="s">
        <v>14</v>
      </c>
      <c r="D13" s="15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8" t="s">
        <v>18</v>
      </c>
      <c r="B15" s="12"/>
      <c r="C15" s="19">
        <f>(C7+C11)+(C8+C12)*INT(MAX(F21:F3533))</f>
        <v>55883.67199647637</v>
      </c>
      <c r="D15" s="20" t="s">
        <v>37</v>
      </c>
      <c r="E15" s="21">
        <f ca="1">TODAY()+15018.5-B9/24</f>
        <v>59899.5</v>
      </c>
    </row>
    <row r="16" spans="1:5" ht="12.75">
      <c r="A16" s="22" t="s">
        <v>4</v>
      </c>
      <c r="B16" s="12"/>
      <c r="C16" s="23">
        <f>+C8+C12</f>
        <v>1.3851765723201959</v>
      </c>
      <c r="D16" s="20" t="s">
        <v>38</v>
      </c>
      <c r="E16" s="21">
        <f>ROUND(2*(E15-C15)/C16,0)/2+1</f>
        <v>2900</v>
      </c>
    </row>
    <row r="17" spans="1:5" ht="13.5" thickBot="1">
      <c r="A17" s="20" t="s">
        <v>33</v>
      </c>
      <c r="B17" s="12"/>
      <c r="C17" s="12">
        <f>COUNT(C21:C2191)</f>
        <v>8</v>
      </c>
      <c r="D17" s="20" t="s">
        <v>39</v>
      </c>
      <c r="E17" s="24">
        <f>+C15+C16*E16-15018.5-C9/24</f>
        <v>44881.850722871604</v>
      </c>
    </row>
    <row r="18" spans="1:18" ht="12.75">
      <c r="A18" s="22" t="s">
        <v>5</v>
      </c>
      <c r="B18" s="12"/>
      <c r="C18" s="25">
        <f>+C15</f>
        <v>55883.67199647637</v>
      </c>
      <c r="D18" s="26">
        <f>+C16</f>
        <v>1.3851765723201959</v>
      </c>
      <c r="E18" s="27" t="s">
        <v>40</v>
      </c>
      <c r="R18">
        <f>SQRT(SUM(R22:R26)/4)</f>
        <v>0.08278682926619545</v>
      </c>
    </row>
    <row r="19" spans="1:5" ht="13.5" thickTop="1">
      <c r="A19" s="28" t="s">
        <v>41</v>
      </c>
      <c r="E19" s="29">
        <v>22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31</v>
      </c>
      <c r="J20" s="8" t="s">
        <v>19</v>
      </c>
      <c r="K20" s="8" t="s">
        <v>20</v>
      </c>
      <c r="L20" s="8" t="s">
        <v>27</v>
      </c>
      <c r="M20" s="8" t="s">
        <v>28</v>
      </c>
      <c r="N20" s="8" t="s">
        <v>29</v>
      </c>
      <c r="O20" s="8" t="s">
        <v>25</v>
      </c>
      <c r="P20" s="7" t="s">
        <v>24</v>
      </c>
      <c r="Q20" s="5" t="s">
        <v>15</v>
      </c>
    </row>
    <row r="21" spans="1:17" ht="12.75">
      <c r="A21" t="s">
        <v>12</v>
      </c>
      <c r="C21" s="10">
        <v>43448.684</v>
      </c>
      <c r="D21" s="10" t="s">
        <v>14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H21">
        <f>+G21</f>
        <v>0</v>
      </c>
      <c r="O21">
        <f aca="true" t="shared" si="3" ref="O21:O26">+C$11+C$12*F21</f>
        <v>-1.1272698143535798</v>
      </c>
      <c r="Q21" s="2">
        <f aca="true" t="shared" si="4" ref="Q21:Q26">+C21-15018.5</f>
        <v>28430.184</v>
      </c>
    </row>
    <row r="22" spans="1:18" ht="12.75">
      <c r="A22" s="33" t="s">
        <v>30</v>
      </c>
      <c r="B22" s="34" t="s">
        <v>43</v>
      </c>
      <c r="C22" s="35">
        <v>52664.5848</v>
      </c>
      <c r="D22" s="36">
        <v>0.0004</v>
      </c>
      <c r="E22">
        <f t="shared" si="0"/>
        <v>6653.9262630755065</v>
      </c>
      <c r="F22">
        <f t="shared" si="1"/>
        <v>6654</v>
      </c>
      <c r="G22">
        <f t="shared" si="2"/>
        <v>-0.10212800000590505</v>
      </c>
      <c r="I22">
        <f>+G22</f>
        <v>-0.10212800000590505</v>
      </c>
      <c r="O22">
        <f t="shared" si="3"/>
        <v>-0.1652855957711752</v>
      </c>
      <c r="Q22" s="2">
        <f t="shared" si="4"/>
        <v>37646.0848</v>
      </c>
      <c r="R22">
        <f>(O22-G22)^2</f>
        <v>0.003988881902849268</v>
      </c>
    </row>
    <row r="23" spans="1:18" ht="12.75">
      <c r="A23" t="s">
        <v>30</v>
      </c>
      <c r="C23" s="10">
        <v>52729.6943</v>
      </c>
      <c r="D23" s="10">
        <v>0.0002</v>
      </c>
      <c r="E23">
        <f t="shared" si="0"/>
        <v>6700.935646252217</v>
      </c>
      <c r="F23">
        <f t="shared" si="1"/>
        <v>6701</v>
      </c>
      <c r="G23">
        <f t="shared" si="2"/>
        <v>-0.08913200000097277</v>
      </c>
      <c r="I23">
        <f>+G23</f>
        <v>-0.08913200000097277</v>
      </c>
      <c r="O23">
        <f t="shared" si="3"/>
        <v>-0.1584906967219758</v>
      </c>
      <c r="Q23" s="2">
        <f t="shared" si="4"/>
        <v>37711.1943</v>
      </c>
      <c r="R23">
        <f>(O23-G23)^2</f>
        <v>0.004810628810836077</v>
      </c>
    </row>
    <row r="24" spans="1:18" ht="12.75">
      <c r="A24" s="37" t="s">
        <v>42</v>
      </c>
      <c r="B24" s="38" t="s">
        <v>44</v>
      </c>
      <c r="C24" s="33">
        <v>54051.6976</v>
      </c>
      <c r="D24" s="33">
        <v>0.001</v>
      </c>
      <c r="E24">
        <f t="shared" si="0"/>
        <v>7655.428611035701</v>
      </c>
      <c r="F24">
        <f t="shared" si="1"/>
        <v>7655.5</v>
      </c>
      <c r="G24">
        <f t="shared" si="2"/>
        <v>-0.09887600000365637</v>
      </c>
      <c r="I24">
        <f>+G24</f>
        <v>-0.09887600000365637</v>
      </c>
      <c r="O24">
        <f t="shared" si="3"/>
        <v>-0.020496417095149155</v>
      </c>
      <c r="Q24" s="2">
        <f t="shared" si="4"/>
        <v>39033.1976</v>
      </c>
      <c r="R24">
        <f>(O24-G24)^2</f>
        <v>0.0061433590169115565</v>
      </c>
    </row>
    <row r="25" spans="1:18" ht="12.75">
      <c r="A25" s="30" t="s">
        <v>42</v>
      </c>
      <c r="B25" s="31" t="s">
        <v>43</v>
      </c>
      <c r="C25" s="32">
        <v>54067.6099</v>
      </c>
      <c r="D25" s="32">
        <v>0.0011</v>
      </c>
      <c r="E25">
        <f t="shared" si="0"/>
        <v>7666.917370862191</v>
      </c>
      <c r="F25">
        <f t="shared" si="1"/>
        <v>7667</v>
      </c>
      <c r="G25">
        <f t="shared" si="2"/>
        <v>-0.11444399999891175</v>
      </c>
      <c r="I25">
        <f>+G25</f>
        <v>-0.11444399999891175</v>
      </c>
      <c r="O25">
        <f t="shared" si="3"/>
        <v>-0.01883383541289807</v>
      </c>
      <c r="Q25" s="2">
        <f t="shared" si="4"/>
        <v>39049.1099</v>
      </c>
      <c r="R25">
        <f>(O25-G25)^2</f>
        <v>0.009141303572164625</v>
      </c>
    </row>
    <row r="26" spans="1:18" ht="12.75">
      <c r="A26" s="37" t="s">
        <v>42</v>
      </c>
      <c r="B26" s="38" t="s">
        <v>44</v>
      </c>
      <c r="C26" s="33">
        <v>54067.6478</v>
      </c>
      <c r="D26" s="33">
        <v>0.0014</v>
      </c>
      <c r="E26">
        <f t="shared" si="0"/>
        <v>7666.944734850889</v>
      </c>
      <c r="F26">
        <f t="shared" si="1"/>
        <v>7667</v>
      </c>
      <c r="G26">
        <f t="shared" si="2"/>
        <v>-0.07654400000319583</v>
      </c>
      <c r="I26">
        <f>+G26</f>
        <v>-0.07654400000319583</v>
      </c>
      <c r="O26">
        <f t="shared" si="3"/>
        <v>-0.01883383541289807</v>
      </c>
      <c r="Q26" s="2">
        <f t="shared" si="4"/>
        <v>39049.1478</v>
      </c>
      <c r="R26">
        <f>(O26-G26)^2</f>
        <v>0.003330463097039258</v>
      </c>
    </row>
    <row r="27" spans="1:18" ht="12.75">
      <c r="A27" s="39" t="s">
        <v>47</v>
      </c>
      <c r="B27" s="40" t="s">
        <v>44</v>
      </c>
      <c r="C27" s="39">
        <v>55881.595</v>
      </c>
      <c r="D27" s="39">
        <v>0.02</v>
      </c>
      <c r="E27">
        <f>+(C27-C$7)/C$8</f>
        <v>8976.623644796655</v>
      </c>
      <c r="F27">
        <f>ROUND(2*E27,0)/2</f>
        <v>8976.5</v>
      </c>
      <c r="G27">
        <f>+C27-(C$7+F27*C$8)</f>
        <v>0.171252000000095</v>
      </c>
      <c r="I27">
        <f>+G27</f>
        <v>0.171252000000095</v>
      </c>
      <c r="O27">
        <f>+C$11+C$12*F27</f>
        <v>0.1704836178834137</v>
      </c>
      <c r="Q27" s="2">
        <f>+C27-15018.5</f>
        <v>40863.095</v>
      </c>
      <c r="R27">
        <f>(O27-G27)^2</f>
        <v>5.904110772356159E-07</v>
      </c>
    </row>
    <row r="28" spans="1:18" ht="12.75">
      <c r="A28" s="39" t="s">
        <v>47</v>
      </c>
      <c r="B28" s="40" t="s">
        <v>43</v>
      </c>
      <c r="C28" s="39">
        <v>55884.463</v>
      </c>
      <c r="D28" s="39">
        <v>0.008</v>
      </c>
      <c r="E28">
        <f>+(C28-C$7)/C$8</f>
        <v>8978.694355076273</v>
      </c>
      <c r="F28">
        <f>ROUND(2*E28,0)/2</f>
        <v>8978.5</v>
      </c>
      <c r="G28">
        <f>+C28-(C$7+F28*C$8)</f>
        <v>0.2691880000056699</v>
      </c>
      <c r="I28">
        <f>+G28</f>
        <v>0.2691880000056699</v>
      </c>
      <c r="O28">
        <f>+C$11+C$12*F28</f>
        <v>0.17077276252380513</v>
      </c>
      <c r="Q28" s="2">
        <f>+C28-15018.5</f>
        <v>40865.963</v>
      </c>
      <c r="R28">
        <f>(O28-G28)^2</f>
        <v>0.009685558968611839</v>
      </c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94"/>
  <sheetViews>
    <sheetView zoomScalePageLayoutView="0" workbookViewId="0" topLeftCell="A1">
      <selection activeCell="L41" sqref="L41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6.0039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34</v>
      </c>
    </row>
    <row r="2" spans="1:2" ht="12.75">
      <c r="A2" t="s">
        <v>26</v>
      </c>
      <c r="B2" s="9" t="s">
        <v>32</v>
      </c>
    </row>
    <row r="4" spans="1:4" ht="12.75">
      <c r="A4" s="6" t="s">
        <v>0</v>
      </c>
      <c r="C4" s="3">
        <v>43448.684</v>
      </c>
      <c r="D4" s="4">
        <v>0.6384773</v>
      </c>
    </row>
    <row r="6" ht="12.75">
      <c r="A6" s="6" t="s">
        <v>1</v>
      </c>
    </row>
    <row r="7" spans="1:3" ht="12.75">
      <c r="A7" t="s">
        <v>2</v>
      </c>
      <c r="C7">
        <f>+C4</f>
        <v>43448.684</v>
      </c>
    </row>
    <row r="8" spans="1:3" ht="12.75">
      <c r="A8" t="s">
        <v>3</v>
      </c>
      <c r="C8">
        <v>1.447186</v>
      </c>
    </row>
    <row r="9" spans="1:5" ht="12.75">
      <c r="A9" s="11" t="s">
        <v>35</v>
      </c>
      <c r="B9" s="12"/>
      <c r="C9" s="13">
        <v>8</v>
      </c>
      <c r="D9" s="12" t="s">
        <v>36</v>
      </c>
      <c r="E9" s="12"/>
    </row>
    <row r="10" spans="1:5" ht="13.5" thickBot="1">
      <c r="A10" s="12"/>
      <c r="B10" s="12"/>
      <c r="C10" s="5" t="s">
        <v>22</v>
      </c>
      <c r="D10" s="5" t="s">
        <v>23</v>
      </c>
      <c r="E10" s="12"/>
    </row>
    <row r="11" spans="1:7" ht="12.75">
      <c r="A11" s="12" t="s">
        <v>16</v>
      </c>
      <c r="B11" s="12"/>
      <c r="C11" s="14">
        <f ca="1">INTERCEPT(INDIRECT($G$11):G992,INDIRECT($F$11):F992)</f>
        <v>0.509105490847767</v>
      </c>
      <c r="D11" s="15"/>
      <c r="E11" s="12"/>
      <c r="F11" s="16" t="str">
        <f>"F"&amp;E19</f>
        <v>F22</v>
      </c>
      <c r="G11" s="17" t="str">
        <f>"G"&amp;E19</f>
        <v>G22</v>
      </c>
    </row>
    <row r="12" spans="1:5" ht="12.75">
      <c r="A12" s="12" t="s">
        <v>17</v>
      </c>
      <c r="B12" s="12"/>
      <c r="C12" s="14">
        <f ca="1">SLOPE(INDIRECT($G$11):G992,INDIRECT($F$11):F992)</f>
        <v>-4.3308813099714375E-05</v>
      </c>
      <c r="D12" s="15"/>
      <c r="E12" s="12"/>
    </row>
    <row r="13" spans="1:5" ht="12.75">
      <c r="A13" s="12" t="s">
        <v>21</v>
      </c>
      <c r="B13" s="12"/>
      <c r="C13" s="15" t="s">
        <v>14</v>
      </c>
      <c r="D13" s="15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8" t="s">
        <v>18</v>
      </c>
      <c r="B15" s="12"/>
      <c r="C15" s="19">
        <f>(C7+C11)+(C8+C12)*INT(MAX(F21:F3533))</f>
        <v>55884.49025085988</v>
      </c>
      <c r="D15" s="20" t="s">
        <v>37</v>
      </c>
      <c r="E15" s="21">
        <f ca="1">TODAY()+15018.5-B9/24</f>
        <v>59899.5</v>
      </c>
    </row>
    <row r="16" spans="1:5" ht="12.75">
      <c r="A16" s="22" t="s">
        <v>4</v>
      </c>
      <c r="B16" s="12"/>
      <c r="C16" s="23">
        <f>+C8+C12</f>
        <v>1.4471426911869003</v>
      </c>
      <c r="D16" s="20" t="s">
        <v>38</v>
      </c>
      <c r="E16" s="21">
        <f>ROUND(2*(E15-C15)/C16,0)/2+1</f>
        <v>2775.5</v>
      </c>
    </row>
    <row r="17" spans="1:5" ht="13.5" thickBot="1">
      <c r="A17" s="20" t="s">
        <v>33</v>
      </c>
      <c r="B17" s="12"/>
      <c r="C17" s="12">
        <f>COUNT(C21:C2191)</f>
        <v>8</v>
      </c>
      <c r="D17" s="20" t="s">
        <v>39</v>
      </c>
      <c r="E17" s="24">
        <f>+C15+C16*E16-15018.5-C9/24</f>
        <v>44882.20145691579</v>
      </c>
    </row>
    <row r="18" spans="1:18" ht="12.75">
      <c r="A18" s="22" t="s">
        <v>5</v>
      </c>
      <c r="B18" s="12"/>
      <c r="C18" s="25">
        <f>+C15</f>
        <v>55884.49025085988</v>
      </c>
      <c r="D18" s="26">
        <f>+C16</f>
        <v>1.4471426911869003</v>
      </c>
      <c r="E18" s="27" t="s">
        <v>40</v>
      </c>
      <c r="R18">
        <f>SQRT(SUM(R22:R26)/4)</f>
        <v>0.02769226251801178</v>
      </c>
    </row>
    <row r="19" spans="1:5" ht="13.5" thickTop="1">
      <c r="A19" s="28" t="s">
        <v>41</v>
      </c>
      <c r="E19" s="29">
        <v>22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31</v>
      </c>
      <c r="J20" s="8" t="s">
        <v>19</v>
      </c>
      <c r="K20" s="8" t="s">
        <v>20</v>
      </c>
      <c r="L20" s="8" t="s">
        <v>27</v>
      </c>
      <c r="M20" s="8" t="s">
        <v>28</v>
      </c>
      <c r="N20" s="8" t="s">
        <v>29</v>
      </c>
      <c r="O20" s="8" t="s">
        <v>25</v>
      </c>
      <c r="P20" s="7" t="s">
        <v>24</v>
      </c>
      <c r="Q20" s="5" t="s">
        <v>15</v>
      </c>
    </row>
    <row r="21" spans="1:17" ht="12.75">
      <c r="A21" t="s">
        <v>12</v>
      </c>
      <c r="C21" s="10">
        <v>43448.684</v>
      </c>
      <c r="D21" s="10" t="s">
        <v>14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H21">
        <f>+G21</f>
        <v>0</v>
      </c>
      <c r="O21">
        <f aca="true" t="shared" si="3" ref="O21:O26">+C$11+C$12*F21</f>
        <v>0.509105490847767</v>
      </c>
      <c r="Q21" s="2">
        <f aca="true" t="shared" si="4" ref="Q21:Q26">+C21-15018.5</f>
        <v>28430.184</v>
      </c>
    </row>
    <row r="22" spans="1:18" ht="12.75">
      <c r="A22" s="33" t="s">
        <v>30</v>
      </c>
      <c r="B22" s="34" t="s">
        <v>43</v>
      </c>
      <c r="C22" s="35">
        <v>52664.5848</v>
      </c>
      <c r="D22" s="36">
        <v>0.0004</v>
      </c>
      <c r="E22">
        <f t="shared" si="0"/>
        <v>6368.152262390595</v>
      </c>
      <c r="F22">
        <f t="shared" si="1"/>
        <v>6368</v>
      </c>
      <c r="G22">
        <f t="shared" si="2"/>
        <v>0.22035199999663746</v>
      </c>
      <c r="I22">
        <f>+G22</f>
        <v>0.22035199999663746</v>
      </c>
      <c r="O22">
        <f t="shared" si="3"/>
        <v>0.2333149690287859</v>
      </c>
      <c r="Q22" s="2">
        <f t="shared" si="4"/>
        <v>37646.0848</v>
      </c>
      <c r="R22">
        <f>(O22-G22)^2</f>
        <v>0.0001680385661284395</v>
      </c>
    </row>
    <row r="23" spans="1:18" ht="12.75">
      <c r="A23" t="s">
        <v>30</v>
      </c>
      <c r="C23" s="10">
        <v>52729.6943</v>
      </c>
      <c r="D23" s="10">
        <v>0.0002</v>
      </c>
      <c r="E23">
        <f t="shared" si="0"/>
        <v>6413.142678273561</v>
      </c>
      <c r="F23">
        <f t="shared" si="1"/>
        <v>6413</v>
      </c>
      <c r="G23">
        <f t="shared" si="2"/>
        <v>0.20648200000141514</v>
      </c>
      <c r="I23">
        <f>+G23</f>
        <v>0.20648200000141514</v>
      </c>
      <c r="O23">
        <f t="shared" si="3"/>
        <v>0.23136607243929874</v>
      </c>
      <c r="Q23" s="2">
        <f t="shared" si="4"/>
        <v>37711.1943</v>
      </c>
      <c r="R23">
        <f>(O23-G23)^2</f>
        <v>0.0006192170610938381</v>
      </c>
    </row>
    <row r="24" spans="1:18" ht="12.75">
      <c r="A24" s="37" t="s">
        <v>42</v>
      </c>
      <c r="B24" s="38" t="s">
        <v>44</v>
      </c>
      <c r="C24" s="33">
        <v>54051.6976</v>
      </c>
      <c r="D24" s="33">
        <v>0.001</v>
      </c>
      <c r="E24">
        <f t="shared" si="0"/>
        <v>7326.641910576801</v>
      </c>
      <c r="F24">
        <f t="shared" si="1"/>
        <v>7326.5</v>
      </c>
      <c r="G24">
        <f t="shared" si="2"/>
        <v>0.20537099999637576</v>
      </c>
      <c r="I24">
        <f>+G24</f>
        <v>0.20537099999637576</v>
      </c>
      <c r="O24">
        <f t="shared" si="3"/>
        <v>0.19180347167270967</v>
      </c>
      <c r="Q24" s="2">
        <f t="shared" si="4"/>
        <v>39033.1976</v>
      </c>
      <c r="R24">
        <f>(O24-G24)^2</f>
        <v>0.00018407782481348156</v>
      </c>
    </row>
    <row r="25" spans="1:18" ht="12.75">
      <c r="A25" s="30" t="s">
        <v>42</v>
      </c>
      <c r="B25" s="31" t="s">
        <v>43</v>
      </c>
      <c r="C25" s="32">
        <v>54067.6099</v>
      </c>
      <c r="D25" s="32">
        <v>0.0011</v>
      </c>
      <c r="E25">
        <f t="shared" si="0"/>
        <v>7337.637249116562</v>
      </c>
      <c r="F25">
        <f t="shared" si="1"/>
        <v>7337.5</v>
      </c>
      <c r="G25">
        <f t="shared" si="2"/>
        <v>0.19862499999726424</v>
      </c>
      <c r="I25">
        <f>+G25</f>
        <v>0.19862499999726424</v>
      </c>
      <c r="O25">
        <f t="shared" si="3"/>
        <v>0.19132707472861277</v>
      </c>
      <c r="Q25" s="2">
        <f t="shared" si="4"/>
        <v>39049.1099</v>
      </c>
      <c r="R25">
        <f>(O25-G25)^2</f>
        <v>5.325971322682167E-05</v>
      </c>
    </row>
    <row r="26" spans="1:18" ht="12.75">
      <c r="A26" s="37" t="s">
        <v>42</v>
      </c>
      <c r="B26" s="38" t="s">
        <v>44</v>
      </c>
      <c r="C26" s="33">
        <v>54067.6478</v>
      </c>
      <c r="D26" s="33">
        <v>0.0014</v>
      </c>
      <c r="E26">
        <f t="shared" si="0"/>
        <v>7337.66343787184</v>
      </c>
      <c r="F26">
        <f t="shared" si="1"/>
        <v>7337.5</v>
      </c>
      <c r="G26">
        <f t="shared" si="2"/>
        <v>0.23652499999298016</v>
      </c>
      <c r="I26">
        <f>+G26</f>
        <v>0.23652499999298016</v>
      </c>
      <c r="O26">
        <f t="shared" si="3"/>
        <v>0.19132707472861277</v>
      </c>
      <c r="Q26" s="2">
        <f t="shared" si="4"/>
        <v>39049.1478</v>
      </c>
      <c r="R26">
        <f>(O26-G26)^2</f>
        <v>0.00204285244820334</v>
      </c>
    </row>
    <row r="27" spans="1:18" ht="12.75">
      <c r="A27" s="39" t="s">
        <v>47</v>
      </c>
      <c r="B27" s="40" t="s">
        <v>44</v>
      </c>
      <c r="C27" s="39">
        <v>55881.595</v>
      </c>
      <c r="D27" s="39">
        <v>0.02</v>
      </c>
      <c r="E27">
        <f>+(C27-C$7)/C$8</f>
        <v>8591.094026614408</v>
      </c>
      <c r="F27">
        <f>ROUND(2*E27,0)/2</f>
        <v>8591</v>
      </c>
      <c r="G27">
        <f>+C27-(C$7+F27*C$8)</f>
        <v>0.1360740000018268</v>
      </c>
      <c r="I27">
        <f>+G27</f>
        <v>0.1360740000018268</v>
      </c>
      <c r="O27">
        <f>+C$11+C$12*F27</f>
        <v>0.13703947750812084</v>
      </c>
      <c r="Q27" s="2">
        <f>+C27-15018.5</f>
        <v>40863.095</v>
      </c>
      <c r="R27">
        <f>(O27-G27)^2</f>
        <v>9.321468151597862E-07</v>
      </c>
    </row>
    <row r="28" spans="1:18" ht="12.75">
      <c r="A28" s="39" t="s">
        <v>47</v>
      </c>
      <c r="B28" s="40" t="s">
        <v>43</v>
      </c>
      <c r="C28" s="39">
        <v>55884.463</v>
      </c>
      <c r="D28" s="39">
        <v>0.008</v>
      </c>
      <c r="E28">
        <f>+(C28-C$7)/C$8</f>
        <v>8593.07580366311</v>
      </c>
      <c r="F28">
        <f>ROUND(2*E28,0)/2</f>
        <v>8593</v>
      </c>
      <c r="G28">
        <f>+C28-(C$7+F28*C$8)</f>
        <v>0.10970200000156183</v>
      </c>
      <c r="I28">
        <f>+G28</f>
        <v>0.10970200000156183</v>
      </c>
      <c r="O28">
        <f>+C$11+C$12*F28</f>
        <v>0.1369528598819214</v>
      </c>
      <c r="Q28" s="2">
        <f>+C28-15018.5</f>
        <v>40865.963</v>
      </c>
      <c r="R28">
        <f>(O28-G28)^2</f>
        <v>0.0007426093642189913</v>
      </c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2022-11-16T06:21:59Z</dcterms:modified>
  <cp:category/>
  <cp:version/>
  <cp:contentType/>
  <cp:contentStatus/>
</cp:coreProperties>
</file>