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9195" windowHeight="143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<sst xmlns="http://schemas.openxmlformats.org/spreadsheetml/2006/main" count="57" uniqueCount="52">
  <si>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VSX</t>
  </si>
  <si>
    <t>I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</si>
  <si>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</si>
  <si>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</si>
  <si>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</si>
  <si>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</si>
  <si>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</si>
  <si>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</si>
  <si>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</si>
  <si>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</si>
  <si>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</si>
  <si>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</si>
  <si>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</si>
  <si>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</si>
  <si>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</si>
  <si>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</si>
  <si>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</si>
  <si>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</si>
  <si>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</si>
  <si>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</si>
  <si>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</si>
  <si>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</si>
  <si>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</si>
  <si>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</si>
  <si>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</si>
  <si>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</si>
  <si>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</si>
  <si>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</si>
  <si>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</si>
  <si>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</si>
  <si>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</si>
  <si>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</si>
  <si>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</si>
  <si>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</si>
  <si>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</si>
  <si>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Add cycle</t>
  </si>
  <si>
    <t>Old Cycle</t>
  </si>
  <si>
    <t>New Cycle</t>
  </si>
  <si>
    <t>not avail.</t>
  </si>
  <si>
    <t>pg</t>
  </si>
  <si>
    <t>vis</t>
  </si>
  <si>
    <t>PE</t>
  </si>
  <si>
    <t>CCD</t>
  </si>
  <si>
    <t>BAD?</t>
  </si>
  <si>
    <t>TY Eri</t>
  </si>
  <si>
    <t>G5878-0241</t>
  </si>
  <si>
    <t>E</t>
  </si>
  <si>
    <t>pr_0</t>
  </si>
  <si>
    <t>G02</t>
  </si>
  <si>
    <t>TY Eri / GSC 5878-0241</t>
  </si>
  <si>
    <t>as of 2017-11-29</t>
  </si>
  <si>
    <t>OEJV 0179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</si>
</sst>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8" fillId="20" borderId="6" applyNumberFormat="0" applyAlignment="0" applyProtection="0"/>
    <xf numFmtId="1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24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5" fillId="0" borderId="5" xfId="0" applyFont="1" applyBorder="1" applyAlignment="1">
      <alignment vertical="top"/>
    </xf>
    <xf numFmtId="0" fontId="4" fillId="24" borderId="5" xfId="0" applyFont="1" applyFill="1" applyBorder="1" applyAlignment="1">
      <alignment horizontal="left"/>
    </xf>
    <xf numFmtId="0" fontId="5" fillId="0" borderId="5" xfId="0" applyNumberFormat="1" applyFont="1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5" fillId="22" borderId="5" xfId="0" applyFont="1" applyFill="1" applyBorder="1" applyAlignment="1">
      <alignment horizontal="left"/>
    </xf>
    <xf numFmtId="0" fontId="0" fillId="0" borderId="5" xfId="0" applyBorder="1" applyAlignment="1">
      <alignment vertical="top"/>
    </xf>
    <xf numFmtId="0" fontId="0" fillId="0" borderId="5" xfId="0" applyBorder="1" applyAlignment="1">
      <alignment horizontal="left"/>
    </xf>
    <xf numFmtId="0" fontId="0" fillId="22" borderId="5" xfId="0" applyFill="1" applyBorder="1" applyAlignment="1">
      <alignment vertical="top"/>
    </xf>
    <xf numFmtId="0" fontId="14" fillId="0" borderId="0" xfId="61" applyFont="1">
      <alignment/>
      <protection/>
    </xf>
    <xf numFmtId="0" fontId="14" fillId="0" borderId="0" xfId="61" applyFont="1" applyAlignment="1">
      <alignment horizontal="center"/>
      <protection/>
    </xf>
    <xf numFmtId="0" fontId="14" fillId="0" borderId="0" xfId="61" applyFont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 Eri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619009"/>
        <c:axId val="5571082"/>
      </c:scatterChart>
      <c:valAx>
        <c:axId val="619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1082"/>
        <c:crosses val="autoZero"/>
        <c:crossBetween val="midCat"/>
        <c:dispUnits/>
      </c:valAx>
      <c:valAx>
        <c:axId val="5571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00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4"/>
          <c:w val="0.7332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10" sqref="E10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">
        <v>49</v>
      </c>
      <c r="F1" s="34" t="s">
        <v>44</v>
      </c>
      <c r="G1" s="35">
        <v>2013</v>
      </c>
      <c r="H1" s="36"/>
      <c r="I1" s="37" t="s">
        <v>45</v>
      </c>
      <c r="J1" s="38" t="s">
        <v>44</v>
      </c>
      <c r="K1" s="39">
        <v>3.1612</v>
      </c>
      <c r="L1" s="40">
        <v>-22.0531</v>
      </c>
      <c r="M1" s="41">
        <v>51869.75</v>
      </c>
      <c r="N1" s="41">
        <v>0.77195</v>
      </c>
      <c r="O1" s="42" t="s">
        <v>46</v>
      </c>
      <c r="P1" s="43">
        <v>12.8</v>
      </c>
      <c r="Q1" s="43">
        <v>13.8</v>
      </c>
      <c r="R1" s="44" t="s">
        <v>47</v>
      </c>
      <c r="S1" s="42" t="s">
        <v>48</v>
      </c>
    </row>
    <row r="2" spans="1:4" ht="12.75">
      <c r="A2" t="s">
        <v>25</v>
      </c>
      <c r="B2" t="s">
        <v>46</v>
      </c>
      <c r="C2" s="29"/>
      <c r="D2" s="3"/>
    </row>
    <row r="3" spans="3:4" ht="13.5" thickBot="1">
      <c r="C3" s="32" t="s">
        <v>50</v>
      </c>
      <c r="D3" s="32"/>
    </row>
    <row r="4" spans="1:4" ht="14.25" thickBot="1" thickTop="1">
      <c r="A4" s="5" t="s">
        <v>2</v>
      </c>
      <c r="C4" s="26" t="s">
        <v>38</v>
      </c>
      <c r="D4" s="27" t="s">
        <v>38</v>
      </c>
    </row>
    <row r="5" spans="1:5" ht="13.5" thickTop="1">
      <c r="A5" s="9" t="s">
        <v>30</v>
      </c>
      <c r="B5" s="10"/>
      <c r="C5" s="11">
        <v>-9.5</v>
      </c>
      <c r="D5" s="10" t="s">
        <v>31</v>
      </c>
      <c r="E5" s="10"/>
    </row>
    <row r="6" ht="12.75">
      <c r="A6" s="5" t="s">
        <v>3</v>
      </c>
    </row>
    <row r="7" spans="1:4" ht="12.75">
      <c r="A7" t="s">
        <v>4</v>
      </c>
      <c r="C7" s="8">
        <f>M1</f>
        <v>51869.75</v>
      </c>
      <c r="D7" s="42" t="s">
        <v>0</v>
      </c>
    </row>
    <row r="8" spans="1:4" ht="12.75">
      <c r="A8" t="s">
        <v>5</v>
      </c>
      <c r="C8" s="8">
        <f>N1</f>
        <v>0.77195</v>
      </c>
      <c r="D8" s="28" t="str">
        <f>D7</f>
        <v>VSX</v>
      </c>
    </row>
    <row r="9" spans="1:4" ht="12.75">
      <c r="A9" s="24" t="s">
        <v>34</v>
      </c>
      <c r="B9" s="33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21</v>
      </c>
      <c r="D10" s="4" t="s">
        <v>22</v>
      </c>
      <c r="E10" s="10"/>
    </row>
    <row r="11" spans="1:5" ht="12.75">
      <c r="A11" s="10" t="s">
        <v>17</v>
      </c>
      <c r="B11" s="10"/>
      <c r="C11" s="21">
        <f ca="1">INTERCEPT(INDIRECT($D$9):G992,INDIRECT($C$9):F992)</f>
        <v>0</v>
      </c>
      <c r="D11" s="3"/>
      <c r="E11" s="10"/>
    </row>
    <row r="12" spans="1:5" ht="12.75">
      <c r="A12" s="10" t="s">
        <v>18</v>
      </c>
      <c r="B12" s="10"/>
      <c r="C12" s="21">
        <f ca="1">SLOPE(INDIRECT($D$9):G992,INDIRECT($C$9):F992)</f>
        <v>6.649831649432552E-06</v>
      </c>
      <c r="D12" s="3"/>
      <c r="E12" s="10"/>
    </row>
    <row r="13" spans="1:3" ht="12.75">
      <c r="A13" s="10" t="s">
        <v>20</v>
      </c>
      <c r="B13" s="10"/>
      <c r="C13" s="3" t="s">
        <v>15</v>
      </c>
    </row>
    <row r="14" spans="1:3" ht="12.75">
      <c r="A14" s="10"/>
      <c r="B14" s="10"/>
      <c r="C14" s="10"/>
    </row>
    <row r="15" spans="1:6" ht="12.75">
      <c r="A15" s="12" t="s">
        <v>19</v>
      </c>
      <c r="B15" s="10"/>
      <c r="C15" s="13">
        <f>(C7+C11)+(C8+C12)*INT(MAX(F21:F3533))</f>
        <v>56913.71475</v>
      </c>
      <c r="E15" s="14" t="s">
        <v>35</v>
      </c>
      <c r="F15" s="30">
        <v>1</v>
      </c>
    </row>
    <row r="16" spans="1:6" ht="12.75">
      <c r="A16" s="16" t="s">
        <v>6</v>
      </c>
      <c r="B16" s="10"/>
      <c r="C16" s="17">
        <f>+C8+C12</f>
        <v>0.7719566498316495</v>
      </c>
      <c r="E16" s="14" t="s">
        <v>32</v>
      </c>
      <c r="F16" s="31">
        <f ca="1">NOW()+15018.5+$C$5/24</f>
        <v>59899.81780266204</v>
      </c>
    </row>
    <row r="17" spans="1:6" ht="13.5" thickBot="1">
      <c r="A17" s="14" t="s">
        <v>29</v>
      </c>
      <c r="B17" s="10"/>
      <c r="C17" s="10">
        <f>COUNT(C21:C2191)</f>
        <v>2</v>
      </c>
      <c r="E17" s="14" t="s">
        <v>36</v>
      </c>
      <c r="F17" s="15">
        <f>ROUND(2*(F16-$C$7)/$C$8,0)/2+F15</f>
        <v>10403.5</v>
      </c>
    </row>
    <row r="18" spans="1:6" ht="14.25" thickBot="1" thickTop="1">
      <c r="A18" s="16" t="s">
        <v>7</v>
      </c>
      <c r="B18" s="10"/>
      <c r="C18" s="19">
        <f>+C15</f>
        <v>56913.71475</v>
      </c>
      <c r="D18" s="20">
        <f>+C16</f>
        <v>0.7719566498316495</v>
      </c>
      <c r="E18" s="14" t="s">
        <v>37</v>
      </c>
      <c r="F18" s="23">
        <f>ROUND(2*(F16-$C$15)/$C$16,0)/2+F15</f>
        <v>3869</v>
      </c>
    </row>
    <row r="19" spans="5:6" ht="13.5" thickTop="1">
      <c r="E19" s="14" t="s">
        <v>33</v>
      </c>
      <c r="F19" s="18">
        <f>+$C$15+$C$16*F18-15018.5-$C$5/24</f>
        <v>44882.31086153199</v>
      </c>
    </row>
    <row r="20" spans="1:21" ht="13.5" thickBot="1">
      <c r="A20" s="4" t="s">
        <v>8</v>
      </c>
      <c r="B20" s="4" t="s">
        <v>9</v>
      </c>
      <c r="C20" s="4" t="s">
        <v>10</v>
      </c>
      <c r="D20" s="4" t="s">
        <v>14</v>
      </c>
      <c r="E20" s="4" t="s">
        <v>11</v>
      </c>
      <c r="F20" s="4" t="s">
        <v>12</v>
      </c>
      <c r="G20" s="4" t="s">
        <v>13</v>
      </c>
      <c r="H20" s="7" t="s">
        <v>39</v>
      </c>
      <c r="I20" s="7" t="s">
        <v>40</v>
      </c>
      <c r="J20" s="7" t="s">
        <v>41</v>
      </c>
      <c r="K20" s="7" t="s">
        <v>42</v>
      </c>
      <c r="L20" s="7" t="s">
        <v>26</v>
      </c>
      <c r="M20" s="7" t="s">
        <v>27</v>
      </c>
      <c r="N20" s="7" t="s">
        <v>28</v>
      </c>
      <c r="O20" s="7" t="s">
        <v>24</v>
      </c>
      <c r="P20" s="6" t="s">
        <v>23</v>
      </c>
      <c r="Q20" s="4" t="s">
        <v>16</v>
      </c>
      <c r="U20" s="25" t="s">
        <v>43</v>
      </c>
    </row>
    <row r="21" spans="1:17" ht="12.75">
      <c r="A21" t="s">
        <v>0</v>
      </c>
      <c r="C21" s="8">
        <v>51869.75</v>
      </c>
      <c r="D21" s="8" t="s">
        <v>15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0</v>
      </c>
      <c r="Q21" s="2">
        <f>+C21-15018.5</f>
        <v>36851.25</v>
      </c>
    </row>
    <row r="22" spans="1:17" ht="12.75">
      <c r="A22" s="45" t="s">
        <v>51</v>
      </c>
      <c r="B22" s="46" t="s">
        <v>1</v>
      </c>
      <c r="C22" s="47">
        <v>56913.71475</v>
      </c>
      <c r="D22" s="47">
        <v>0.0003</v>
      </c>
      <c r="E22">
        <f>+(C22-C$7)/C$8</f>
        <v>6534.0562860288865</v>
      </c>
      <c r="F22">
        <f>ROUND(2*E22,0)/2</f>
        <v>6534</v>
      </c>
      <c r="G22">
        <f>+C22-(C$7+F22*C$8)</f>
        <v>0.0434499999973923</v>
      </c>
      <c r="K22">
        <f>+G22</f>
        <v>0.0434499999973923</v>
      </c>
      <c r="O22">
        <f>+C$11+C$12*$F22</f>
        <v>0.0434499999973923</v>
      </c>
      <c r="Q22" s="2">
        <f>+C22-15018.5</f>
        <v>41895.21475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hyperlinks>
    <hyperlink ref="H460" r:id="rId1" display="http://vsolj.cetus-net.org/bulletin.html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2022-11-16T06:37:38Z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