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8370" windowHeight="1429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<sst xmlns="http://schemas.openxmlformats.org/spreadsheetml/2006/main" count="175" uniqueCount="104">
  <si>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</si>
  <si>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</si>
  <si>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</si>
  <si>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</si>
  <si>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</si>
  <si>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</si>
  <si>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</si>
  <si>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</si>
  <si>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</si>
  <si>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</si>
  <si>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</si>
  <si>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</si>
  <si>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</si>
  <si>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</si>
  <si>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</si>
  <si>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</si>
  <si>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</si>
  <si>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</si>
  <si>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</si>
  <si>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</si>
  <si>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</si>
  <si>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</si>
  <si>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</si>
  <si>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</si>
  <si>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</si>
  <si>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</si>
  <si>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</si>
  <si>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</si>
  <si>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</si>
  <si>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</si>
  <si>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</si>
  <si>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GM Gem</t>
  </si>
  <si>
    <t>IBVS 4888</t>
  </si>
  <si>
    <t>IBVS 5263</t>
  </si>
  <si>
    <t>I</t>
  </si>
  <si>
    <t>IBVS</t>
  </si>
  <si>
    <t>EA</t>
  </si>
  <si>
    <t># of data points:</t>
  </si>
  <si>
    <t>GM Gem / GSC 00753-02029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</si>
  <si>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</si>
  <si>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</si>
  <si>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</si>
  <si>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</si>
  <si>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</si>
  <si>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</si>
  <si>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</si>
  <si>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5802</t>
  </si>
  <si>
    <t>Add cycle</t>
  </si>
  <si>
    <t>Old Cycle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</si>
  <si>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</si>
  <si>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</si>
  <si>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</si>
  <si>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</si>
  <si>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</si>
  <si>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</si>
  <si>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</si>
  <si>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</si>
  <si>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</si>
  <si>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</si>
  <si>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</si>
  <si>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</si>
  <si>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2450841.2817 </t>
  </si>
  <si>
    <t> 27.01.1998 18:45 </t>
  </si>
  <si>
    <t> -0.0061 </t>
  </si>
  <si>
    <t>E </t>
  </si>
  <si>
    <t>?</t>
  </si>
  <si>
    <t> J.Safar </t>
  </si>
  <si>
    <t>IBVS 4888 </t>
  </si>
  <si>
    <t>2450864.3955 </t>
  </si>
  <si>
    <t> 19.02.1998 21:29 </t>
  </si>
  <si>
    <t> -0.0067 </t>
  </si>
  <si>
    <t>2451129.5252 </t>
  </si>
  <si>
    <t> 12.11.1998 00:36 </t>
  </si>
  <si>
    <t> -0.0127 </t>
  </si>
  <si>
    <t>2451193.4292 </t>
  </si>
  <si>
    <t> 14.01.1999 22:18 </t>
  </si>
  <si>
    <t> -0.0132 </t>
  </si>
  <si>
    <t> M.Zejda </t>
  </si>
  <si>
    <t>IBVS 5263 </t>
  </si>
  <si>
    <t>2451654.364 </t>
  </si>
  <si>
    <t> 19.04.2000 20:44 </t>
  </si>
  <si>
    <t> -0.006 </t>
  </si>
  <si>
    <t> R.Diethelm </t>
  </si>
  <si>
    <t> BBS 122 </t>
  </si>
  <si>
    <t>2453408.3347 </t>
  </si>
  <si>
    <t> 06.02.2005 20:01 </t>
  </si>
  <si>
    <t> -0.0101 </t>
  </si>
  <si>
    <t>C </t>
  </si>
  <si>
    <t>o</t>
  </si>
  <si>
    <t> Moschner &amp; Frank </t>
  </si>
  <si>
    <t>BAVM 178 </t>
  </si>
  <si>
    <t>2454149.3615 </t>
  </si>
  <si>
    <t> 17.02.2007 20:40 </t>
  </si>
  <si>
    <t> -0.0034 </t>
  </si>
  <si>
    <t>-I</t>
  </si>
  <si>
    <t> F.Agerer </t>
  </si>
  <si>
    <t>BAVM 186 </t>
  </si>
  <si>
    <t>2456693.2993 </t>
  </si>
  <si>
    <t> 04.02.2014 19:10 </t>
  </si>
  <si>
    <t>19356</t>
  </si>
  <si>
    <t> -0.0082 </t>
  </si>
  <si>
    <t> W.Moschner &amp; P.Frank </t>
  </si>
  <si>
    <t>BAVM 239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</si>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</sst>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9" xfId="0" applyFont="1" applyFill="1" applyBorder="1" applyAlignment="1">
      <alignment horizontal="left" vertical="top" wrapText="1" inden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right" vertical="top" wrapText="1"/>
    </xf>
    <xf numFmtId="0" fontId="15" fillId="24" borderId="19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Gem - O-C Diagr.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425"/>
          <c:w val="0.913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Active!$H$21:$H$996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Active!$D$21:$D$1182</c:f>
                <c:numCache>
                  <c:ptCount val="976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Active!$D$21:$D$1182</c:f>
                <c:numCache>
                  <c:ptCount val="976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Active!$F$21:$F$996</c:f>
              <c:numCache/>
            </c:numRef>
          </c:xVal>
          <c:yVal>
            <c:numRef>
              <c:f>Active!$I$21:$I$996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Active!$D$21:$D$47</c:f>
                <c:numCache>
                  <c:ptCount val="27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plus>
            <c:minus>
              <c:numRef>
                <c:f>Active!$D$21:$D$47</c:f>
                <c:numCache>
                  <c:ptCount val="27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Active!$F$21:$F$996</c:f>
              <c:numCache/>
            </c:numRef>
          </c:xVal>
          <c:yVal>
            <c:numRef>
              <c:f>Active!$J$21:$J$996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Active!$K$21:$K$996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Active!$L$21:$L$996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Active!$M$21:$M$996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Active!$N$21:$N$996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Active!$F$21:$F$996</c:f>
              <c:numCache/>
            </c:numRef>
          </c:xVal>
          <c:yVal>
            <c:numRef>
              <c:f>Active!$O$21:$O$996</c:f>
              <c:numCache/>
            </c:numRef>
          </c:yVal>
          <c:smooth val="0"/>
        </c:ser>
        <c:axId val="22178350"/>
        <c:axId val="65387423"/>
      </c:scatterChart>
      <c:valAx>
        <c:axId val="22178350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 val="autoZero"/>
        <c:crossBetween val="midCat"/>
        <c:dispUnits/>
      </c:valAx>
      <c:valAx>
        <c:axId val="65387423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31"/>
          <c:w val="0.615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Gem - O-C Diagr.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425"/>
          <c:w val="0.91375"/>
          <c:h val="0.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Active!$H$21:$H$996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Active!$D$21:$D$1182</c:f>
                <c:numCache>
                  <c:ptCount val="976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Active!$D$21:$D$1182</c:f>
                <c:numCache>
                  <c:ptCount val="976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Active!$F$21:$F$996</c:f>
              <c:numCache/>
            </c:numRef>
          </c:xVal>
          <c:yVal>
            <c:numRef>
              <c:f>Active!$I$21:$I$996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Active!$D$21:$D$47</c:f>
                <c:numCache>
                  <c:ptCount val="27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plus>
            <c:minus>
              <c:numRef>
                <c:f>Active!$D$21:$D$47</c:f>
                <c:numCache>
                  <c:ptCount val="27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0</c:v>
                  </c:pt>
                  <c:pt idx="6">
                    <c:v>0.0002</c:v>
                  </c:pt>
                  <c:pt idx="7">
                    <c:v>0.0022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Active!$F$21:$F$996</c:f>
              <c:numCache/>
            </c:numRef>
          </c:xVal>
          <c:yVal>
            <c:numRef>
              <c:f>Active!$J$21:$J$996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Active!$K$21:$K$996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Active!$L$21:$L$996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Active!$M$21:$M$996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Active!$F$21:$F$996</c:f>
              <c:numCache/>
            </c:numRef>
          </c:xVal>
          <c:yVal>
            <c:numRef>
              <c:f>Active!$N$21:$N$996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Active!$F$21:$F$996</c:f>
              <c:numCache/>
            </c:numRef>
          </c:xVal>
          <c:yVal>
            <c:numRef>
              <c:f>Active!$O$21:$O$996</c:f>
              <c:numCache/>
            </c:numRef>
          </c:yVal>
          <c:smooth val="0"/>
        </c:ser>
        <c:axId val="51615896"/>
        <c:axId val="61889881"/>
      </c:scatterChart>
      <c:val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crossBetween val="midCat"/>
        <c:dispUnits/>
      </c:valAx>
      <c:valAx>
        <c:axId val="618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125"/>
          <c:w val="0.614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Gem - O-C Diagr.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5"/>
          <c:w val="0.913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(old)'!$H$21:$H$999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(old)'!$D$21:$D$1185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'A (old)'!$D$21:$D$1185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(old)'!$F$21:$F$999</c:f>
              <c:numCache/>
            </c:numRef>
          </c:xVal>
          <c:yVal>
            <c:numRef>
              <c:f>'A (old)'!$I$21:$I$999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(old)'!$D$21:$D$50</c:f>
                <c:numCache>
                  <c:ptCount val="30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 (old)'!$D$21:$D$50</c:f>
                <c:numCache>
                  <c:ptCount val="30"/>
                  <c:pt idx="0">
                    <c:v>0</c:v>
                  </c:pt>
                  <c:pt idx="1">
                    <c:v>0.0028</c:v>
                  </c:pt>
                  <c:pt idx="2">
                    <c:v>0.0021</c:v>
                  </c:pt>
                  <c:pt idx="3">
                    <c:v>0.0016</c:v>
                  </c:pt>
                  <c:pt idx="4">
                    <c:v>0.0065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(old)'!$F$21:$F$999</c:f>
              <c:numCache/>
            </c:numRef>
          </c:xVal>
          <c:yVal>
            <c:numRef>
              <c:f>'A (old)'!$J$21:$J$999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(old)'!$K$21:$K$999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(old)'!$L$21:$L$999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(old)'!$M$21:$M$999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(old)'!$N$21:$N$999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(old)'!$F$21:$F$999</c:f>
              <c:numCache/>
            </c:numRef>
          </c:xVal>
          <c:yVal>
            <c:numRef>
              <c:f>'A (old)'!$O$21:$O$999</c:f>
              <c:numCache/>
            </c:numRef>
          </c:yVal>
          <c:smooth val="0"/>
        </c:ser>
        <c:axId val="20138018"/>
        <c:axId val="47024435"/>
      </c:scatterChart>
      <c:val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crossBetween val="midCat"/>
        <c:dispUnits/>
      </c:val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15"/>
          <c:y val="0.9305"/>
          <c:w val="0.65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361950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543425" y="0"/>
        <a:ext cx="6572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476250</xdr:colOff>
      <xdr:row>0</xdr:row>
      <xdr:rowOff>0</xdr:rowOff>
    </xdr:from>
    <xdr:to>
      <xdr:col>28</xdr:col>
      <xdr:colOff>200025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11915775" y="0"/>
        <a:ext cx="65817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142875</xdr:rowOff>
    </xdr:from>
    <xdr:to>
      <xdr:col>16</xdr:col>
      <xdr:colOff>457200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419475" y="142875"/>
        <a:ext cx="6572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4888" TargetMode="External" /><Relationship Id="rId4" Type="http://schemas.openxmlformats.org/officeDocument/2006/relationships/hyperlink" Target="http://www.konkoly.hu/cgi-bin/IBVS?5263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bav-astro.de/sfs/BAVM_link.php?BAVMnr=186" TargetMode="External" /><Relationship Id="rId7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26</v>
      </c>
      <c r="B2" t="s">
        <v>36</v>
      </c>
    </row>
    <row r="3" ht="13.5" thickBot="1"/>
    <row r="4" spans="1:4" ht="13.5" thickBot="1">
      <c r="A4" s="8" t="s">
        <v>0</v>
      </c>
      <c r="C4" s="11">
        <v>30375.535</v>
      </c>
      <c r="D4" s="12">
        <v>1.35967</v>
      </c>
    </row>
    <row r="5" spans="1:4" ht="12.75">
      <c r="A5" s="22" t="s">
        <v>40</v>
      </c>
      <c r="B5" s="20"/>
      <c r="C5" s="23">
        <v>-9.5</v>
      </c>
      <c r="D5" s="20" t="s">
        <v>41</v>
      </c>
    </row>
    <row r="6" ht="12.75">
      <c r="A6" s="8" t="s">
        <v>1</v>
      </c>
    </row>
    <row r="7" spans="1:3" ht="12.75">
      <c r="A7" t="s">
        <v>2</v>
      </c>
      <c r="C7">
        <f>+C4</f>
        <v>30375.535</v>
      </c>
    </row>
    <row r="8" spans="1:3" ht="12.75">
      <c r="A8" t="s">
        <v>3</v>
      </c>
      <c r="C8">
        <v>1.359641773087241</v>
      </c>
    </row>
    <row r="9" spans="1:4" ht="12.75">
      <c r="A9" s="35" t="s">
        <v>45</v>
      </c>
      <c r="B9" s="36">
        <v>21</v>
      </c>
      <c r="C9" s="25" t="str">
        <f>"F"&amp;B9</f>
        <v>F21</v>
      </c>
      <c r="D9" s="19" t="str">
        <f>"G"&amp;B9</f>
        <v>G21</v>
      </c>
    </row>
    <row r="10" spans="1:5" ht="13.5" thickBot="1">
      <c r="A10" s="20"/>
      <c r="B10" s="20"/>
      <c r="C10" s="7" t="s">
        <v>21</v>
      </c>
      <c r="D10" s="7" t="s">
        <v>22</v>
      </c>
      <c r="E10" s="20"/>
    </row>
    <row r="11" spans="1:5" ht="12.75">
      <c r="A11" s="20" t="s">
        <v>16</v>
      </c>
      <c r="B11" s="20"/>
      <c r="C11" s="24">
        <f ca="1">INTERCEPT(INDIRECT($D$9):G990,INDIRECT($C$9):F990)</f>
        <v>-0.01048012670442161</v>
      </c>
      <c r="D11" s="6"/>
      <c r="E11" s="20"/>
    </row>
    <row r="12" spans="1:5" ht="12.75">
      <c r="A12" s="20" t="s">
        <v>17</v>
      </c>
      <c r="B12" s="20"/>
      <c r="C12" s="24">
        <f ca="1">SLOPE(INDIRECT($D$9):G990,INDIRECT($C$9):F990)</f>
        <v>2.8341296951605455E-05</v>
      </c>
      <c r="D12" s="6"/>
      <c r="E12" s="20"/>
    </row>
    <row r="13" spans="1:3" ht="12.75">
      <c r="A13" s="20" t="s">
        <v>20</v>
      </c>
      <c r="B13" s="20"/>
      <c r="C13" s="6" t="s">
        <v>14</v>
      </c>
    </row>
    <row r="14" spans="1:3" ht="12.75">
      <c r="A14" s="20"/>
      <c r="B14" s="20"/>
      <c r="C14" s="20"/>
    </row>
    <row r="15" spans="1:6" ht="12.75">
      <c r="A15" s="26" t="s">
        <v>18</v>
      </c>
      <c r="B15" s="20"/>
      <c r="C15" s="27">
        <f>(C7+C11)+(C8+C12)*INT(MAX(F21:F3531))</f>
        <v>56962.5139365418</v>
      </c>
      <c r="E15" s="28" t="s">
        <v>47</v>
      </c>
      <c r="F15" s="23">
        <v>1</v>
      </c>
    </row>
    <row r="16" spans="1:6" ht="12.75">
      <c r="A16" s="30" t="s">
        <v>4</v>
      </c>
      <c r="B16" s="20"/>
      <c r="C16" s="31">
        <f>+C8+C12</f>
        <v>1.3596701143841925</v>
      </c>
      <c r="E16" s="28" t="s">
        <v>42</v>
      </c>
      <c r="F16" s="29">
        <f ca="1">NOW()+15018.5+$C$5/24</f>
        <v>59900.756159375</v>
      </c>
    </row>
    <row r="17" spans="1:6" ht="13.5" thickBot="1">
      <c r="A17" s="28" t="s">
        <v>37</v>
      </c>
      <c r="B17" s="20"/>
      <c r="C17" s="20">
        <f>COUNT(C21:C2189)</f>
        <v>10</v>
      </c>
      <c r="E17" s="28" t="s">
        <v>48</v>
      </c>
      <c r="F17" s="29">
        <f>ROUND(2*(F16-$C$7)/$C$8,0)/2+F15</f>
        <v>21716.5</v>
      </c>
    </row>
    <row r="18" spans="1:6" ht="14.25" thickBot="1" thickTop="1">
      <c r="A18" s="30" t="s">
        <v>5</v>
      </c>
      <c r="B18" s="20"/>
      <c r="C18" s="33">
        <f>+C15</f>
        <v>56962.5139365418</v>
      </c>
      <c r="D18" s="34">
        <f>+C16</f>
        <v>1.3596701143841925</v>
      </c>
      <c r="E18" s="28" t="s">
        <v>43</v>
      </c>
      <c r="F18" s="19">
        <f>ROUND(2*(F16-$C$15)/$C$16,0)/2+F15</f>
        <v>2162</v>
      </c>
    </row>
    <row r="19" spans="5:6" ht="13.5" thickTop="1">
      <c r="E19" s="28" t="s">
        <v>44</v>
      </c>
      <c r="F19" s="32">
        <f>+$C$15+$C$16*F18-15018.5-$C$5/24</f>
        <v>44884.01655717376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57</v>
      </c>
      <c r="I20" s="10" t="s">
        <v>60</v>
      </c>
      <c r="J20" s="10" t="s">
        <v>54</v>
      </c>
      <c r="K20" s="10" t="s">
        <v>52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21">
        <f>+C4</f>
        <v>30375.535</v>
      </c>
      <c r="D21" s="21" t="s">
        <v>14</v>
      </c>
      <c r="E21">
        <f aca="true" t="shared" si="0" ref="E21:E29">+(C21-C$7)/C$8</f>
        <v>0</v>
      </c>
      <c r="F21" s="19">
        <f>ROUND(2*E21,0)/2</f>
        <v>0</v>
      </c>
      <c r="H21">
        <v>0</v>
      </c>
      <c r="O21">
        <f aca="true" t="shared" si="1" ref="O21:O29">+C$11+C$12*$F21</f>
        <v>-0.01048012670442161</v>
      </c>
      <c r="Q21" s="2">
        <f aca="true" t="shared" si="2" ref="Q21:Q29">+C21-15018.5</f>
        <v>15357.035</v>
      </c>
    </row>
    <row r="22" spans="1:17" ht="12.75">
      <c r="A22" s="13" t="s">
        <v>32</v>
      </c>
      <c r="B22" s="14"/>
      <c r="C22" s="13">
        <v>50841.2817</v>
      </c>
      <c r="D22" s="13">
        <v>0.0028</v>
      </c>
      <c r="E22">
        <f t="shared" si="0"/>
        <v>15052.307971922559</v>
      </c>
      <c r="F22">
        <f aca="true" t="shared" si="3" ref="F22:F30">ROUND(2*E22,0)/2-0.5</f>
        <v>15052</v>
      </c>
      <c r="G22">
        <f aca="true" t="shared" si="4" ref="G22:G29">+C22-(C$7+F22*C$8)</f>
        <v>0.41873149084858596</v>
      </c>
      <c r="K22">
        <f>+G22</f>
        <v>0.41873149084858596</v>
      </c>
      <c r="O22">
        <f t="shared" si="1"/>
        <v>0.4161130750111437</v>
      </c>
      <c r="Q22" s="2">
        <f t="shared" si="2"/>
        <v>35822.7817</v>
      </c>
    </row>
    <row r="23" spans="1:17" ht="12.75">
      <c r="A23" s="13" t="s">
        <v>32</v>
      </c>
      <c r="B23" s="14"/>
      <c r="C23" s="13">
        <v>50864.3955</v>
      </c>
      <c r="D23" s="13">
        <v>0.0021</v>
      </c>
      <c r="E23">
        <f t="shared" si="0"/>
        <v>15069.3078909141</v>
      </c>
      <c r="F23">
        <f t="shared" si="3"/>
        <v>15069</v>
      </c>
      <c r="G23">
        <f t="shared" si="4"/>
        <v>0.41862134836264886</v>
      </c>
      <c r="K23">
        <f>+G23</f>
        <v>0.41862134836264886</v>
      </c>
      <c r="O23">
        <f t="shared" si="1"/>
        <v>0.41659487705932097</v>
      </c>
      <c r="Q23" s="2">
        <f t="shared" si="2"/>
        <v>35845.8955</v>
      </c>
    </row>
    <row r="24" spans="1:17" ht="12.75">
      <c r="A24" s="13" t="s">
        <v>32</v>
      </c>
      <c r="B24" s="14"/>
      <c r="C24" s="13">
        <v>51129.5252</v>
      </c>
      <c r="D24" s="13">
        <v>0.0016</v>
      </c>
      <c r="E24">
        <f t="shared" si="0"/>
        <v>15264.30756306891</v>
      </c>
      <c r="F24">
        <f t="shared" si="3"/>
        <v>15264</v>
      </c>
      <c r="G24">
        <f t="shared" si="4"/>
        <v>0.4181755963509204</v>
      </c>
      <c r="K24">
        <f>+G24</f>
        <v>0.4181755963509204</v>
      </c>
      <c r="O24">
        <f t="shared" si="1"/>
        <v>0.42212142996488405</v>
      </c>
      <c r="Q24" s="2">
        <f t="shared" si="2"/>
        <v>36111.0252</v>
      </c>
    </row>
    <row r="25" spans="1:17" ht="12.75">
      <c r="A25" s="16" t="s">
        <v>33</v>
      </c>
      <c r="B25" s="17" t="s">
        <v>34</v>
      </c>
      <c r="C25" s="37">
        <v>51193.4292</v>
      </c>
      <c r="D25" s="37">
        <v>0.0065</v>
      </c>
      <c r="E25">
        <f t="shared" si="0"/>
        <v>15311.308178425777</v>
      </c>
      <c r="F25">
        <f t="shared" si="3"/>
        <v>15311</v>
      </c>
      <c r="G25">
        <f t="shared" si="4"/>
        <v>0.4190122612490086</v>
      </c>
      <c r="K25">
        <f>+G25</f>
        <v>0.4190122612490086</v>
      </c>
      <c r="O25">
        <f t="shared" si="1"/>
        <v>0.4234534709216095</v>
      </c>
      <c r="Q25" s="2">
        <f t="shared" si="2"/>
        <v>36174.9292</v>
      </c>
    </row>
    <row r="26" spans="1:17" ht="12.75">
      <c r="A26" s="51" t="s">
        <v>83</v>
      </c>
      <c r="B26" s="52" t="s">
        <v>34</v>
      </c>
      <c r="C26" s="53">
        <v>51654.364</v>
      </c>
      <c r="D26" s="52" t="s">
        <v>60</v>
      </c>
      <c r="E26">
        <f t="shared" si="0"/>
        <v>15650.320121956604</v>
      </c>
      <c r="F26">
        <f t="shared" si="3"/>
        <v>15650</v>
      </c>
      <c r="G26">
        <f t="shared" si="4"/>
        <v>0.4352511846809648</v>
      </c>
      <c r="I26">
        <f>+G26</f>
        <v>0.4352511846809648</v>
      </c>
      <c r="O26">
        <f t="shared" si="1"/>
        <v>0.43306117058820376</v>
      </c>
      <c r="Q26" s="2">
        <f t="shared" si="2"/>
        <v>36635.864</v>
      </c>
    </row>
    <row r="27" spans="1:17" ht="12.75">
      <c r="A27" s="54" t="s">
        <v>39</v>
      </c>
      <c r="B27" s="55"/>
      <c r="C27" s="56">
        <v>53408.3347</v>
      </c>
      <c r="D27" s="56">
        <v>0.0002</v>
      </c>
      <c r="E27" s="57">
        <f t="shared" si="0"/>
        <v>16940.34425531151</v>
      </c>
      <c r="F27" s="57">
        <f t="shared" si="3"/>
        <v>16940</v>
      </c>
      <c r="G27" s="57">
        <f t="shared" si="4"/>
        <v>0.4680639021389652</v>
      </c>
      <c r="H27" s="57"/>
      <c r="I27" s="57"/>
      <c r="J27" s="57">
        <f>+G27</f>
        <v>0.4680639021389652</v>
      </c>
      <c r="K27" s="57"/>
      <c r="L27" s="57"/>
      <c r="M27" s="57"/>
      <c r="O27">
        <f t="shared" si="1"/>
        <v>0.4696214436557748</v>
      </c>
      <c r="Q27" s="2">
        <f t="shared" si="2"/>
        <v>38389.8347</v>
      </c>
    </row>
    <row r="28" spans="1:17" ht="12.75">
      <c r="A28" s="58" t="s">
        <v>46</v>
      </c>
      <c r="B28" s="59"/>
      <c r="C28" s="58">
        <v>54149.3615</v>
      </c>
      <c r="D28" s="58">
        <v>0.0022</v>
      </c>
      <c r="E28" s="57">
        <f t="shared" si="0"/>
        <v>17485.36046080614</v>
      </c>
      <c r="F28" s="57">
        <f t="shared" si="3"/>
        <v>17485</v>
      </c>
      <c r="G28" s="57">
        <f t="shared" si="4"/>
        <v>0.49009756959276274</v>
      </c>
      <c r="H28" s="57"/>
      <c r="I28" s="57"/>
      <c r="J28" s="57">
        <f>+G28</f>
        <v>0.49009756959276274</v>
      </c>
      <c r="K28" s="57"/>
      <c r="L28" s="57"/>
      <c r="M28" s="57"/>
      <c r="O28">
        <f t="shared" si="1"/>
        <v>0.48506745049439975</v>
      </c>
      <c r="Q28" s="2">
        <f t="shared" si="2"/>
        <v>39130.8615</v>
      </c>
    </row>
    <row r="29" spans="1:17" ht="12.75">
      <c r="A29" s="60" t="s">
        <v>49</v>
      </c>
      <c r="B29" s="61"/>
      <c r="C29" s="60">
        <v>56693.2993</v>
      </c>
      <c r="D29" s="60">
        <v>0.001</v>
      </c>
      <c r="E29" s="57">
        <f t="shared" si="0"/>
        <v>19356.395795520566</v>
      </c>
      <c r="F29" s="57">
        <f t="shared" si="3"/>
        <v>19356</v>
      </c>
      <c r="G29" s="57">
        <f t="shared" si="4"/>
        <v>0.5381401233607903</v>
      </c>
      <c r="H29" s="57"/>
      <c r="I29" s="57"/>
      <c r="J29" s="57">
        <f>+G29</f>
        <v>0.5381401233607903</v>
      </c>
      <c r="K29" s="57"/>
      <c r="L29" s="57"/>
      <c r="M29" s="57"/>
      <c r="O29">
        <f t="shared" si="1"/>
        <v>0.5380940170908535</v>
      </c>
      <c r="Q29" s="2">
        <f t="shared" si="2"/>
        <v>41674.7993</v>
      </c>
    </row>
    <row r="30" spans="1:17" ht="12.75">
      <c r="A30" s="62" t="s">
        <v>103</v>
      </c>
      <c r="B30" s="63" t="s">
        <v>34</v>
      </c>
      <c r="C30" s="64">
        <v>56962.51197</v>
      </c>
      <c r="D30" s="64">
        <v>0.0002</v>
      </c>
      <c r="E30">
        <f>+(C30-C$7)/C$8</f>
        <v>19554.398442488906</v>
      </c>
      <c r="F30">
        <f t="shared" si="3"/>
        <v>19554</v>
      </c>
      <c r="G30">
        <f>+C30-(C$7+F30*C$8)</f>
        <v>0.5417390520888148</v>
      </c>
      <c r="K30">
        <f>+G30</f>
        <v>0.5417390520888148</v>
      </c>
      <c r="O30">
        <f>+C$11+C$12*$F30</f>
        <v>0.5437055938872715</v>
      </c>
      <c r="Q30" s="2">
        <f>+C30-15018.5</f>
        <v>41944.01197</v>
      </c>
    </row>
    <row r="31" spans="1:13" ht="12.75">
      <c r="A31" s="57"/>
      <c r="B31" s="57"/>
      <c r="C31" s="57"/>
      <c r="D31" s="61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57"/>
      <c r="B32" s="57"/>
      <c r="C32" s="57"/>
      <c r="D32" s="61"/>
      <c r="E32" s="57"/>
      <c r="F32" s="57"/>
      <c r="G32" s="57"/>
      <c r="H32" s="57"/>
      <c r="I32" s="57"/>
      <c r="J32" s="57"/>
      <c r="K32" s="57"/>
      <c r="L32" s="57"/>
      <c r="M32" s="57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</sheetData>
  <sheetProtection/>
  <hyperlinks>
    <hyperlink ref="H369" r:id="rId1" display="http://vsolj.cetus-net.org/bulletin.html"/>
    <hyperlink ref="H362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2" ht="12.75">
      <c r="A2" t="s">
        <v>26</v>
      </c>
      <c r="B2" t="s">
        <v>36</v>
      </c>
    </row>
    <row r="3" ht="13.5" thickBot="1"/>
    <row r="4" spans="1:4" ht="13.5" thickBot="1">
      <c r="A4" s="8" t="s">
        <v>0</v>
      </c>
      <c r="C4" s="11">
        <v>30375.535</v>
      </c>
      <c r="D4" s="12">
        <v>1.35967</v>
      </c>
    </row>
    <row r="6" ht="12.75">
      <c r="A6" s="8" t="s">
        <v>1</v>
      </c>
    </row>
    <row r="7" spans="1:3" ht="12.75">
      <c r="A7" t="s">
        <v>2</v>
      </c>
      <c r="C7">
        <f>+C4</f>
        <v>30375.535</v>
      </c>
    </row>
    <row r="8" spans="1:3" ht="12.75">
      <c r="A8" t="s">
        <v>3</v>
      </c>
      <c r="C8">
        <f>+D4</f>
        <v>1.35967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INTERCEPT(G21:G999,$F21:$F999)</f>
        <v>0.41863517420097945</v>
      </c>
      <c r="D11" s="6"/>
    </row>
    <row r="12" spans="1:4" ht="12.75">
      <c r="A12" t="s">
        <v>17</v>
      </c>
      <c r="C12">
        <f>SLOPE(G21:G999,$F21:$F999)</f>
        <v>-2.8226912758918192E-05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3" t="s">
        <v>18</v>
      </c>
      <c r="C15">
        <f>+C7+C11</f>
        <v>30375.953635174203</v>
      </c>
    </row>
    <row r="16" spans="1:3" ht="12.75">
      <c r="A16" s="8" t="s">
        <v>4</v>
      </c>
      <c r="C16">
        <f>+C8+C12</f>
        <v>1.359641773087241</v>
      </c>
    </row>
    <row r="17" ht="13.5" thickBot="1"/>
    <row r="18" spans="1:4" ht="12.75">
      <c r="A18" s="8" t="s">
        <v>5</v>
      </c>
      <c r="C18" s="4">
        <f>+C15</f>
        <v>30375.953635174203</v>
      </c>
      <c r="D18" s="5">
        <f>+C16</f>
        <v>1.359641773087241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f>+C4</f>
        <v>30375.535</v>
      </c>
      <c r="D21" s="6" t="s">
        <v>14</v>
      </c>
      <c r="E21">
        <f>+(C21-C$7)/C$8</f>
        <v>0</v>
      </c>
      <c r="F21">
        <f>ROUND(2*E21,0)/2</f>
        <v>0</v>
      </c>
      <c r="H21">
        <v>0</v>
      </c>
      <c r="O21">
        <f>+C$11+C$12*$F21</f>
        <v>0.41863517420097945</v>
      </c>
      <c r="Q21" s="2">
        <f>+C21-15018.5</f>
        <v>15357.035</v>
      </c>
    </row>
    <row r="22" spans="1:17" ht="12.75">
      <c r="A22" s="13" t="s">
        <v>32</v>
      </c>
      <c r="B22" s="14"/>
      <c r="C22" s="15">
        <v>50841.2817</v>
      </c>
      <c r="D22" s="14">
        <v>0.0028</v>
      </c>
      <c r="E22">
        <f>+(C22-C$7)/C$8</f>
        <v>15051.995484198373</v>
      </c>
      <c r="F22">
        <f>ROUND(2*E22,0)/2</f>
        <v>15052</v>
      </c>
      <c r="G22">
        <f>+C22-(C$7+F22*C$8)</f>
        <v>-0.006139999997685663</v>
      </c>
      <c r="I22">
        <f>+G22</f>
        <v>-0.006139999997685663</v>
      </c>
      <c r="O22">
        <f>+C$11+C$12*$F22</f>
        <v>-0.006236316646257178</v>
      </c>
      <c r="Q22" s="2">
        <f>+C22-15018.5</f>
        <v>35822.7817</v>
      </c>
    </row>
    <row r="23" spans="1:17" ht="12.75">
      <c r="A23" s="13" t="s">
        <v>32</v>
      </c>
      <c r="B23" s="14"/>
      <c r="C23" s="15">
        <v>50864.3955</v>
      </c>
      <c r="D23" s="14">
        <v>0.0021</v>
      </c>
      <c r="E23">
        <f>+(C23-C$7)/C$8</f>
        <v>15068.99505026955</v>
      </c>
      <c r="F23">
        <f>ROUND(2*E23,0)/2</f>
        <v>15069</v>
      </c>
      <c r="G23">
        <f>+C23-(C$7+F23*C$8)</f>
        <v>-0.006730000000970904</v>
      </c>
      <c r="I23">
        <f>+G23</f>
        <v>-0.006730000000970904</v>
      </c>
      <c r="O23">
        <f>+C$11+C$12*$F23</f>
        <v>-0.0067161741631587835</v>
      </c>
      <c r="Q23" s="2">
        <f>+C23-15018.5</f>
        <v>35845.8955</v>
      </c>
    </row>
    <row r="24" spans="1:17" ht="12.75">
      <c r="A24" s="13" t="s">
        <v>32</v>
      </c>
      <c r="B24" s="14"/>
      <c r="C24" s="15">
        <v>51129.5252</v>
      </c>
      <c r="D24" s="14">
        <v>0.0016</v>
      </c>
      <c r="E24">
        <f>+(C24-C$7)/C$8</f>
        <v>15263.990674207711</v>
      </c>
      <c r="F24">
        <f>ROUND(2*E24,0)/2</f>
        <v>15264</v>
      </c>
      <c r="G24">
        <f>+C24-(C$7+F24*C$8)</f>
        <v>-0.01268000000709435</v>
      </c>
      <c r="I24">
        <f>+G24</f>
        <v>-0.01268000000709435</v>
      </c>
      <c r="O24">
        <f>+C$11+C$12*$F24</f>
        <v>-0.012220422151147825</v>
      </c>
      <c r="Q24" s="2">
        <f>+C24-15018.5</f>
        <v>36111.0252</v>
      </c>
    </row>
    <row r="25" spans="1:17" ht="12.75">
      <c r="A25" s="16" t="s">
        <v>33</v>
      </c>
      <c r="B25" s="17" t="s">
        <v>34</v>
      </c>
      <c r="C25" s="18">
        <v>51193.4292</v>
      </c>
      <c r="D25" s="17">
        <v>0.0065</v>
      </c>
      <c r="E25">
        <f>+(C25-C$7)/C$8</f>
        <v>15310.990313826149</v>
      </c>
      <c r="F25">
        <f>ROUND(2*E25,0)/2</f>
        <v>15311</v>
      </c>
      <c r="G25">
        <f>+C25-(C$7+F25*C$8)</f>
        <v>-0.013170000005629845</v>
      </c>
      <c r="I25">
        <f>+G25</f>
        <v>-0.013170000005629845</v>
      </c>
      <c r="O25">
        <f>+C$11+C$12*$F25</f>
        <v>-0.013547087050816975</v>
      </c>
      <c r="Q25" s="2">
        <f>+C25-15018.5</f>
        <v>36174.9292</v>
      </c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6"/>
  <sheetViews>
    <sheetView zoomScalePageLayoutView="0" workbookViewId="0" topLeftCell="A1">
      <selection activeCell="A18" sqref="A18:D18"/>
    </sheetView>
  </sheetViews>
  <sheetFormatPr defaultColWidth="9.140625" defaultRowHeight="12.75"/>
  <cols>
    <col min="1" max="1" width="19.7109375" style="21" customWidth="1"/>
    <col min="2" max="2" width="4.421875" style="20" customWidth="1"/>
    <col min="3" max="3" width="12.7109375" style="21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21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38" t="s">
        <v>50</v>
      </c>
      <c r="I1" s="39" t="s">
        <v>51</v>
      </c>
      <c r="J1" s="40" t="s">
        <v>52</v>
      </c>
    </row>
    <row r="2" spans="9:10" ht="12.75">
      <c r="I2" s="41" t="s">
        <v>53</v>
      </c>
      <c r="J2" s="42" t="s">
        <v>54</v>
      </c>
    </row>
    <row r="3" spans="1:10" ht="12.75">
      <c r="A3" s="43" t="s">
        <v>55</v>
      </c>
      <c r="I3" s="41" t="s">
        <v>56</v>
      </c>
      <c r="J3" s="42" t="s">
        <v>57</v>
      </c>
    </row>
    <row r="4" spans="9:10" ht="12.75">
      <c r="I4" s="41" t="s">
        <v>58</v>
      </c>
      <c r="J4" s="42" t="s">
        <v>57</v>
      </c>
    </row>
    <row r="5" spans="9:10" ht="13.5" thickBot="1">
      <c r="I5" s="44" t="s">
        <v>59</v>
      </c>
      <c r="J5" s="45" t="s">
        <v>60</v>
      </c>
    </row>
    <row r="10" ht="13.5" thickBot="1"/>
    <row r="11" spans="1:16" ht="12.75" customHeight="1" thickBot="1">
      <c r="A11" s="21" t="str">
        <f aca="true" t="shared" si="0" ref="A11:A18">P11</f>
        <v>IBVS 4888 </v>
      </c>
      <c r="B11" s="6" t="str">
        <f aca="true" t="shared" si="1" ref="B11:B18">IF(H11=INT(H11),"I","II")</f>
        <v>I</v>
      </c>
      <c r="C11" s="21">
        <f aca="true" t="shared" si="2" ref="C11:C18">1*G11</f>
        <v>50841.2817</v>
      </c>
      <c r="D11" s="20" t="str">
        <f aca="true" t="shared" si="3" ref="D11:D18">VLOOKUP(F11,I$1:J$5,2,FALSE)</f>
        <v>vis</v>
      </c>
      <c r="E11" s="46">
        <f>VLOOKUP(C11,Active!C$21:E$973,3,FALSE)</f>
        <v>15052.307971922559</v>
      </c>
      <c r="F11" s="6" t="s">
        <v>59</v>
      </c>
      <c r="G11" s="20" t="str">
        <f aca="true" t="shared" si="4" ref="G11:G18">MID(I11,3,LEN(I11)-3)</f>
        <v>50841.2817</v>
      </c>
      <c r="H11" s="21">
        <f aca="true" t="shared" si="5" ref="H11:H18">1*K11</f>
        <v>15052</v>
      </c>
      <c r="I11" s="47" t="s">
        <v>61</v>
      </c>
      <c r="J11" s="48" t="s">
        <v>62</v>
      </c>
      <c r="K11" s="47">
        <v>15052</v>
      </c>
      <c r="L11" s="47" t="s">
        <v>63</v>
      </c>
      <c r="M11" s="48" t="s">
        <v>64</v>
      </c>
      <c r="N11" s="48" t="s">
        <v>65</v>
      </c>
      <c r="O11" s="49" t="s">
        <v>66</v>
      </c>
      <c r="P11" s="50" t="s">
        <v>67</v>
      </c>
    </row>
    <row r="12" spans="1:16" ht="12.75" customHeight="1" thickBot="1">
      <c r="A12" s="21" t="str">
        <f t="shared" si="0"/>
        <v>IBVS 4888 </v>
      </c>
      <c r="B12" s="6" t="str">
        <f t="shared" si="1"/>
        <v>I</v>
      </c>
      <c r="C12" s="21">
        <f t="shared" si="2"/>
        <v>50864.3955</v>
      </c>
      <c r="D12" s="20" t="str">
        <f t="shared" si="3"/>
        <v>vis</v>
      </c>
      <c r="E12" s="46">
        <f>VLOOKUP(C12,Active!C$21:E$973,3,FALSE)</f>
        <v>15069.3078909141</v>
      </c>
      <c r="F12" s="6" t="s">
        <v>59</v>
      </c>
      <c r="G12" s="20" t="str">
        <f t="shared" si="4"/>
        <v>50864.3955</v>
      </c>
      <c r="H12" s="21">
        <f t="shared" si="5"/>
        <v>15069</v>
      </c>
      <c r="I12" s="47" t="s">
        <v>68</v>
      </c>
      <c r="J12" s="48" t="s">
        <v>69</v>
      </c>
      <c r="K12" s="47">
        <v>15069</v>
      </c>
      <c r="L12" s="47" t="s">
        <v>70</v>
      </c>
      <c r="M12" s="48" t="s">
        <v>64</v>
      </c>
      <c r="N12" s="48" t="s">
        <v>65</v>
      </c>
      <c r="O12" s="49" t="s">
        <v>66</v>
      </c>
      <c r="P12" s="50" t="s">
        <v>67</v>
      </c>
    </row>
    <row r="13" spans="1:16" ht="12.75" customHeight="1" thickBot="1">
      <c r="A13" s="21" t="str">
        <f t="shared" si="0"/>
        <v>IBVS 4888 </v>
      </c>
      <c r="B13" s="6" t="str">
        <f t="shared" si="1"/>
        <v>I</v>
      </c>
      <c r="C13" s="21">
        <f t="shared" si="2"/>
        <v>51129.5252</v>
      </c>
      <c r="D13" s="20" t="str">
        <f t="shared" si="3"/>
        <v>vis</v>
      </c>
      <c r="E13" s="46">
        <f>VLOOKUP(C13,Active!C$21:E$973,3,FALSE)</f>
        <v>15264.30756306891</v>
      </c>
      <c r="F13" s="6" t="s">
        <v>59</v>
      </c>
      <c r="G13" s="20" t="str">
        <f t="shared" si="4"/>
        <v>51129.5252</v>
      </c>
      <c r="H13" s="21">
        <f t="shared" si="5"/>
        <v>15264</v>
      </c>
      <c r="I13" s="47" t="s">
        <v>71</v>
      </c>
      <c r="J13" s="48" t="s">
        <v>72</v>
      </c>
      <c r="K13" s="47">
        <v>15264</v>
      </c>
      <c r="L13" s="47" t="s">
        <v>73</v>
      </c>
      <c r="M13" s="48" t="s">
        <v>64</v>
      </c>
      <c r="N13" s="48" t="s">
        <v>65</v>
      </c>
      <c r="O13" s="49" t="s">
        <v>66</v>
      </c>
      <c r="P13" s="50" t="s">
        <v>67</v>
      </c>
    </row>
    <row r="14" spans="1:16" ht="12.75" customHeight="1" thickBot="1">
      <c r="A14" s="21" t="str">
        <f t="shared" si="0"/>
        <v>IBVS 5263 </v>
      </c>
      <c r="B14" s="6" t="str">
        <f t="shared" si="1"/>
        <v>I</v>
      </c>
      <c r="C14" s="21">
        <f t="shared" si="2"/>
        <v>51193.4292</v>
      </c>
      <c r="D14" s="20" t="str">
        <f t="shared" si="3"/>
        <v>vis</v>
      </c>
      <c r="E14" s="46">
        <f>VLOOKUP(C14,Active!C$21:E$973,3,FALSE)</f>
        <v>15311.308178425777</v>
      </c>
      <c r="F14" s="6" t="s">
        <v>59</v>
      </c>
      <c r="G14" s="20" t="str">
        <f t="shared" si="4"/>
        <v>51193.4292</v>
      </c>
      <c r="H14" s="21">
        <f t="shared" si="5"/>
        <v>15311</v>
      </c>
      <c r="I14" s="47" t="s">
        <v>74</v>
      </c>
      <c r="J14" s="48" t="s">
        <v>75</v>
      </c>
      <c r="K14" s="47">
        <v>15311</v>
      </c>
      <c r="L14" s="47" t="s">
        <v>76</v>
      </c>
      <c r="M14" s="48" t="s">
        <v>64</v>
      </c>
      <c r="N14" s="48" t="s">
        <v>65</v>
      </c>
      <c r="O14" s="49" t="s">
        <v>77</v>
      </c>
      <c r="P14" s="50" t="s">
        <v>78</v>
      </c>
    </row>
    <row r="15" spans="1:16" ht="12.75" customHeight="1" thickBot="1">
      <c r="A15" s="21" t="str">
        <f t="shared" si="0"/>
        <v>BAVM 178 </v>
      </c>
      <c r="B15" s="6" t="str">
        <f t="shared" si="1"/>
        <v>I</v>
      </c>
      <c r="C15" s="21">
        <f t="shared" si="2"/>
        <v>53408.3347</v>
      </c>
      <c r="D15" s="20" t="str">
        <f t="shared" si="3"/>
        <v>vis</v>
      </c>
      <c r="E15" s="46">
        <f>VLOOKUP(C15,Active!C$21:E$973,3,FALSE)</f>
        <v>16940.34425531151</v>
      </c>
      <c r="F15" s="6" t="s">
        <v>59</v>
      </c>
      <c r="G15" s="20" t="str">
        <f t="shared" si="4"/>
        <v>53408.3347</v>
      </c>
      <c r="H15" s="21">
        <f t="shared" si="5"/>
        <v>16940</v>
      </c>
      <c r="I15" s="47" t="s">
        <v>84</v>
      </c>
      <c r="J15" s="48" t="s">
        <v>85</v>
      </c>
      <c r="K15" s="47">
        <v>16940</v>
      </c>
      <c r="L15" s="47" t="s">
        <v>86</v>
      </c>
      <c r="M15" s="48" t="s">
        <v>87</v>
      </c>
      <c r="N15" s="48" t="s">
        <v>88</v>
      </c>
      <c r="O15" s="49" t="s">
        <v>89</v>
      </c>
      <c r="P15" s="50" t="s">
        <v>90</v>
      </c>
    </row>
    <row r="16" spans="1:16" ht="12.75" customHeight="1" thickBot="1">
      <c r="A16" s="21" t="str">
        <f t="shared" si="0"/>
        <v>BAVM 186 </v>
      </c>
      <c r="B16" s="6" t="str">
        <f t="shared" si="1"/>
        <v>I</v>
      </c>
      <c r="C16" s="21">
        <f t="shared" si="2"/>
        <v>54149.3615</v>
      </c>
      <c r="D16" s="20" t="str">
        <f t="shared" si="3"/>
        <v>vis</v>
      </c>
      <c r="E16" s="46">
        <f>VLOOKUP(C16,Active!C$21:E$973,3,FALSE)</f>
        <v>17485.36046080614</v>
      </c>
      <c r="F16" s="6" t="s">
        <v>59</v>
      </c>
      <c r="G16" s="20" t="str">
        <f t="shared" si="4"/>
        <v>54149.3615</v>
      </c>
      <c r="H16" s="21">
        <f t="shared" si="5"/>
        <v>17485</v>
      </c>
      <c r="I16" s="47" t="s">
        <v>91</v>
      </c>
      <c r="J16" s="48" t="s">
        <v>92</v>
      </c>
      <c r="K16" s="47">
        <v>17485</v>
      </c>
      <c r="L16" s="47" t="s">
        <v>93</v>
      </c>
      <c r="M16" s="48" t="s">
        <v>87</v>
      </c>
      <c r="N16" s="48" t="s">
        <v>94</v>
      </c>
      <c r="O16" s="49" t="s">
        <v>95</v>
      </c>
      <c r="P16" s="50" t="s">
        <v>96</v>
      </c>
    </row>
    <row r="17" spans="1:16" ht="12.75" customHeight="1" thickBot="1">
      <c r="A17" s="21" t="str">
        <f t="shared" si="0"/>
        <v>BAVM 239 </v>
      </c>
      <c r="B17" s="6" t="str">
        <f t="shared" si="1"/>
        <v>I</v>
      </c>
      <c r="C17" s="21">
        <f t="shared" si="2"/>
        <v>56693.2993</v>
      </c>
      <c r="D17" s="20" t="str">
        <f t="shared" si="3"/>
        <v>vis</v>
      </c>
      <c r="E17" s="46">
        <f>VLOOKUP(C17,Active!C$21:E$973,3,FALSE)</f>
        <v>19356.395795520566</v>
      </c>
      <c r="F17" s="6" t="s">
        <v>59</v>
      </c>
      <c r="G17" s="20" t="str">
        <f t="shared" si="4"/>
        <v>56693.2993</v>
      </c>
      <c r="H17" s="21">
        <f t="shared" si="5"/>
        <v>19356</v>
      </c>
      <c r="I17" s="47" t="s">
        <v>97</v>
      </c>
      <c r="J17" s="48" t="s">
        <v>98</v>
      </c>
      <c r="K17" s="47" t="s">
        <v>99</v>
      </c>
      <c r="L17" s="47" t="s">
        <v>100</v>
      </c>
      <c r="M17" s="48" t="s">
        <v>87</v>
      </c>
      <c r="N17" s="48" t="s">
        <v>88</v>
      </c>
      <c r="O17" s="49" t="s">
        <v>101</v>
      </c>
      <c r="P17" s="50" t="s">
        <v>102</v>
      </c>
    </row>
    <row r="18" spans="1:16" ht="12.75" customHeight="1" thickBot="1">
      <c r="A18" s="21" t="str">
        <f t="shared" si="0"/>
        <v> BBS 122 </v>
      </c>
      <c r="B18" s="6" t="str">
        <f t="shared" si="1"/>
        <v>I</v>
      </c>
      <c r="C18" s="21">
        <f t="shared" si="2"/>
        <v>51654.364</v>
      </c>
      <c r="D18" s="20" t="str">
        <f t="shared" si="3"/>
        <v>vis</v>
      </c>
      <c r="E18" s="46">
        <f>VLOOKUP(C18,Active!C$21:E$973,3,FALSE)</f>
        <v>15650.320121956604</v>
      </c>
      <c r="F18" s="6" t="s">
        <v>59</v>
      </c>
      <c r="G18" s="20" t="str">
        <f t="shared" si="4"/>
        <v>51654.364</v>
      </c>
      <c r="H18" s="21">
        <f t="shared" si="5"/>
        <v>15650</v>
      </c>
      <c r="I18" s="47" t="s">
        <v>79</v>
      </c>
      <c r="J18" s="48" t="s">
        <v>80</v>
      </c>
      <c r="K18" s="47">
        <v>15650</v>
      </c>
      <c r="L18" s="47" t="s">
        <v>81</v>
      </c>
      <c r="M18" s="48" t="s">
        <v>64</v>
      </c>
      <c r="N18" s="48" t="s">
        <v>65</v>
      </c>
      <c r="O18" s="49" t="s">
        <v>82</v>
      </c>
      <c r="P18" s="49" t="s">
        <v>83</v>
      </c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</sheetData>
  <sheetProtection/>
  <hyperlinks>
    <hyperlink ref="P11" r:id="rId1" display="http://www.konkoly.hu/cgi-bin/IBVS?4888"/>
    <hyperlink ref="P12" r:id="rId2" display="http://www.konkoly.hu/cgi-bin/IBVS?4888"/>
    <hyperlink ref="P13" r:id="rId3" display="http://www.konkoly.hu/cgi-bin/IBVS?4888"/>
    <hyperlink ref="P14" r:id="rId4" display="http://www.konkoly.hu/cgi-bin/IBVS?5263"/>
    <hyperlink ref="P15" r:id="rId5" display="http://www.bav-astro.de/sfs/BAVM_link.php?BAVMnr=178"/>
    <hyperlink ref="P16" r:id="rId6" display="http://www.bav-astro.de/sfs/BAVM_link.php?BAVMnr=186"/>
    <hyperlink ref="P17" r:id="rId7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