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0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<sst xmlns="http://schemas.openxmlformats.org/spreadsheetml/2006/main" count="110" uniqueCount="84">
  <si>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</si>
  <si>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</si>
  <si>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</si>
  <si>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</si>
  <si>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</si>
  <si>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</si>
  <si>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</si>
  <si>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</si>
  <si>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</si>
  <si>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</si>
  <si>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</si>
  <si>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</si>
  <si>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</si>
  <si>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</si>
  <si>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</si>
  <si>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</si>
  <si>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</si>
  <si>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</si>
  <si>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</si>
  <si>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</si>
  <si>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</si>
  <si>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</si>
  <si>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</si>
  <si>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</si>
  <si>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</si>
  <si>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</si>
  <si>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</si>
  <si>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</si>
  <si>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</si>
  <si>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</si>
  <si>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</si>
  <si>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</si>
  <si>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IBVS 5484</t>
  </si>
  <si>
    <t>IBVS 5657</t>
  </si>
  <si>
    <t>not avail.</t>
  </si>
  <si>
    <t>from ToMcat</t>
  </si>
  <si>
    <t>-- VERY provisional</t>
  </si>
  <si>
    <t>MR Gem / na</t>
  </si>
  <si>
    <t>EA?</t>
  </si>
  <si>
    <t># of data points:</t>
  </si>
  <si>
    <t>06 55 24.17 +16 17 18.2</t>
  </si>
  <si>
    <t>Ref:  IBVS 4764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</si>
  <si>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</si>
  <si>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</si>
  <si>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</si>
  <si>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</si>
  <si>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</si>
  <si>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</si>
  <si>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</si>
  <si>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</si>
  <si>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</si>
  <si>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</si>
  <si>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</si>
  <si>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2451925.5685 </t>
  </si>
  <si>
    <t> 16.01.2001 01:38 </t>
  </si>
  <si>
    <t> 0.0000 </t>
  </si>
  <si>
    <t>E </t>
  </si>
  <si>
    <t>o</t>
  </si>
  <si>
    <t> P.Frank </t>
  </si>
  <si>
    <t>BAVM 173 </t>
  </si>
  <si>
    <t>2452680.3851 </t>
  </si>
  <si>
    <t> 09.02.2003 21:14 </t>
  </si>
  <si>
    <t> -0.1834 </t>
  </si>
  <si>
    <t>BAVM 158 </t>
  </si>
  <si>
    <t>2453386.2962 </t>
  </si>
  <si>
    <t> 15.01.2005 19:06 </t>
  </si>
  <si>
    <t> -0.2723 </t>
  </si>
  <si>
    <t>-I</t>
  </si>
  <si>
    <t>2453387.3964 </t>
  </si>
  <si>
    <t> 16.01.2005 21:30 </t>
  </si>
  <si>
    <t>1462</t>
  </si>
  <si>
    <t> -0.1721 </t>
  </si>
  <si>
    <t>2453408.5357 </t>
  </si>
  <si>
    <t> 07.02.2005 00:51 </t>
  </si>
  <si>
    <t>1483</t>
  </si>
  <si>
    <t> -0.0328 </t>
  </si>
  <si>
    <t>I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</si>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</sst>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6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 Gem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0.0036</c:v>
                  </c:pt>
                  <c:pt idx="1">
                    <c:v>0.0023</c:v>
                  </c:pt>
                  <c:pt idx="2">
                    <c:v>0.0013</c:v>
                  </c:pt>
                  <c:pt idx="3">
                    <c:v>0.0021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47295106"/>
        <c:axId val="23002771"/>
      </c:scatterChart>
      <c:valAx>
        <c:axId val="4729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71"/>
        <c:crosses val="autoZero"/>
        <c:crossBetween val="midCat"/>
        <c:dispUnits/>
      </c:valAx>
      <c:valAx>
        <c:axId val="2300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2975"/>
          <c:w val="0.734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76200</xdr:rowOff>
    </xdr:from>
    <xdr:to>
      <xdr:col>17</xdr:col>
      <xdr:colOff>457200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5334000" y="7620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bav-astro.de/sfs/BAVM_link.php?BAVMnr=173" TargetMode="External" /><Relationship Id="rId5" Type="http://schemas.openxmlformats.org/officeDocument/2006/relationships/hyperlink" Target="http://www.bav-astro.de/sfs/BAVM_link.php?BAVMnr=1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zoomScalePageLayoutView="0" workbookViewId="0" topLeftCell="A1">
      <selection activeCell="F8" sqref="F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37</v>
      </c>
      <c r="C1" s="24" t="s">
        <v>40</v>
      </c>
    </row>
    <row r="2" spans="1:3" ht="12.75">
      <c r="A2" t="s">
        <v>26</v>
      </c>
      <c r="B2" t="s">
        <v>38</v>
      </c>
      <c r="C2" s="25" t="s">
        <v>41</v>
      </c>
    </row>
    <row r="4" spans="1:4" ht="12.75">
      <c r="A4" s="8" t="s">
        <v>0</v>
      </c>
      <c r="C4" s="17" t="s">
        <v>34</v>
      </c>
      <c r="D4" s="18" t="s">
        <v>34</v>
      </c>
    </row>
    <row r="5" spans="1:3" ht="12.75">
      <c r="A5" s="3" t="s">
        <v>83</v>
      </c>
      <c r="C5" s="50">
        <v>-9.5</v>
      </c>
    </row>
    <row r="6" ht="12.75">
      <c r="A6" s="8" t="s">
        <v>1</v>
      </c>
    </row>
    <row r="7" spans="1:3" ht="12.75">
      <c r="A7" t="s">
        <v>2</v>
      </c>
      <c r="C7" s="15">
        <v>51925.5685</v>
      </c>
    </row>
    <row r="8" spans="1:4" ht="12.75">
      <c r="A8" t="s">
        <v>3</v>
      </c>
      <c r="C8">
        <v>1.111665</v>
      </c>
      <c r="D8" s="19" t="s">
        <v>35</v>
      </c>
    </row>
    <row r="9" ht="12.75">
      <c r="C9" s="20" t="s">
        <v>36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INTERCEPT(G21:G998,$F21:$F998)</f>
        <v>-0.0018176192730180215</v>
      </c>
      <c r="D11" s="6"/>
    </row>
    <row r="12" spans="1:6" ht="12.75">
      <c r="A12" t="s">
        <v>17</v>
      </c>
      <c r="C12">
        <f>SLOPE(G21:G998,$F21:$F998)</f>
        <v>-4.6218462094579387E-07</v>
      </c>
      <c r="D12" s="6"/>
      <c r="E12" s="43" t="s">
        <v>77</v>
      </c>
      <c r="F12" s="44">
        <v>1</v>
      </c>
    </row>
    <row r="13" spans="1:6" ht="12.75">
      <c r="A13" t="s">
        <v>20</v>
      </c>
      <c r="C13" s="6" t="s">
        <v>14</v>
      </c>
      <c r="D13" s="6"/>
      <c r="E13" s="43" t="s">
        <v>78</v>
      </c>
      <c r="F13" s="45">
        <f ca="1">NOW()+15018.5+$C$5/24</f>
        <v>59900.764292824075</v>
      </c>
    </row>
    <row r="14" spans="1:6" ht="12.75">
      <c r="A14" t="s">
        <v>25</v>
      </c>
      <c r="E14" s="43" t="s">
        <v>79</v>
      </c>
      <c r="F14" s="46">
        <f>ROUND(2*(F13-$C$7)/$C$8,0)/2+F12</f>
        <v>7175</v>
      </c>
    </row>
    <row r="15" spans="1:6" ht="12.75">
      <c r="A15" s="3" t="s">
        <v>18</v>
      </c>
      <c r="C15" s="21">
        <f>(C7+C11)+(C8+C12)*INT(MAX(F21:F3533))</f>
        <v>53408.52717582644</v>
      </c>
      <c r="E15" s="43" t="s">
        <v>80</v>
      </c>
      <c r="F15" s="47">
        <f>ROUND(2*(F13-$C$15)/$C$16,0)/2+F12</f>
        <v>5841</v>
      </c>
    </row>
    <row r="16" spans="1:6" ht="12.75">
      <c r="A16" s="8" t="s">
        <v>4</v>
      </c>
      <c r="C16" s="22">
        <f>+C8+C12</f>
        <v>1.1116645378153789</v>
      </c>
      <c r="E16" s="43" t="s">
        <v>81</v>
      </c>
      <c r="F16" s="48">
        <f>+$C$15+$C$16*F15-15018.5-$C$5/24</f>
        <v>44883.65557453941</v>
      </c>
    </row>
    <row r="17" spans="1:6" ht="13.5" thickBot="1">
      <c r="A17" s="23" t="s">
        <v>39</v>
      </c>
      <c r="C17">
        <f>COUNT(C21:C2191)</f>
        <v>6</v>
      </c>
      <c r="F17" s="49" t="s">
        <v>82</v>
      </c>
    </row>
    <row r="18" spans="1:4" ht="12.75">
      <c r="A18" s="8" t="s">
        <v>5</v>
      </c>
      <c r="C18" s="4">
        <f>+C15</f>
        <v>53408.52717582644</v>
      </c>
      <c r="D18" s="5">
        <f>+C16</f>
        <v>1.1116645378153789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s="13" t="s">
        <v>33</v>
      </c>
      <c r="B21" s="14"/>
      <c r="C21" s="15">
        <v>51925.5685</v>
      </c>
      <c r="D21" s="15">
        <v>0.0036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-0.0018176192730180215</v>
      </c>
      <c r="Q21" s="2">
        <f aca="true" t="shared" si="4" ref="Q21:Q26">+C21-15018.5</f>
        <v>36907.0685</v>
      </c>
    </row>
    <row r="22" spans="1:17" ht="12.75">
      <c r="A22" s="16" t="s">
        <v>32</v>
      </c>
      <c r="B22" s="11"/>
      <c r="C22" s="12">
        <v>52680.3852</v>
      </c>
      <c r="D22" s="12">
        <v>0.0023</v>
      </c>
      <c r="E22">
        <f t="shared" si="0"/>
        <v>678.9965502197117</v>
      </c>
      <c r="F22">
        <f t="shared" si="1"/>
        <v>679</v>
      </c>
      <c r="G22">
        <f t="shared" si="2"/>
        <v>-0.0038350000031641684</v>
      </c>
      <c r="I22">
        <f>+G22</f>
        <v>-0.0038350000031641684</v>
      </c>
      <c r="O22">
        <f t="shared" si="3"/>
        <v>-0.0021314426306402157</v>
      </c>
      <c r="Q22" s="2">
        <f t="shared" si="4"/>
        <v>37661.8852</v>
      </c>
    </row>
    <row r="23" spans="1:17" ht="12.75">
      <c r="A23" s="13" t="s">
        <v>33</v>
      </c>
      <c r="B23" s="14"/>
      <c r="C23" s="15">
        <v>53386.2962</v>
      </c>
      <c r="D23" s="15">
        <v>0.0013</v>
      </c>
      <c r="E23">
        <f t="shared" si="0"/>
        <v>1313.9999010493232</v>
      </c>
      <c r="F23">
        <f t="shared" si="1"/>
        <v>1314</v>
      </c>
      <c r="G23">
        <f t="shared" si="2"/>
        <v>-0.00011000000085914508</v>
      </c>
      <c r="I23">
        <f>+G23</f>
        <v>-0.00011000000085914508</v>
      </c>
      <c r="O23">
        <f t="shared" si="3"/>
        <v>-0.0024249298649407945</v>
      </c>
      <c r="Q23" s="2">
        <f t="shared" si="4"/>
        <v>38367.7962</v>
      </c>
    </row>
    <row r="24" spans="1:17" ht="12.75">
      <c r="A24" s="13" t="s">
        <v>33</v>
      </c>
      <c r="B24" s="14"/>
      <c r="C24" s="15">
        <v>53387.3964</v>
      </c>
      <c r="D24" s="15">
        <v>0.0021</v>
      </c>
      <c r="E24">
        <f t="shared" si="0"/>
        <v>1314.9895876905334</v>
      </c>
      <c r="F24">
        <f t="shared" si="1"/>
        <v>1315</v>
      </c>
      <c r="G24">
        <f t="shared" si="2"/>
        <v>-0.011575000004086178</v>
      </c>
      <c r="I24">
        <f>+G24</f>
        <v>-0.011575000004086178</v>
      </c>
      <c r="O24">
        <f t="shared" si="3"/>
        <v>-0.0024253920495617403</v>
      </c>
      <c r="Q24" s="2">
        <f t="shared" si="4"/>
        <v>38368.8964</v>
      </c>
    </row>
    <row r="25" spans="1:17" ht="12.75">
      <c r="A25" s="13" t="s">
        <v>33</v>
      </c>
      <c r="B25" s="14"/>
      <c r="C25" s="15">
        <v>53408.5357</v>
      </c>
      <c r="D25" s="15">
        <v>0.0009</v>
      </c>
      <c r="E25">
        <f t="shared" si="0"/>
        <v>1334.0054782690822</v>
      </c>
      <c r="F25">
        <f t="shared" si="1"/>
        <v>1334</v>
      </c>
      <c r="G25">
        <f t="shared" si="2"/>
        <v>0.0060900000025867485</v>
      </c>
      <c r="I25">
        <f>+G25</f>
        <v>0.0060900000025867485</v>
      </c>
      <c r="O25">
        <f t="shared" si="3"/>
        <v>-0.0024341735573597104</v>
      </c>
      <c r="Q25" s="2">
        <f t="shared" si="4"/>
        <v>38390.0357</v>
      </c>
    </row>
    <row r="26" spans="1:17" ht="12.75">
      <c r="A26" s="40" t="s">
        <v>63</v>
      </c>
      <c r="B26" s="42" t="s">
        <v>76</v>
      </c>
      <c r="C26" s="41">
        <v>52680.3851</v>
      </c>
      <c r="D26" s="41" t="s">
        <v>52</v>
      </c>
      <c r="E26">
        <f t="shared" si="0"/>
        <v>678.9964602645566</v>
      </c>
      <c r="F26">
        <f t="shared" si="1"/>
        <v>679</v>
      </c>
      <c r="G26">
        <f t="shared" si="2"/>
        <v>-0.003935000000637956</v>
      </c>
      <c r="J26">
        <f>+G26</f>
        <v>-0.003935000000637956</v>
      </c>
      <c r="O26">
        <f t="shared" si="3"/>
        <v>-0.0021314426306402157</v>
      </c>
      <c r="Q26" s="2">
        <f t="shared" si="4"/>
        <v>37661.8851</v>
      </c>
    </row>
    <row r="27" spans="3:17" ht="12.75">
      <c r="C27" s="15"/>
      <c r="D27" s="15"/>
      <c r="Q27" s="2"/>
    </row>
    <row r="28" spans="3:17" ht="12.75">
      <c r="C28" s="15"/>
      <c r="D28" s="15"/>
      <c r="Q28" s="2"/>
    </row>
    <row r="29" spans="3:17" ht="12.75">
      <c r="C29" s="15"/>
      <c r="D29" s="15"/>
      <c r="Q29" s="2"/>
    </row>
    <row r="30" spans="3:17" ht="12.75">
      <c r="C30" s="15"/>
      <c r="D30" s="15"/>
      <c r="Q30" s="2"/>
    </row>
    <row r="31" spans="3:17" ht="12.75">
      <c r="C31" s="15"/>
      <c r="D31" s="15"/>
      <c r="Q31" s="2"/>
    </row>
    <row r="32" spans="3:17" ht="12.75">
      <c r="C32" s="15"/>
      <c r="D32" s="15"/>
      <c r="Q32" s="2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5"/>
  <sheetViews>
    <sheetView zoomScalePageLayoutView="0" workbookViewId="0" topLeftCell="A1">
      <selection activeCell="A15" sqref="A15:D15"/>
    </sheetView>
  </sheetViews>
  <sheetFormatPr defaultColWidth="9.140625" defaultRowHeight="12.75"/>
  <cols>
    <col min="1" max="1" width="19.7109375" style="15" customWidth="1"/>
    <col min="2" max="2" width="4.421875" style="27" customWidth="1"/>
    <col min="3" max="3" width="12.7109375" style="15" customWidth="1"/>
    <col min="4" max="4" width="5.421875" style="27" customWidth="1"/>
    <col min="5" max="5" width="14.8515625" style="27" customWidth="1"/>
    <col min="6" max="6" width="9.140625" style="27" customWidth="1"/>
    <col min="7" max="7" width="12.00390625" style="27" customWidth="1"/>
    <col min="8" max="8" width="14.140625" style="15" customWidth="1"/>
    <col min="9" max="9" width="22.57421875" style="27" customWidth="1"/>
    <col min="10" max="10" width="25.140625" style="27" customWidth="1"/>
    <col min="11" max="11" width="15.7109375" style="27" customWidth="1"/>
    <col min="12" max="12" width="14.140625" style="27" customWidth="1"/>
    <col min="13" max="13" width="9.57421875" style="27" customWidth="1"/>
    <col min="14" max="14" width="14.140625" style="27" customWidth="1"/>
    <col min="15" max="15" width="23.421875" style="27" customWidth="1"/>
    <col min="16" max="16" width="16.57421875" style="27" customWidth="1"/>
    <col min="17" max="17" width="41.00390625" style="27" customWidth="1"/>
    <col min="18" max="16384" width="9.140625" style="27" customWidth="1"/>
  </cols>
  <sheetData>
    <row r="1" spans="1:10" ht="15.75">
      <c r="A1" s="26" t="s">
        <v>42</v>
      </c>
      <c r="I1" s="28" t="s">
        <v>43</v>
      </c>
      <c r="J1" s="29" t="s">
        <v>44</v>
      </c>
    </row>
    <row r="2" spans="9:10" ht="12.75">
      <c r="I2" s="30" t="s">
        <v>45</v>
      </c>
      <c r="J2" s="31" t="s">
        <v>46</v>
      </c>
    </row>
    <row r="3" spans="1:10" ht="12.75">
      <c r="A3" s="32" t="s">
        <v>47</v>
      </c>
      <c r="I3" s="30" t="s">
        <v>48</v>
      </c>
      <c r="J3" s="31" t="s">
        <v>49</v>
      </c>
    </row>
    <row r="4" spans="9:10" ht="12.75">
      <c r="I4" s="30" t="s">
        <v>50</v>
      </c>
      <c r="J4" s="31" t="s">
        <v>49</v>
      </c>
    </row>
    <row r="5" spans="9:10" ht="13.5" thickBot="1">
      <c r="I5" s="33" t="s">
        <v>51</v>
      </c>
      <c r="J5" s="34" t="s">
        <v>52</v>
      </c>
    </row>
    <row r="10" ht="13.5" thickBot="1"/>
    <row r="11" spans="1:16" ht="12.75" customHeight="1" thickBot="1">
      <c r="A11" s="15" t="str">
        <f>P11</f>
        <v>BAVM 173 </v>
      </c>
      <c r="B11" s="6" t="str">
        <f>IF(H11=INT(H11),"I","II")</f>
        <v>I</v>
      </c>
      <c r="C11" s="15">
        <f>1*G11</f>
        <v>51925.5685</v>
      </c>
      <c r="D11" s="27" t="str">
        <f>VLOOKUP(F11,I$1:J$5,2,FALSE)</f>
        <v>vis</v>
      </c>
      <c r="E11" s="35">
        <f>VLOOKUP(C11,A!C$21:E$973,3,FALSE)</f>
        <v>0</v>
      </c>
      <c r="F11" s="6" t="s">
        <v>51</v>
      </c>
      <c r="G11" s="27" t="str">
        <f>MID(I11,3,LEN(I11)-3)</f>
        <v>51925.5685</v>
      </c>
      <c r="H11" s="15">
        <f>1*K11</f>
        <v>0</v>
      </c>
      <c r="I11" s="36" t="s">
        <v>53</v>
      </c>
      <c r="J11" s="37" t="s">
        <v>54</v>
      </c>
      <c r="K11" s="36">
        <v>0</v>
      </c>
      <c r="L11" s="36" t="s">
        <v>55</v>
      </c>
      <c r="M11" s="37" t="s">
        <v>56</v>
      </c>
      <c r="N11" s="37" t="s">
        <v>57</v>
      </c>
      <c r="O11" s="38" t="s">
        <v>58</v>
      </c>
      <c r="P11" s="39" t="s">
        <v>59</v>
      </c>
    </row>
    <row r="12" spans="1:16" ht="12.75" customHeight="1" thickBot="1">
      <c r="A12" s="15" t="str">
        <f>P12</f>
        <v>BAVM 173 </v>
      </c>
      <c r="B12" s="6" t="str">
        <f>IF(H12=INT(H12),"I","II")</f>
        <v>I</v>
      </c>
      <c r="C12" s="15">
        <f>1*G12</f>
        <v>53386.2962</v>
      </c>
      <c r="D12" s="27" t="str">
        <f>VLOOKUP(F12,I$1:J$5,2,FALSE)</f>
        <v>vis</v>
      </c>
      <c r="E12" s="35">
        <f>VLOOKUP(C12,A!C$21:E$973,3,FALSE)</f>
        <v>1313.9999010493232</v>
      </c>
      <c r="F12" s="6" t="s">
        <v>51</v>
      </c>
      <c r="G12" s="27" t="str">
        <f>MID(I12,3,LEN(I12)-3)</f>
        <v>53386.2962</v>
      </c>
      <c r="H12" s="15">
        <f>1*K12</f>
        <v>1461</v>
      </c>
      <c r="I12" s="36" t="s">
        <v>64</v>
      </c>
      <c r="J12" s="37" t="s">
        <v>65</v>
      </c>
      <c r="K12" s="36">
        <v>1461</v>
      </c>
      <c r="L12" s="36" t="s">
        <v>66</v>
      </c>
      <c r="M12" s="37" t="s">
        <v>56</v>
      </c>
      <c r="N12" s="37" t="s">
        <v>67</v>
      </c>
      <c r="O12" s="38" t="s">
        <v>58</v>
      </c>
      <c r="P12" s="39" t="s">
        <v>59</v>
      </c>
    </row>
    <row r="13" spans="1:16" ht="12.75" customHeight="1" thickBot="1">
      <c r="A13" s="15" t="str">
        <f>P13</f>
        <v>BAVM 173 </v>
      </c>
      <c r="B13" s="6" t="str">
        <f>IF(H13=INT(H13),"I","II")</f>
        <v>I</v>
      </c>
      <c r="C13" s="15">
        <f>1*G13</f>
        <v>53387.3964</v>
      </c>
      <c r="D13" s="27" t="str">
        <f>VLOOKUP(F13,I$1:J$5,2,FALSE)</f>
        <v>vis</v>
      </c>
      <c r="E13" s="35">
        <f>VLOOKUP(C13,A!C$21:E$973,3,FALSE)</f>
        <v>1314.9895876905334</v>
      </c>
      <c r="F13" s="6" t="s">
        <v>51</v>
      </c>
      <c r="G13" s="27" t="str">
        <f>MID(I13,3,LEN(I13)-3)</f>
        <v>53387.3964</v>
      </c>
      <c r="H13" s="15">
        <f>1*K13</f>
        <v>1462</v>
      </c>
      <c r="I13" s="36" t="s">
        <v>68</v>
      </c>
      <c r="J13" s="37" t="s">
        <v>69</v>
      </c>
      <c r="K13" s="36" t="s">
        <v>70</v>
      </c>
      <c r="L13" s="36" t="s">
        <v>71</v>
      </c>
      <c r="M13" s="37" t="s">
        <v>56</v>
      </c>
      <c r="N13" s="37" t="s">
        <v>67</v>
      </c>
      <c r="O13" s="38" t="s">
        <v>58</v>
      </c>
      <c r="P13" s="39" t="s">
        <v>59</v>
      </c>
    </row>
    <row r="14" spans="1:16" ht="12.75" customHeight="1" thickBot="1">
      <c r="A14" s="15" t="str">
        <f>P14</f>
        <v>BAVM 173 </v>
      </c>
      <c r="B14" s="6" t="str">
        <f>IF(H14=INT(H14),"I","II")</f>
        <v>I</v>
      </c>
      <c r="C14" s="15">
        <f>1*G14</f>
        <v>53408.5357</v>
      </c>
      <c r="D14" s="27" t="str">
        <f>VLOOKUP(F14,I$1:J$5,2,FALSE)</f>
        <v>vis</v>
      </c>
      <c r="E14" s="35">
        <f>VLOOKUP(C14,A!C$21:E$973,3,FALSE)</f>
        <v>1334.0054782690822</v>
      </c>
      <c r="F14" s="6" t="s">
        <v>51</v>
      </c>
      <c r="G14" s="27" t="str">
        <f>MID(I14,3,LEN(I14)-3)</f>
        <v>53408.5357</v>
      </c>
      <c r="H14" s="15">
        <f>1*K14</f>
        <v>1483</v>
      </c>
      <c r="I14" s="36" t="s">
        <v>72</v>
      </c>
      <c r="J14" s="37" t="s">
        <v>73</v>
      </c>
      <c r="K14" s="36" t="s">
        <v>74</v>
      </c>
      <c r="L14" s="36" t="s">
        <v>75</v>
      </c>
      <c r="M14" s="37" t="s">
        <v>56</v>
      </c>
      <c r="N14" s="37" t="s">
        <v>67</v>
      </c>
      <c r="O14" s="38" t="s">
        <v>58</v>
      </c>
      <c r="P14" s="39" t="s">
        <v>59</v>
      </c>
    </row>
    <row r="15" spans="1:16" ht="12.75" customHeight="1" thickBot="1">
      <c r="A15" s="15" t="str">
        <f>P15</f>
        <v>BAVM 158 </v>
      </c>
      <c r="B15" s="6" t="str">
        <f>IF(H15=INT(H15),"I","II")</f>
        <v>I</v>
      </c>
      <c r="C15" s="15">
        <f>1*G15</f>
        <v>52680.3851</v>
      </c>
      <c r="D15" s="27" t="str">
        <f>VLOOKUP(F15,I$1:J$5,2,FALSE)</f>
        <v>vis</v>
      </c>
      <c r="E15" s="35">
        <f>VLOOKUP(C15,A!C$21:E$973,3,FALSE)</f>
        <v>678.9964602645566</v>
      </c>
      <c r="F15" s="6" t="s">
        <v>51</v>
      </c>
      <c r="G15" s="27" t="str">
        <f>MID(I15,3,LEN(I15)-3)</f>
        <v>52680.3851</v>
      </c>
      <c r="H15" s="15">
        <f>1*K15</f>
        <v>755</v>
      </c>
      <c r="I15" s="36" t="s">
        <v>60</v>
      </c>
      <c r="J15" s="37" t="s">
        <v>61</v>
      </c>
      <c r="K15" s="36">
        <v>755</v>
      </c>
      <c r="L15" s="36" t="s">
        <v>62</v>
      </c>
      <c r="M15" s="37" t="s">
        <v>56</v>
      </c>
      <c r="N15" s="37" t="s">
        <v>57</v>
      </c>
      <c r="O15" s="38" t="s">
        <v>58</v>
      </c>
      <c r="P15" s="39" t="s">
        <v>63</v>
      </c>
    </row>
    <row r="16" spans="2:6" ht="12.75">
      <c r="B16" s="6"/>
      <c r="E16" s="35"/>
      <c r="F16" s="6"/>
    </row>
    <row r="17" spans="2:6" ht="12.75">
      <c r="B17" s="6"/>
      <c r="E17" s="35"/>
      <c r="F17" s="6"/>
    </row>
    <row r="18" spans="2:6" ht="12.75">
      <c r="B18" s="6"/>
      <c r="E18" s="35"/>
      <c r="F18" s="6"/>
    </row>
    <row r="19" spans="2:6" ht="12.75">
      <c r="B19" s="6"/>
      <c r="E19" s="35"/>
      <c r="F19" s="6"/>
    </row>
    <row r="20" spans="2:6" ht="12.75">
      <c r="B20" s="6"/>
      <c r="E20" s="35"/>
      <c r="F20" s="6"/>
    </row>
    <row r="21" spans="2:6" ht="12.75">
      <c r="B21" s="6"/>
      <c r="E21" s="35"/>
      <c r="F21" s="6"/>
    </row>
    <row r="22" spans="2:6" ht="12.75">
      <c r="B22" s="6"/>
      <c r="E22" s="35"/>
      <c r="F22" s="6"/>
    </row>
    <row r="23" spans="2:6" ht="12.75">
      <c r="B23" s="6"/>
      <c r="E23" s="35"/>
      <c r="F23" s="6"/>
    </row>
    <row r="24" spans="2:6" ht="12.75">
      <c r="B24" s="6"/>
      <c r="E24" s="35"/>
      <c r="F24" s="6"/>
    </row>
    <row r="25" spans="2:6" ht="12.75">
      <c r="B25" s="6"/>
      <c r="E25" s="35"/>
      <c r="F25" s="6"/>
    </row>
    <row r="26" spans="2:6" ht="12.75">
      <c r="B26" s="6"/>
      <c r="E26" s="35"/>
      <c r="F26" s="6"/>
    </row>
    <row r="27" spans="2:6" ht="12.75">
      <c r="B27" s="6"/>
      <c r="E27" s="35"/>
      <c r="F27" s="6"/>
    </row>
    <row r="28" spans="2:6" ht="12.75">
      <c r="B28" s="6"/>
      <c r="E28" s="35"/>
      <c r="F28" s="6"/>
    </row>
    <row r="29" spans="2:6" ht="12.75">
      <c r="B29" s="6"/>
      <c r="E29" s="35"/>
      <c r="F29" s="6"/>
    </row>
    <row r="30" spans="2:6" ht="12.75">
      <c r="B30" s="6"/>
      <c r="E30" s="35"/>
      <c r="F30" s="6"/>
    </row>
    <row r="31" spans="2:6" ht="12.75">
      <c r="B31" s="6"/>
      <c r="E31" s="35"/>
      <c r="F31" s="6"/>
    </row>
    <row r="32" spans="2:6" ht="12.75">
      <c r="B32" s="6"/>
      <c r="E32" s="35"/>
      <c r="F32" s="6"/>
    </row>
    <row r="33" spans="2:6" ht="12.75">
      <c r="B33" s="6"/>
      <c r="E33" s="35"/>
      <c r="F33" s="6"/>
    </row>
    <row r="34" spans="2:6" ht="12.75">
      <c r="B34" s="6"/>
      <c r="E34" s="35"/>
      <c r="F34" s="6"/>
    </row>
    <row r="35" spans="2:6" ht="12.75">
      <c r="B35" s="6"/>
      <c r="E35" s="35"/>
      <c r="F35" s="6"/>
    </row>
    <row r="36" spans="2:6" ht="12.75">
      <c r="B36" s="6"/>
      <c r="E36" s="35"/>
      <c r="F36" s="6"/>
    </row>
    <row r="37" spans="2:6" ht="12.75">
      <c r="B37" s="6"/>
      <c r="E37" s="35"/>
      <c r="F37" s="6"/>
    </row>
    <row r="38" spans="2:6" ht="12.75">
      <c r="B38" s="6"/>
      <c r="E38" s="35"/>
      <c r="F38" s="6"/>
    </row>
    <row r="39" spans="2:6" ht="12.75">
      <c r="B39" s="6"/>
      <c r="E39" s="35"/>
      <c r="F39" s="6"/>
    </row>
    <row r="40" spans="2:6" ht="12.75">
      <c r="B40" s="6"/>
      <c r="E40" s="35"/>
      <c r="F40" s="6"/>
    </row>
    <row r="41" spans="2:6" ht="12.75">
      <c r="B41" s="6"/>
      <c r="E41" s="35"/>
      <c r="F41" s="6"/>
    </row>
    <row r="42" spans="2:6" ht="12.75">
      <c r="B42" s="6"/>
      <c r="E42" s="35"/>
      <c r="F42" s="6"/>
    </row>
    <row r="43" spans="2:6" ht="12.75">
      <c r="B43" s="6"/>
      <c r="E43" s="35"/>
      <c r="F43" s="6"/>
    </row>
    <row r="44" spans="2:6" ht="12.75">
      <c r="B44" s="6"/>
      <c r="E44" s="35"/>
      <c r="F44" s="6"/>
    </row>
    <row r="45" spans="2:6" ht="12.75">
      <c r="B45" s="6"/>
      <c r="E45" s="35"/>
      <c r="F45" s="6"/>
    </row>
    <row r="46" spans="2:6" ht="12.75">
      <c r="B46" s="6"/>
      <c r="E46" s="35"/>
      <c r="F46" s="6"/>
    </row>
    <row r="47" spans="2:6" ht="12.75">
      <c r="B47" s="6"/>
      <c r="E47" s="35"/>
      <c r="F47" s="6"/>
    </row>
    <row r="48" spans="2:6" ht="12.75">
      <c r="B48" s="6"/>
      <c r="E48" s="35"/>
      <c r="F48" s="6"/>
    </row>
    <row r="49" spans="2:6" ht="12.75">
      <c r="B49" s="6"/>
      <c r="E49" s="35"/>
      <c r="F49" s="6"/>
    </row>
    <row r="50" spans="2:6" ht="12.75">
      <c r="B50" s="6"/>
      <c r="E50" s="35"/>
      <c r="F50" s="6"/>
    </row>
    <row r="51" spans="2:6" ht="12.75">
      <c r="B51" s="6"/>
      <c r="E51" s="35"/>
      <c r="F51" s="6"/>
    </row>
    <row r="52" spans="2:6" ht="12.75">
      <c r="B52" s="6"/>
      <c r="E52" s="35"/>
      <c r="F52" s="6"/>
    </row>
    <row r="53" spans="2:6" ht="12.75">
      <c r="B53" s="6"/>
      <c r="E53" s="35"/>
      <c r="F53" s="6"/>
    </row>
    <row r="54" spans="2:6" ht="12.75">
      <c r="B54" s="6"/>
      <c r="E54" s="35"/>
      <c r="F54" s="6"/>
    </row>
    <row r="55" spans="2:6" ht="12.75">
      <c r="B55" s="6"/>
      <c r="E55" s="35"/>
      <c r="F55" s="6"/>
    </row>
    <row r="56" spans="2:6" ht="12.75">
      <c r="B56" s="6"/>
      <c r="E56" s="35"/>
      <c r="F56" s="6"/>
    </row>
    <row r="57" spans="2:6" ht="12.75">
      <c r="B57" s="6"/>
      <c r="E57" s="35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</sheetData>
  <sheetProtection/>
  <hyperlinks>
    <hyperlink ref="P11" r:id="rId1" display="http://www.bav-astro.de/sfs/BAVM_link.php?BAVMnr=173"/>
    <hyperlink ref="P15" r:id="rId2" display="http://www.bav-astro.de/sfs/BAVM_link.php?BAVMnr=158"/>
    <hyperlink ref="P12" r:id="rId3" display="http://www.bav-astro.de/sfs/BAVM_link.php?BAVMnr=173"/>
    <hyperlink ref="P13" r:id="rId4" display="http://www.bav-astro.de/sfs/BAVM_link.php?BAVMnr=173"/>
    <hyperlink ref="P14" r:id="rId5" display="http://www.bav-astro.de/sfs/BAVM_link.php?BAVMnr=17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