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107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<sst xmlns="http://schemas.openxmlformats.org/spreadsheetml/2006/main" count="59" uniqueCount="52">
  <si>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VSB-66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</si>
  <si>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</si>
  <si>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</si>
  <si>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</si>
  <si>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</si>
  <si>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</si>
  <si>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</si>
  <si>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</si>
  <si>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</si>
  <si>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</si>
  <si>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</si>
  <si>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</si>
  <si>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</si>
  <si>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</si>
  <si>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</si>
  <si>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</si>
  <si>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</si>
  <si>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</si>
  <si>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</si>
  <si>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</si>
  <si>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</si>
  <si>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</si>
  <si>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</si>
  <si>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</si>
  <si>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</si>
  <si>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</si>
  <si>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</si>
  <si>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</si>
  <si>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</si>
  <si>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</si>
  <si>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</si>
  <si>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</si>
  <si>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</si>
  <si>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</si>
  <si>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</si>
  <si>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</si>
  <si>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</si>
  <si>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</si>
  <si>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</si>
  <si>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</si>
  <si>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</si>
  <si>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</si>
  <si>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</si>
  <si>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</si>
  <si>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MT Gem</t>
  </si>
  <si>
    <t>2019G</t>
  </si>
  <si>
    <t>G-</t>
  </si>
  <si>
    <t>EA</t>
  </si>
  <si>
    <t>pr_</t>
  </si>
  <si>
    <t>MT Gem / GSC na</t>
  </si>
  <si>
    <t>VSX</t>
  </si>
  <si>
    <t>GCVS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</si>
</sst>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24" borderId="5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24" borderId="5" xfId="0" applyFont="1" applyFill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5" xfId="0" applyFont="1" applyFill="1" applyBorder="1" applyAlignment="1">
      <alignment horizontal="left" vertical="center"/>
    </xf>
    <xf numFmtId="0" fontId="31" fillId="0" borderId="0" xfId="61" applyFont="1" applyAlignment="1">
      <alignment horizontal="left"/>
      <protection/>
    </xf>
    <xf numFmtId="0" fontId="31" fillId="0" borderId="0" xfId="6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MT Gem - O-C Diagr.</a:t>
            </a:r>
          </a:p>
        </c:rich>
      </c:tx>
      <c:layout>
        <c:manualLayout>
          <c:xMode val="factor"/>
          <c:yMode val="factor"/>
          <c:x val="0.006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1701293"/>
        <c:axId val="62658454"/>
      </c:scatterChart>
      <c:valAx>
        <c:axId val="51701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8454"/>
        <c:crosses val="autoZero"/>
        <c:crossBetween val="midCat"/>
        <c:dispUnits/>
      </c:valAx>
      <c:valAx>
        <c:axId val="62658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129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49</v>
      </c>
      <c r="F1" s="31" t="s">
        <v>44</v>
      </c>
      <c r="G1" s="32" t="s">
        <v>45</v>
      </c>
      <c r="H1" s="33"/>
      <c r="I1" s="34" t="s">
        <v>46</v>
      </c>
      <c r="J1" s="35" t="s">
        <v>44</v>
      </c>
      <c r="K1" s="36">
        <v>6.5821</v>
      </c>
      <c r="L1" s="37">
        <v>18.2426</v>
      </c>
      <c r="M1" s="38">
        <v>57704.49099999992</v>
      </c>
      <c r="N1" s="38">
        <v>2.04605</v>
      </c>
      <c r="O1" s="41" t="s">
        <v>47</v>
      </c>
      <c r="P1">
        <v>13.9</v>
      </c>
      <c r="Q1">
        <v>16.7</v>
      </c>
      <c r="R1" t="s">
        <v>48</v>
      </c>
      <c r="S1" t="s">
        <v>15</v>
      </c>
    </row>
    <row r="2" spans="1:4" ht="12.75">
      <c r="A2" t="s">
        <v>25</v>
      </c>
      <c r="B2" t="s">
        <v>47</v>
      </c>
      <c r="C2" s="30"/>
      <c r="D2" s="3"/>
    </row>
    <row r="3" ht="13.5" thickBot="1"/>
    <row r="4" spans="1:4" ht="14.25" thickBot="1" thickTop="1">
      <c r="A4" s="5" t="s">
        <v>2</v>
      </c>
      <c r="C4" s="27">
        <v>30780.3</v>
      </c>
      <c r="D4" s="28" t="s">
        <v>39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30780.3</v>
      </c>
      <c r="D7" s="29" t="s">
        <v>51</v>
      </c>
    </row>
    <row r="8" spans="1:4" ht="12.75">
      <c r="A8" t="s">
        <v>5</v>
      </c>
      <c r="C8" s="8">
        <v>2.04605</v>
      </c>
      <c r="D8" s="29" t="s">
        <v>50</v>
      </c>
    </row>
    <row r="9" spans="1:5" ht="12.75">
      <c r="A9" s="24" t="s">
        <v>34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INTERCEPT(INDIRECT($E$9):G992,INDIRECT($D$9):F992)</f>
        <v>4.209398026128186E-05</v>
      </c>
      <c r="D11" s="3"/>
      <c r="E11" s="10"/>
    </row>
    <row r="12" spans="1:5" ht="12.75">
      <c r="A12" s="10" t="s">
        <v>18</v>
      </c>
      <c r="B12" s="10"/>
      <c r="C12" s="21">
        <f ca="1">SLOPE(INDIRECT($E$9):G992,INDIRECT($D$9):F992)</f>
        <v>1.64433031062206E-05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58142.34658838642</v>
      </c>
      <c r="E15" s="14" t="s">
        <v>36</v>
      </c>
      <c r="F15" s="39">
        <v>1</v>
      </c>
    </row>
    <row r="16" spans="1:6" ht="12.75">
      <c r="A16" s="16" t="s">
        <v>6</v>
      </c>
      <c r="B16" s="10"/>
      <c r="C16" s="17">
        <f>+C8+C12</f>
        <v>2.0460664433031064</v>
      </c>
      <c r="E16" s="14" t="s">
        <v>32</v>
      </c>
      <c r="F16" s="40">
        <f ca="1">NOW()+15018.5+$C$5/24</f>
        <v>59900.764705208334</v>
      </c>
    </row>
    <row r="17" spans="1:6" ht="13.5" thickBot="1">
      <c r="A17" s="14" t="s">
        <v>29</v>
      </c>
      <c r="B17" s="10"/>
      <c r="C17" s="10">
        <f>COUNT(C21:C2191)</f>
        <v>3</v>
      </c>
      <c r="E17" s="14" t="s">
        <v>37</v>
      </c>
      <c r="F17" s="15">
        <f>ROUND(2*(F16-$C$7)/$C$8,0)/2+F15</f>
        <v>14233.5</v>
      </c>
    </row>
    <row r="18" spans="1:6" ht="14.25" thickBot="1" thickTop="1">
      <c r="A18" s="16" t="s">
        <v>7</v>
      </c>
      <c r="B18" s="10"/>
      <c r="C18" s="19">
        <f>+C15</f>
        <v>58142.34658838642</v>
      </c>
      <c r="D18" s="20">
        <f>+C16</f>
        <v>2.0460664433031064</v>
      </c>
      <c r="E18" s="14" t="s">
        <v>38</v>
      </c>
      <c r="F18" s="23">
        <f>ROUND(2*(F16-$C$15)/$C$16,0)/2+F15</f>
        <v>860.5</v>
      </c>
    </row>
    <row r="19" spans="5:6" ht="13.5" thickTop="1">
      <c r="E19" s="14" t="s">
        <v>33</v>
      </c>
      <c r="F19" s="18">
        <f>+$C$15+$C$16*F18-15018.5-$C$5/24</f>
        <v>44884.88259618208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17" ht="12.75">
      <c r="A21" t="s">
        <v>51</v>
      </c>
      <c r="C21" s="8">
        <v>30780.3</v>
      </c>
      <c r="D21" s="8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4.209398026128186E-05</v>
      </c>
      <c r="Q21" s="2">
        <f>+C21-15018.5</f>
        <v>15761.8</v>
      </c>
    </row>
    <row r="22" spans="1:17" ht="12.75">
      <c r="A22" t="s">
        <v>50</v>
      </c>
      <c r="C22" s="8">
        <v>57704.49099999992</v>
      </c>
      <c r="D22" s="8" t="s">
        <v>15</v>
      </c>
      <c r="E22">
        <f>+(C22-C$7)/C$8</f>
        <v>13159.107059944732</v>
      </c>
      <c r="F22">
        <f>ROUND(2*E22,0)/2</f>
        <v>13159</v>
      </c>
      <c r="G22">
        <f>+C22-(C$7+F22*C$8)</f>
        <v>0.2190499999196618</v>
      </c>
      <c r="I22">
        <f>+G22</f>
        <v>0.2190499999196618</v>
      </c>
      <c r="O22">
        <f>+C$11+C$12*$F22</f>
        <v>0.21641951955501815</v>
      </c>
      <c r="Q22" s="2">
        <f>+C22-15018.5</f>
        <v>42685.99099999992</v>
      </c>
    </row>
    <row r="23" spans="1:17" ht="12.75">
      <c r="A23" s="42" t="s">
        <v>0</v>
      </c>
      <c r="B23" s="43" t="s">
        <v>1</v>
      </c>
      <c r="C23" s="42">
        <v>58142.34400000004</v>
      </c>
      <c r="D23" s="42" t="s">
        <v>15</v>
      </c>
      <c r="E23">
        <f>+(C23-C$7)/C$8</f>
        <v>13373.106229075554</v>
      </c>
      <c r="F23">
        <f>ROUND(2*E23,0)/2</f>
        <v>13373</v>
      </c>
      <c r="G23">
        <f>+C23-(C$7+F23*C$8)</f>
        <v>0.21735000003536697</v>
      </c>
      <c r="I23">
        <f>+G23</f>
        <v>0.21735000003536697</v>
      </c>
      <c r="O23">
        <f>+C$11+C$12*$F23</f>
        <v>0.21993838641974933</v>
      </c>
      <c r="Q23" s="2">
        <f>+C23-15018.5</f>
        <v>43123.84400000004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4193" r:id="rId1" display="http://vsolj.cetus-net.org/bulletin.html"/>
    <hyperlink ref="H64186" r:id="rId2" display="https://www.aavso.org/ejaavso"/>
    <hyperlink ref="I64193" r:id="rId3" display="http://vsolj.cetus-net.org/bulletin.html"/>
    <hyperlink ref="AQ57844" r:id="rId4" display="http://cdsbib.u-strasbg.fr/cgi-bin/cdsbib?1990RMxAA..21..381G"/>
    <hyperlink ref="H64190" r:id="rId5" display="https://www.aavso.org/ejaavso"/>
    <hyperlink ref="AP5208" r:id="rId6" display="http://cdsbib.u-strasbg.fr/cgi-bin/cdsbib?1990RMxAA..21..381G"/>
    <hyperlink ref="AP5211" r:id="rId7" display="http://cdsbib.u-strasbg.fr/cgi-bin/cdsbib?1990RMxAA..21..381G"/>
    <hyperlink ref="AP5209" r:id="rId8" display="http://cdsbib.u-strasbg.fr/cgi-bin/cdsbib?1990RMxAA..21..381G"/>
    <hyperlink ref="AP5193" r:id="rId9" display="http://cdsbib.u-strasbg.fr/cgi-bin/cdsbib?1990RMxAA..21..381G"/>
    <hyperlink ref="AQ5422" r:id="rId10" display="http://cdsbib.u-strasbg.fr/cgi-bin/cdsbib?1990RMxAA..21..381G"/>
    <hyperlink ref="AQ5426" r:id="rId11" display="http://cdsbib.u-strasbg.fr/cgi-bin/cdsbib?1990RMxAA..21..381G"/>
    <hyperlink ref="AQ65106" r:id="rId12" display="http://cdsbib.u-strasbg.fr/cgi-bin/cdsbib?1990RMxAA..21..381G"/>
    <hyperlink ref="I2314" r:id="rId13" display="http://vsolj.cetus-net.org/bulletin.html"/>
    <hyperlink ref="H2314" r:id="rId14" display="http://vsolj.cetus-net.org/bulletin.html"/>
    <hyperlink ref="AQ231" r:id="rId15" display="http://cdsbib.u-strasbg.fr/cgi-bin/cdsbib?1990RMxAA..21..381G"/>
    <hyperlink ref="AQ230" r:id="rId16" display="http://cdsbib.u-strasbg.fr/cgi-bin/cdsbib?1990RMxAA..21..381G"/>
    <hyperlink ref="AP3484" r:id="rId17" display="http://cdsbib.u-strasbg.fr/cgi-bin/cdsbib?1990RMxAA..21..381G"/>
    <hyperlink ref="AP3502" r:id="rId18" display="http://cdsbib.u-strasbg.fr/cgi-bin/cdsbib?1990RMxAA..21..381G"/>
    <hyperlink ref="AP3503" r:id="rId19" display="http://cdsbib.u-strasbg.fr/cgi-bin/cdsbib?1990RMxAA..21..381G"/>
    <hyperlink ref="AP3499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