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8385" windowHeight="1369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<sst xmlns="http://schemas.openxmlformats.org/spreadsheetml/2006/main" count="203" uniqueCount="139">
  <si>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</si>
  <si>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</si>
  <si>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</si>
  <si>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</si>
  <si>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</si>
  <si>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</si>
  <si>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</si>
  <si>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</si>
  <si>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</si>
  <si>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</si>
  <si>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</si>
  <si>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</si>
  <si>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</si>
  <si>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</si>
  <si>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</si>
  <si>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</si>
  <si>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</si>
  <si>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</si>
  <si>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</si>
  <si>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</si>
  <si>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</si>
  <si>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</si>
  <si>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</si>
  <si>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</si>
  <si>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</si>
  <si>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</si>
  <si>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</si>
  <si>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</si>
  <si>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</si>
  <si>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Bull.57</t>
  </si>
  <si>
    <t>B</t>
  </si>
  <si>
    <t>BBSAG Bull.58</t>
  </si>
  <si>
    <t>BBSAG</t>
  </si>
  <si>
    <t>IBVS 5263</t>
  </si>
  <si>
    <t>IBVS</t>
  </si>
  <si>
    <t># of data points:</t>
  </si>
  <si>
    <t>TZ Gem / na</t>
  </si>
  <si>
    <t>EA/SD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</si>
  <si>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</si>
  <si>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</si>
  <si>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</si>
  <si>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</si>
  <si>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</si>
  <si>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</si>
  <si>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</si>
  <si>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5761</t>
  </si>
  <si>
    <t>I</t>
  </si>
  <si>
    <t>Start of linear fit &gt;&gt;&gt;&gt;&gt;&gt;&gt;&gt;&gt;&gt;&gt;&gt;&gt;&gt;&gt;&gt;&gt;&gt;&gt;&gt;&gt;</t>
  </si>
  <si>
    <t>IBVS 5837</t>
  </si>
  <si>
    <t>IBVS 5874</t>
  </si>
  <si>
    <t>OEJV 0074</t>
  </si>
  <si>
    <t>OEJV</t>
  </si>
  <si>
    <t>Add cycle</t>
  </si>
  <si>
    <t>Old Cycle</t>
  </si>
  <si>
    <t>IBVS 5960</t>
  </si>
  <si>
    <t>IBVS 5992</t>
  </si>
  <si>
    <t>IBVS 6010</t>
  </si>
  <si>
    <t>IBVS 6029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</si>
  <si>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</si>
  <si>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</si>
  <si>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</si>
  <si>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</si>
  <si>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</si>
  <si>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</si>
  <si>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</si>
  <si>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</si>
  <si>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</si>
  <si>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</si>
  <si>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</si>
  <si>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2450047.6324 </t>
  </si>
  <si>
    <t> 26.11.1995 03:10 </t>
  </si>
  <si>
    <t> 0.0159 </t>
  </si>
  <si>
    <t>V </t>
  </si>
  <si>
    <t> A.Dedoch </t>
  </si>
  <si>
    <t> BRNO 32 </t>
  </si>
  <si>
    <t>2451193.5236 </t>
  </si>
  <si>
    <t> 15.01.1999 00:33 </t>
  </si>
  <si>
    <t> 0.0310 </t>
  </si>
  <si>
    <t>E </t>
  </si>
  <si>
    <t>?</t>
  </si>
  <si>
    <t> M.Zejda </t>
  </si>
  <si>
    <t>IBVS 5263 </t>
  </si>
  <si>
    <t>2451923.34071 </t>
  </si>
  <si>
    <t> 13.01.2001 20:10 </t>
  </si>
  <si>
    <t> 0.04408 </t>
  </si>
  <si>
    <t>C </t>
  </si>
  <si>
    <t>o</t>
  </si>
  <si>
    <t> J.Šafár </t>
  </si>
  <si>
    <t>OEJV 0074 </t>
  </si>
  <si>
    <t>2452282.377 </t>
  </si>
  <si>
    <t> 07.01.2002 21:02 </t>
  </si>
  <si>
    <t> 0.050 </t>
  </si>
  <si>
    <t> E.Blättler </t>
  </si>
  <si>
    <t> BBS 127 </t>
  </si>
  <si>
    <t>2453760.4599 </t>
  </si>
  <si>
    <t> 24.01.2006 23:02 </t>
  </si>
  <si>
    <t> 0.0705 </t>
  </si>
  <si>
    <t>-I</t>
  </si>
  <si>
    <t> P.Frank </t>
  </si>
  <si>
    <t>BAVM 178 </t>
  </si>
  <si>
    <t>2454092.6542 </t>
  </si>
  <si>
    <t> 23.12.2006 03:42 </t>
  </si>
  <si>
    <t>15257</t>
  </si>
  <si>
    <t> 0.0782 </t>
  </si>
  <si>
    <t> F.Agerer </t>
  </si>
  <si>
    <t>BAVM 183 </t>
  </si>
  <si>
    <t>2454505.3745 </t>
  </si>
  <si>
    <t> 08.02.2008 20:59 </t>
  </si>
  <si>
    <t>15503</t>
  </si>
  <si>
    <t> 0.0817 </t>
  </si>
  <si>
    <t> U.Schmidt </t>
  </si>
  <si>
    <t>BAVM 201 </t>
  </si>
  <si>
    <t>2454505.3777 </t>
  </si>
  <si>
    <t> 08.02.2008 21:03 </t>
  </si>
  <si>
    <t> 0.0849 </t>
  </si>
  <si>
    <t>2454505.380 </t>
  </si>
  <si>
    <t> 08.02.2008 21:07 </t>
  </si>
  <si>
    <t> 0.087 </t>
  </si>
  <si>
    <t> R.Diethelm </t>
  </si>
  <si>
    <t>IBVS 5837 </t>
  </si>
  <si>
    <t>2455538.8603 </t>
  </si>
  <si>
    <t> 08.12.2010 08:38 </t>
  </si>
  <si>
    <t>16119</t>
  </si>
  <si>
    <t> 0.0980 </t>
  </si>
  <si>
    <t>IBVS 5960 </t>
  </si>
  <si>
    <t>2455602.6133 </t>
  </si>
  <si>
    <t> 10.02.2011 02:43 </t>
  </si>
  <si>
    <t>16157</t>
  </si>
  <si>
    <t>IBVS 5992 </t>
  </si>
  <si>
    <t>2455629.4572 </t>
  </si>
  <si>
    <t> 08.03.2011 22:58 </t>
  </si>
  <si>
    <t>16173</t>
  </si>
  <si>
    <t> 0.0985 </t>
  </si>
  <si>
    <t>BAVM 220 </t>
  </si>
  <si>
    <t>2455971.7099 </t>
  </si>
  <si>
    <t> 14.02.2012 05:02 </t>
  </si>
  <si>
    <t>16377</t>
  </si>
  <si>
    <t> 0.0983 </t>
  </si>
  <si>
    <t>IBVS 6029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</si>
</sst>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TZ Gem - O-C Diagr.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065"/>
          <c:w val="0.89975"/>
          <c:h val="0.7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1452449"/>
        <c:axId val="60418858"/>
      </c:scatterChart>
      <c:valAx>
        <c:axId val="51452449"/>
        <c:scaling>
          <c:orientation val="minMax"/>
          <c:max val="17000"/>
          <c:min val="1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18858"/>
        <c:crosses val="autoZero"/>
        <c:crossBetween val="midCat"/>
        <c:dispUnits/>
      </c:valAx>
      <c:valAx>
        <c:axId val="604188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524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"/>
          <c:y val="0.92975"/>
          <c:w val="0.880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TZ Gem - O-C Diagr.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0625"/>
          <c:w val="0.9"/>
          <c:h val="0.793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0.0033</c:v>
                  </c:pt>
                  <c:pt idx="6">
                    <c:v>0.0024</c:v>
                  </c:pt>
                  <c:pt idx="7">
                    <c:v>0</c:v>
                  </c:pt>
                  <c:pt idx="8">
                    <c:v>0.0014</c:v>
                  </c:pt>
                  <c:pt idx="9">
                    <c:v>0.0019</c:v>
                  </c:pt>
                  <c:pt idx="10">
                    <c:v>0.0013</c:v>
                  </c:pt>
                  <c:pt idx="11">
                    <c:v>0.0006</c:v>
                  </c:pt>
                  <c:pt idx="12">
                    <c:v>NaN</c:v>
                  </c:pt>
                  <c:pt idx="13">
                    <c:v>0.001</c:v>
                  </c:pt>
                  <c:pt idx="14">
                    <c:v>0.0002</c:v>
                  </c:pt>
                  <c:pt idx="15">
                    <c:v>0.0001</c:v>
                  </c:pt>
                  <c:pt idx="16">
                    <c:v>0.0014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898811"/>
        <c:axId val="62089300"/>
      </c:scatterChart>
      <c:valAx>
        <c:axId val="689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9300"/>
        <c:crosses val="autoZero"/>
        <c:crossBetween val="midCat"/>
        <c:dispUnits/>
      </c:valAx>
      <c:valAx>
        <c:axId val="6208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88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3"/>
          <c:w val="0.879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14</xdr:col>
      <xdr:colOff>228600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771900" y="28575"/>
        <a:ext cx="5353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76200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9429750" y="0"/>
        <a:ext cx="53625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178" TargetMode="External" /><Relationship Id="rId4" Type="http://schemas.openxmlformats.org/officeDocument/2006/relationships/hyperlink" Target="http://www.bav-astro.de/sfs/BAVM_link.php?BAVMnr=183" TargetMode="External" /><Relationship Id="rId5" Type="http://schemas.openxmlformats.org/officeDocument/2006/relationships/hyperlink" Target="http://www.bav-astro.de/sfs/BAVM_link.php?BAVMnr=201" TargetMode="External" /><Relationship Id="rId6" Type="http://schemas.openxmlformats.org/officeDocument/2006/relationships/hyperlink" Target="http://www.bav-astro.de/sfs/BAVM_link.php?BAVMnr=201" TargetMode="External" /><Relationship Id="rId7" Type="http://schemas.openxmlformats.org/officeDocument/2006/relationships/hyperlink" Target="http://www.konkoly.hu/cgi-bin/IBVS?5837" TargetMode="External" /><Relationship Id="rId8" Type="http://schemas.openxmlformats.org/officeDocument/2006/relationships/hyperlink" Target="http://www.konkoly.hu/cgi-bin/IBVS?5960" TargetMode="External" /><Relationship Id="rId9" Type="http://schemas.openxmlformats.org/officeDocument/2006/relationships/hyperlink" Target="http://www.konkoly.hu/cgi-bin/IBVS?5992" TargetMode="External" /><Relationship Id="rId10" Type="http://schemas.openxmlformats.org/officeDocument/2006/relationships/hyperlink" Target="http://www.bav-astro.de/sfs/BAVM_link.php?BAVMnr=220" TargetMode="External" /><Relationship Id="rId11" Type="http://schemas.openxmlformats.org/officeDocument/2006/relationships/hyperlink" Target="http://www.konkoly.hu/cgi-bin/IBVS?602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281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2" ht="12.75">
      <c r="A2" t="s">
        <v>24</v>
      </c>
      <c r="B2" s="10" t="s">
        <v>37</v>
      </c>
    </row>
    <row r="4" spans="1:4" ht="12.75">
      <c r="A4" s="7" t="s">
        <v>0</v>
      </c>
      <c r="C4" s="3">
        <v>28495.75</v>
      </c>
      <c r="D4" s="4">
        <v>1.6777103</v>
      </c>
    </row>
    <row r="6" ht="12.75">
      <c r="A6" s="7" t="s">
        <v>1</v>
      </c>
    </row>
    <row r="7" spans="1:3" ht="12.75">
      <c r="A7" t="s">
        <v>2</v>
      </c>
      <c r="C7">
        <f>+C4</f>
        <v>28495.75</v>
      </c>
    </row>
    <row r="8" spans="1:3" ht="12.75">
      <c r="A8" t="s">
        <v>3</v>
      </c>
      <c r="C8">
        <f>+D4</f>
        <v>1.6777103</v>
      </c>
    </row>
    <row r="9" spans="1:5" ht="12.75">
      <c r="A9" s="14" t="s">
        <v>39</v>
      </c>
      <c r="B9" s="11"/>
      <c r="C9" s="15">
        <v>-9.5</v>
      </c>
      <c r="D9" s="11" t="s">
        <v>40</v>
      </c>
      <c r="E9" s="11"/>
    </row>
    <row r="10" spans="1:5" ht="13.5" thickBot="1">
      <c r="A10" s="11"/>
      <c r="B10" s="11"/>
      <c r="C10" s="6" t="s">
        <v>20</v>
      </c>
      <c r="D10" s="6" t="s">
        <v>21</v>
      </c>
      <c r="E10" s="11"/>
    </row>
    <row r="11" spans="1:7" ht="12.75">
      <c r="A11" s="11" t="s">
        <v>16</v>
      </c>
      <c r="B11" s="11"/>
      <c r="C11" s="27">
        <f ca="1">INTERCEPT(INDIRECT($G$11):G992,INDIRECT($F$11):F992)</f>
        <v>-0.30165035635886295</v>
      </c>
      <c r="D11" s="5"/>
      <c r="E11" s="11"/>
      <c r="F11" s="28" t="str">
        <f>"F"&amp;E19</f>
        <v>F25</v>
      </c>
      <c r="G11" s="29" t="str">
        <f>"G"&amp;E19</f>
        <v>G25</v>
      </c>
    </row>
    <row r="12" spans="1:5" ht="12.75">
      <c r="A12" s="11" t="s">
        <v>17</v>
      </c>
      <c r="B12" s="11"/>
      <c r="C12" s="27">
        <f ca="1">SLOPE(INDIRECT($G$11):G992,INDIRECT($F$11):F992)</f>
        <v>2.4764662088942057E-05</v>
      </c>
      <c r="D12" s="5"/>
      <c r="E12" s="11"/>
    </row>
    <row r="13" spans="1:5" ht="12.75">
      <c r="A13" s="11" t="s">
        <v>19</v>
      </c>
      <c r="B13" s="11"/>
      <c r="C13" s="5" t="s">
        <v>14</v>
      </c>
      <c r="D13" s="18" t="s">
        <v>52</v>
      </c>
      <c r="E13" s="15">
        <v>1</v>
      </c>
    </row>
    <row r="14" spans="1:5" ht="12.75">
      <c r="A14" s="11"/>
      <c r="B14" s="11"/>
      <c r="C14" s="11"/>
      <c r="D14" s="18" t="s">
        <v>41</v>
      </c>
      <c r="E14" s="19">
        <f ca="1">NOW()+15018.5+$C$9/24</f>
        <v>59900.76993379629</v>
      </c>
    </row>
    <row r="15" spans="1:5" ht="12.75">
      <c r="A15" s="16" t="s">
        <v>18</v>
      </c>
      <c r="B15" s="11"/>
      <c r="C15" s="17">
        <f>(C7+C11)+(C8+C12)*INT(MAX(F21:F3533))</f>
        <v>55971.71550361467</v>
      </c>
      <c r="D15" s="18" t="s">
        <v>53</v>
      </c>
      <c r="E15" s="19">
        <f>ROUND(2*(E14-$C$7)/$C$8,0)/2+E13</f>
        <v>18720</v>
      </c>
    </row>
    <row r="16" spans="1:5" ht="12.75">
      <c r="A16" s="20" t="s">
        <v>4</v>
      </c>
      <c r="B16" s="11"/>
      <c r="C16" s="21">
        <f>+C8+C12</f>
        <v>1.677735064662089</v>
      </c>
      <c r="D16" s="18" t="s">
        <v>42</v>
      </c>
      <c r="E16" s="29">
        <f>ROUND(2*(E14-$C$15)/$C$16,0)/2+E13</f>
        <v>2343</v>
      </c>
    </row>
    <row r="17" spans="1:5" ht="13.5" thickBot="1">
      <c r="A17" s="18" t="s">
        <v>35</v>
      </c>
      <c r="B17" s="11"/>
      <c r="C17" s="11">
        <f>COUNT(C21:C2191)</f>
        <v>17</v>
      </c>
      <c r="D17" s="18" t="s">
        <v>43</v>
      </c>
      <c r="E17" s="22">
        <f>+$C$15+$C$16*E16-15018.5-$C$9/24</f>
        <v>44884.54459345128</v>
      </c>
    </row>
    <row r="18" spans="1:5" ht="14.25" thickBot="1" thickTop="1">
      <c r="A18" s="20" t="s">
        <v>5</v>
      </c>
      <c r="B18" s="11"/>
      <c r="C18" s="23">
        <f>+C15</f>
        <v>55971.71550361467</v>
      </c>
      <c r="D18" s="24">
        <f>+C16</f>
        <v>1.677735064662089</v>
      </c>
      <c r="E18" s="25" t="s">
        <v>44</v>
      </c>
    </row>
    <row r="19" spans="1:5" ht="13.5" thickTop="1">
      <c r="A19" s="30" t="s">
        <v>47</v>
      </c>
      <c r="E19" s="31">
        <v>25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32</v>
      </c>
      <c r="J20" s="9" t="s">
        <v>34</v>
      </c>
      <c r="K20" s="9" t="s">
        <v>51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12</v>
      </c>
      <c r="C21" s="12">
        <v>28495.75</v>
      </c>
      <c r="D21" s="12" t="s">
        <v>14</v>
      </c>
      <c r="E21">
        <f aca="true" t="shared" si="0" ref="E21:E37">+(C21-C$7)/C$8</f>
        <v>0</v>
      </c>
      <c r="F21">
        <f aca="true" t="shared" si="1" ref="F21:F37">ROUND(2*E21,0)/2</f>
        <v>0</v>
      </c>
      <c r="G21">
        <f aca="true" t="shared" si="2" ref="G21:G37">+C21-(C$7+F21*C$8)</f>
        <v>0</v>
      </c>
      <c r="H21" s="32">
        <f>G21</f>
        <v>0</v>
      </c>
      <c r="O21">
        <f aca="true" t="shared" si="3" ref="O21:O37">+C$11+C$12*F21</f>
        <v>-0.30165035635886295</v>
      </c>
      <c r="Q21" s="2">
        <f aca="true" t="shared" si="4" ref="Q21:Q37">+C21-15018.5</f>
        <v>13477.25</v>
      </c>
    </row>
    <row r="22" spans="1:30" ht="12.75">
      <c r="A22" t="s">
        <v>29</v>
      </c>
      <c r="C22" s="12">
        <v>44910.463</v>
      </c>
      <c r="D22" s="12"/>
      <c r="E22">
        <f t="shared" si="0"/>
        <v>9783.997272949926</v>
      </c>
      <c r="F22">
        <f t="shared" si="1"/>
        <v>9784</v>
      </c>
      <c r="G22">
        <f t="shared" si="2"/>
        <v>-0.00457520000054501</v>
      </c>
      <c r="I22">
        <f>+G22</f>
        <v>-0.00457520000054501</v>
      </c>
      <c r="O22">
        <f t="shared" si="3"/>
        <v>-0.05935290248065386</v>
      </c>
      <c r="Q22" s="2">
        <f t="shared" si="4"/>
        <v>29891.963000000003</v>
      </c>
      <c r="AA22">
        <v>7</v>
      </c>
      <c r="AB22" t="s">
        <v>28</v>
      </c>
      <c r="AD22" t="s">
        <v>30</v>
      </c>
    </row>
    <row r="23" spans="1:30" ht="12.75">
      <c r="A23" t="s">
        <v>31</v>
      </c>
      <c r="C23" s="12">
        <v>44984.292</v>
      </c>
      <c r="D23" s="12"/>
      <c r="E23">
        <f t="shared" si="0"/>
        <v>9828.003082534571</v>
      </c>
      <c r="F23">
        <f t="shared" si="1"/>
        <v>9828</v>
      </c>
      <c r="G23">
        <f t="shared" si="2"/>
        <v>0.005171600001631305</v>
      </c>
      <c r="I23">
        <f>+G23</f>
        <v>0.005171600001631305</v>
      </c>
      <c r="O23">
        <f t="shared" si="3"/>
        <v>-0.05826325734874041</v>
      </c>
      <c r="Q23" s="2">
        <f t="shared" si="4"/>
        <v>29965.792</v>
      </c>
      <c r="AA23">
        <v>6</v>
      </c>
      <c r="AB23" t="s">
        <v>28</v>
      </c>
      <c r="AD23" t="s">
        <v>30</v>
      </c>
    </row>
    <row r="24" spans="1:30" ht="12.75">
      <c r="A24" t="s">
        <v>31</v>
      </c>
      <c r="C24" s="12">
        <v>44989.316</v>
      </c>
      <c r="D24" s="12"/>
      <c r="E24">
        <f t="shared" si="0"/>
        <v>9830.997640057403</v>
      </c>
      <c r="F24">
        <f t="shared" si="1"/>
        <v>9831</v>
      </c>
      <c r="G24">
        <f t="shared" si="2"/>
        <v>-0.0039593000037712045</v>
      </c>
      <c r="I24">
        <f>+G24</f>
        <v>-0.0039593000037712045</v>
      </c>
      <c r="O24">
        <f t="shared" si="3"/>
        <v>-0.05818896336247359</v>
      </c>
      <c r="Q24" s="2">
        <f t="shared" si="4"/>
        <v>29970.816</v>
      </c>
      <c r="AA24">
        <v>6</v>
      </c>
      <c r="AB24" t="s">
        <v>28</v>
      </c>
      <c r="AD24" t="s">
        <v>30</v>
      </c>
    </row>
    <row r="25" spans="1:17" ht="12.75">
      <c r="A25" s="57" t="s">
        <v>74</v>
      </c>
      <c r="B25" s="58" t="s">
        <v>46</v>
      </c>
      <c r="C25" s="57">
        <v>50047.6324</v>
      </c>
      <c r="D25" s="57" t="s">
        <v>68</v>
      </c>
      <c r="E25">
        <f t="shared" si="0"/>
        <v>12846.009468976856</v>
      </c>
      <c r="F25">
        <f t="shared" si="1"/>
        <v>12846</v>
      </c>
      <c r="G25">
        <f t="shared" si="2"/>
        <v>0.01588620000256924</v>
      </c>
      <c r="N25">
        <f>+G25</f>
        <v>0.01588620000256924</v>
      </c>
      <c r="O25">
        <f t="shared" si="3"/>
        <v>0.016476492835686696</v>
      </c>
      <c r="Q25" s="2">
        <f t="shared" si="4"/>
        <v>35029.1324</v>
      </c>
    </row>
    <row r="26" spans="1:17" ht="12.75">
      <c r="A26" t="s">
        <v>33</v>
      </c>
      <c r="C26" s="13">
        <v>51193.5236</v>
      </c>
      <c r="D26" s="13">
        <v>0.0033</v>
      </c>
      <c r="E26">
        <f t="shared" si="0"/>
        <v>13529.018448536675</v>
      </c>
      <c r="F26">
        <f t="shared" si="1"/>
        <v>13529</v>
      </c>
      <c r="G26">
        <f t="shared" si="2"/>
        <v>0.030951299995649606</v>
      </c>
      <c r="J26">
        <f>+G26</f>
        <v>0.030951299995649606</v>
      </c>
      <c r="O26">
        <f t="shared" si="3"/>
        <v>0.03339075704243416</v>
      </c>
      <c r="Q26" s="2">
        <f t="shared" si="4"/>
        <v>36175.0236</v>
      </c>
    </row>
    <row r="27" spans="1:17" ht="12.75">
      <c r="A27" s="35" t="s">
        <v>50</v>
      </c>
      <c r="B27" s="36" t="s">
        <v>46</v>
      </c>
      <c r="C27" s="35">
        <v>51923.34071</v>
      </c>
      <c r="D27" s="35">
        <v>0.0024</v>
      </c>
      <c r="E27">
        <f t="shared" si="0"/>
        <v>13964.026274381218</v>
      </c>
      <c r="F27">
        <f t="shared" si="1"/>
        <v>13964</v>
      </c>
      <c r="G27">
        <f t="shared" si="2"/>
        <v>0.04408079999848269</v>
      </c>
      <c r="K27">
        <f>+G27</f>
        <v>0.04408079999848269</v>
      </c>
      <c r="O27">
        <f t="shared" si="3"/>
        <v>0.04416338505112394</v>
      </c>
      <c r="Q27" s="2">
        <f t="shared" si="4"/>
        <v>36904.84071</v>
      </c>
    </row>
    <row r="28" spans="1:17" ht="12.75">
      <c r="A28" s="57" t="s">
        <v>93</v>
      </c>
      <c r="B28" s="58" t="s">
        <v>46</v>
      </c>
      <c r="C28" s="57">
        <v>52282.377</v>
      </c>
      <c r="D28" s="57" t="s">
        <v>68</v>
      </c>
      <c r="E28">
        <f t="shared" si="0"/>
        <v>14178.030021035218</v>
      </c>
      <c r="F28">
        <f t="shared" si="1"/>
        <v>14178</v>
      </c>
      <c r="G28">
        <f t="shared" si="2"/>
        <v>0.05036660000041593</v>
      </c>
      <c r="N28">
        <f>+G28</f>
        <v>0.05036660000041593</v>
      </c>
      <c r="O28">
        <f t="shared" si="3"/>
        <v>0.04946302273815756</v>
      </c>
      <c r="Q28" s="2">
        <f t="shared" si="4"/>
        <v>37263.877</v>
      </c>
    </row>
    <row r="29" spans="1:17" ht="12.75">
      <c r="A29" s="26" t="s">
        <v>38</v>
      </c>
      <c r="B29" s="37"/>
      <c r="C29" s="34">
        <v>53760.4599</v>
      </c>
      <c r="D29" s="34">
        <v>0.0014</v>
      </c>
      <c r="E29">
        <f t="shared" si="0"/>
        <v>15059.042016968007</v>
      </c>
      <c r="F29">
        <f t="shared" si="1"/>
        <v>15059</v>
      </c>
      <c r="G29">
        <f t="shared" si="2"/>
        <v>0.07049230000120588</v>
      </c>
      <c r="J29">
        <f aca="true" t="shared" si="5" ref="J29:J37">+G29</f>
        <v>0.07049230000120588</v>
      </c>
      <c r="O29">
        <f t="shared" si="3"/>
        <v>0.0712806900385155</v>
      </c>
      <c r="Q29" s="2">
        <f t="shared" si="4"/>
        <v>38741.9599</v>
      </c>
    </row>
    <row r="30" spans="1:17" ht="12.75">
      <c r="A30" s="26" t="s">
        <v>45</v>
      </c>
      <c r="B30" s="38" t="s">
        <v>46</v>
      </c>
      <c r="C30" s="34">
        <v>54092.6542</v>
      </c>
      <c r="D30" s="34">
        <v>0.0019</v>
      </c>
      <c r="E30">
        <f t="shared" si="0"/>
        <v>15257.046583072177</v>
      </c>
      <c r="F30">
        <f t="shared" si="1"/>
        <v>15257</v>
      </c>
      <c r="G30">
        <f t="shared" si="2"/>
        <v>0.0781529000014416</v>
      </c>
      <c r="J30">
        <f t="shared" si="5"/>
        <v>0.0781529000014416</v>
      </c>
      <c r="O30">
        <f t="shared" si="3"/>
        <v>0.07618409313212604</v>
      </c>
      <c r="Q30" s="2">
        <f t="shared" si="4"/>
        <v>39074.1542</v>
      </c>
    </row>
    <row r="31" spans="1:17" ht="12.75">
      <c r="A31" s="34" t="s">
        <v>49</v>
      </c>
      <c r="B31" s="33" t="s">
        <v>46</v>
      </c>
      <c r="C31" s="34">
        <v>54505.3745</v>
      </c>
      <c r="D31" s="34">
        <v>0.0013</v>
      </c>
      <c r="E31">
        <f t="shared" si="0"/>
        <v>15503.048708707336</v>
      </c>
      <c r="F31">
        <f t="shared" si="1"/>
        <v>15503</v>
      </c>
      <c r="G31">
        <f t="shared" si="2"/>
        <v>0.08171910000237403</v>
      </c>
      <c r="J31">
        <f t="shared" si="5"/>
        <v>0.08171910000237403</v>
      </c>
      <c r="O31">
        <f t="shared" si="3"/>
        <v>0.08227620000600577</v>
      </c>
      <c r="Q31" s="2">
        <f t="shared" si="4"/>
        <v>39486.8745</v>
      </c>
    </row>
    <row r="32" spans="1:17" ht="12.75">
      <c r="A32" s="34" t="s">
        <v>49</v>
      </c>
      <c r="B32" s="33" t="s">
        <v>46</v>
      </c>
      <c r="C32" s="34">
        <v>54505.3777</v>
      </c>
      <c r="D32" s="34">
        <v>0.0006</v>
      </c>
      <c r="E32">
        <f t="shared" si="0"/>
        <v>15503.050616068816</v>
      </c>
      <c r="F32">
        <f t="shared" si="1"/>
        <v>15503</v>
      </c>
      <c r="G32">
        <f t="shared" si="2"/>
        <v>0.08491910000157077</v>
      </c>
      <c r="J32">
        <f t="shared" si="5"/>
        <v>0.08491910000157077</v>
      </c>
      <c r="O32">
        <f t="shared" si="3"/>
        <v>0.08227620000600577</v>
      </c>
      <c r="Q32" s="2">
        <f t="shared" si="4"/>
        <v>39486.8777</v>
      </c>
    </row>
    <row r="33" spans="1:17" ht="12.75">
      <c r="A33" s="26" t="s">
        <v>48</v>
      </c>
      <c r="B33" s="33" t="s">
        <v>46</v>
      </c>
      <c r="C33" s="34">
        <v>54505.38</v>
      </c>
      <c r="D33" s="34"/>
      <c r="E33">
        <f t="shared" si="0"/>
        <v>15503.05198698488</v>
      </c>
      <c r="F33">
        <f t="shared" si="1"/>
        <v>15503</v>
      </c>
      <c r="G33">
        <f t="shared" si="2"/>
        <v>0.08721910000167554</v>
      </c>
      <c r="J33">
        <f t="shared" si="5"/>
        <v>0.08721910000167554</v>
      </c>
      <c r="O33">
        <f t="shared" si="3"/>
        <v>0.08227620000600577</v>
      </c>
      <c r="Q33" s="2">
        <f t="shared" si="4"/>
        <v>39486.88</v>
      </c>
    </row>
    <row r="34" spans="1:17" ht="12.75">
      <c r="A34" s="26" t="s">
        <v>54</v>
      </c>
      <c r="B34" s="33" t="s">
        <v>46</v>
      </c>
      <c r="C34" s="34">
        <v>55538.8603</v>
      </c>
      <c r="D34" s="34">
        <v>0.001</v>
      </c>
      <c r="E34">
        <f t="shared" si="0"/>
        <v>16119.058397626814</v>
      </c>
      <c r="F34">
        <f t="shared" si="1"/>
        <v>16119</v>
      </c>
      <c r="G34">
        <f t="shared" si="2"/>
        <v>0.09797429999889573</v>
      </c>
      <c r="J34">
        <f t="shared" si="5"/>
        <v>0.09797429999889573</v>
      </c>
      <c r="O34">
        <f t="shared" si="3"/>
        <v>0.09753123185279405</v>
      </c>
      <c r="Q34" s="2">
        <f t="shared" si="4"/>
        <v>40520.3603</v>
      </c>
    </row>
    <row r="35" spans="1:17" ht="12.75">
      <c r="A35" s="39" t="s">
        <v>55</v>
      </c>
      <c r="B35" s="40" t="s">
        <v>46</v>
      </c>
      <c r="C35" s="39">
        <v>55602.6133</v>
      </c>
      <c r="D35" s="39">
        <v>0.0002</v>
      </c>
      <c r="E35">
        <f t="shared" si="0"/>
        <v>16157.058402752846</v>
      </c>
      <c r="F35">
        <f t="shared" si="1"/>
        <v>16157</v>
      </c>
      <c r="G35">
        <f t="shared" si="2"/>
        <v>0.09798289999889676</v>
      </c>
      <c r="J35">
        <f t="shared" si="5"/>
        <v>0.09798289999889676</v>
      </c>
      <c r="O35">
        <f t="shared" si="3"/>
        <v>0.09847228901217386</v>
      </c>
      <c r="Q35" s="2">
        <f t="shared" si="4"/>
        <v>40584.1133</v>
      </c>
    </row>
    <row r="36" spans="1:17" ht="12.75">
      <c r="A36" s="39" t="s">
        <v>56</v>
      </c>
      <c r="B36" s="40" t="s">
        <v>46</v>
      </c>
      <c r="C36" s="39">
        <v>55629.4572</v>
      </c>
      <c r="D36" s="39">
        <v>0.0001</v>
      </c>
      <c r="E36">
        <f t="shared" si="0"/>
        <v>16173.058721759053</v>
      </c>
      <c r="F36">
        <f t="shared" si="1"/>
        <v>16173</v>
      </c>
      <c r="G36">
        <f t="shared" si="2"/>
        <v>0.09851809999236139</v>
      </c>
      <c r="J36">
        <f t="shared" si="5"/>
        <v>0.09851809999236139</v>
      </c>
      <c r="O36">
        <f t="shared" si="3"/>
        <v>0.09886852360559695</v>
      </c>
      <c r="Q36" s="2">
        <f t="shared" si="4"/>
        <v>40610.9572</v>
      </c>
    </row>
    <row r="37" spans="1:17" ht="12.75">
      <c r="A37" s="41" t="s">
        <v>57</v>
      </c>
      <c r="B37" s="42" t="s">
        <v>46</v>
      </c>
      <c r="C37" s="41">
        <v>55971.7099</v>
      </c>
      <c r="D37" s="41">
        <v>0.0014</v>
      </c>
      <c r="E37">
        <f t="shared" si="0"/>
        <v>16377.058601833704</v>
      </c>
      <c r="F37">
        <f t="shared" si="1"/>
        <v>16377</v>
      </c>
      <c r="G37">
        <f t="shared" si="2"/>
        <v>0.09831690000282833</v>
      </c>
      <c r="J37">
        <f t="shared" si="5"/>
        <v>0.09831690000282833</v>
      </c>
      <c r="O37">
        <f t="shared" si="3"/>
        <v>0.10392051467174113</v>
      </c>
      <c r="Q37" s="2">
        <f t="shared" si="4"/>
        <v>40953.2099</v>
      </c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9"/>
  <sheetViews>
    <sheetView zoomScalePageLayoutView="0" workbookViewId="0" topLeftCell="A1">
      <selection activeCell="A22" sqref="A22:D23"/>
    </sheetView>
  </sheetViews>
  <sheetFormatPr defaultColWidth="9.140625" defaultRowHeight="12.75"/>
  <cols>
    <col min="1" max="1" width="19.7109375" style="44" customWidth="1"/>
    <col min="2" max="2" width="4.421875" style="11" customWidth="1"/>
    <col min="3" max="3" width="12.7109375" style="44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44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43" t="s">
        <v>58</v>
      </c>
      <c r="I1" s="45" t="s">
        <v>59</v>
      </c>
      <c r="J1" s="46" t="s">
        <v>60</v>
      </c>
    </row>
    <row r="2" spans="9:10" ht="12.75">
      <c r="I2" s="47" t="s">
        <v>61</v>
      </c>
      <c r="J2" s="48" t="s">
        <v>62</v>
      </c>
    </row>
    <row r="3" spans="1:10" ht="12.75">
      <c r="A3" s="49" t="s">
        <v>63</v>
      </c>
      <c r="I3" s="47" t="s">
        <v>64</v>
      </c>
      <c r="J3" s="48" t="s">
        <v>65</v>
      </c>
    </row>
    <row r="4" spans="9:10" ht="12.75">
      <c r="I4" s="47" t="s">
        <v>66</v>
      </c>
      <c r="J4" s="48" t="s">
        <v>65</v>
      </c>
    </row>
    <row r="5" spans="9:10" ht="13.5" thickBot="1">
      <c r="I5" s="50" t="s">
        <v>67</v>
      </c>
      <c r="J5" s="51" t="s">
        <v>68</v>
      </c>
    </row>
    <row r="10" ht="13.5" thickBot="1"/>
    <row r="11" spans="1:16" ht="12.75" customHeight="1" thickBot="1">
      <c r="A11" s="44" t="str">
        <f aca="true" t="shared" si="0" ref="A11:A23">P11</f>
        <v>IBVS 5263 </v>
      </c>
      <c r="B11" s="5" t="str">
        <f aca="true" t="shared" si="1" ref="B11:B23">IF(H11=INT(H11),"I","II")</f>
        <v>I</v>
      </c>
      <c r="C11" s="44">
        <f aca="true" t="shared" si="2" ref="C11:C23">1*G11</f>
        <v>51193.5236</v>
      </c>
      <c r="D11" s="11" t="str">
        <f aca="true" t="shared" si="3" ref="D11:D23">VLOOKUP(F11,I$1:J$5,2,FALSE)</f>
        <v>vis</v>
      </c>
      <c r="E11" s="52">
        <f>VLOOKUP(C11,A!C$21:E$973,3,FALSE)</f>
        <v>13529.018448536675</v>
      </c>
      <c r="F11" s="5" t="s">
        <v>67</v>
      </c>
      <c r="G11" s="11" t="str">
        <f aca="true" t="shared" si="4" ref="G11:G23">MID(I11,3,LEN(I11)-3)</f>
        <v>51193.5236</v>
      </c>
      <c r="H11" s="44">
        <f aca="true" t="shared" si="5" ref="H11:H23">1*K11</f>
        <v>13529</v>
      </c>
      <c r="I11" s="53" t="s">
        <v>75</v>
      </c>
      <c r="J11" s="54" t="s">
        <v>76</v>
      </c>
      <c r="K11" s="53">
        <v>13529</v>
      </c>
      <c r="L11" s="53" t="s">
        <v>77</v>
      </c>
      <c r="M11" s="54" t="s">
        <v>78</v>
      </c>
      <c r="N11" s="54" t="s">
        <v>79</v>
      </c>
      <c r="O11" s="55" t="s">
        <v>80</v>
      </c>
      <c r="P11" s="56" t="s">
        <v>81</v>
      </c>
    </row>
    <row r="12" spans="1:16" ht="12.75" customHeight="1" thickBot="1">
      <c r="A12" s="44" t="str">
        <f t="shared" si="0"/>
        <v>OEJV 0074 </v>
      </c>
      <c r="B12" s="5" t="str">
        <f t="shared" si="1"/>
        <v>I</v>
      </c>
      <c r="C12" s="44">
        <f t="shared" si="2"/>
        <v>51923.34071</v>
      </c>
      <c r="D12" s="11" t="str">
        <f t="shared" si="3"/>
        <v>vis</v>
      </c>
      <c r="E12" s="52">
        <f>VLOOKUP(C12,A!C$21:E$973,3,FALSE)</f>
        <v>13964.026274381218</v>
      </c>
      <c r="F12" s="5" t="s">
        <v>67</v>
      </c>
      <c r="G12" s="11" t="str">
        <f t="shared" si="4"/>
        <v>51923.34071</v>
      </c>
      <c r="H12" s="44">
        <f t="shared" si="5"/>
        <v>13964</v>
      </c>
      <c r="I12" s="53" t="s">
        <v>82</v>
      </c>
      <c r="J12" s="54" t="s">
        <v>83</v>
      </c>
      <c r="K12" s="53">
        <v>13964</v>
      </c>
      <c r="L12" s="53" t="s">
        <v>84</v>
      </c>
      <c r="M12" s="54" t="s">
        <v>85</v>
      </c>
      <c r="N12" s="54" t="s">
        <v>86</v>
      </c>
      <c r="O12" s="55" t="s">
        <v>87</v>
      </c>
      <c r="P12" s="56" t="s">
        <v>88</v>
      </c>
    </row>
    <row r="13" spans="1:16" ht="12.75" customHeight="1" thickBot="1">
      <c r="A13" s="44" t="str">
        <f t="shared" si="0"/>
        <v>BAVM 178 </v>
      </c>
      <c r="B13" s="5" t="str">
        <f t="shared" si="1"/>
        <v>I</v>
      </c>
      <c r="C13" s="44">
        <f t="shared" si="2"/>
        <v>53760.4599</v>
      </c>
      <c r="D13" s="11" t="str">
        <f t="shared" si="3"/>
        <v>vis</v>
      </c>
      <c r="E13" s="52">
        <f>VLOOKUP(C13,A!C$21:E$973,3,FALSE)</f>
        <v>15059.042016968007</v>
      </c>
      <c r="F13" s="5" t="s">
        <v>67</v>
      </c>
      <c r="G13" s="11" t="str">
        <f t="shared" si="4"/>
        <v>53760.4599</v>
      </c>
      <c r="H13" s="44">
        <f t="shared" si="5"/>
        <v>15059</v>
      </c>
      <c r="I13" s="53" t="s">
        <v>94</v>
      </c>
      <c r="J13" s="54" t="s">
        <v>95</v>
      </c>
      <c r="K13" s="53">
        <v>15059</v>
      </c>
      <c r="L13" s="53" t="s">
        <v>96</v>
      </c>
      <c r="M13" s="54" t="s">
        <v>85</v>
      </c>
      <c r="N13" s="54" t="s">
        <v>97</v>
      </c>
      <c r="O13" s="55" t="s">
        <v>98</v>
      </c>
      <c r="P13" s="56" t="s">
        <v>99</v>
      </c>
    </row>
    <row r="14" spans="1:16" ht="12.75" customHeight="1" thickBot="1">
      <c r="A14" s="44" t="str">
        <f t="shared" si="0"/>
        <v>BAVM 183 </v>
      </c>
      <c r="B14" s="5" t="str">
        <f t="shared" si="1"/>
        <v>I</v>
      </c>
      <c r="C14" s="44">
        <f t="shared" si="2"/>
        <v>54092.6542</v>
      </c>
      <c r="D14" s="11" t="str">
        <f t="shared" si="3"/>
        <v>vis</v>
      </c>
      <c r="E14" s="52">
        <f>VLOOKUP(C14,A!C$21:E$973,3,FALSE)</f>
        <v>15257.046583072177</v>
      </c>
      <c r="F14" s="5" t="s">
        <v>67</v>
      </c>
      <c r="G14" s="11" t="str">
        <f t="shared" si="4"/>
        <v>54092.6542</v>
      </c>
      <c r="H14" s="44">
        <f t="shared" si="5"/>
        <v>15257</v>
      </c>
      <c r="I14" s="53" t="s">
        <v>100</v>
      </c>
      <c r="J14" s="54" t="s">
        <v>101</v>
      </c>
      <c r="K14" s="53" t="s">
        <v>102</v>
      </c>
      <c r="L14" s="53" t="s">
        <v>103</v>
      </c>
      <c r="M14" s="54" t="s">
        <v>85</v>
      </c>
      <c r="N14" s="54" t="s">
        <v>97</v>
      </c>
      <c r="O14" s="55" t="s">
        <v>104</v>
      </c>
      <c r="P14" s="56" t="s">
        <v>105</v>
      </c>
    </row>
    <row r="15" spans="1:16" ht="12.75" customHeight="1" thickBot="1">
      <c r="A15" s="44" t="str">
        <f t="shared" si="0"/>
        <v>BAVM 201 </v>
      </c>
      <c r="B15" s="5" t="str">
        <f t="shared" si="1"/>
        <v>I</v>
      </c>
      <c r="C15" s="44">
        <f t="shared" si="2"/>
        <v>54505.3745</v>
      </c>
      <c r="D15" s="11" t="str">
        <f t="shared" si="3"/>
        <v>vis</v>
      </c>
      <c r="E15" s="52">
        <f>VLOOKUP(C15,A!C$21:E$973,3,FALSE)</f>
        <v>15503.048708707336</v>
      </c>
      <c r="F15" s="5" t="s">
        <v>67</v>
      </c>
      <c r="G15" s="11" t="str">
        <f t="shared" si="4"/>
        <v>54505.3745</v>
      </c>
      <c r="H15" s="44">
        <f t="shared" si="5"/>
        <v>15503</v>
      </c>
      <c r="I15" s="53" t="s">
        <v>106</v>
      </c>
      <c r="J15" s="54" t="s">
        <v>107</v>
      </c>
      <c r="K15" s="53" t="s">
        <v>108</v>
      </c>
      <c r="L15" s="53" t="s">
        <v>109</v>
      </c>
      <c r="M15" s="54" t="s">
        <v>85</v>
      </c>
      <c r="N15" s="54" t="s">
        <v>86</v>
      </c>
      <c r="O15" s="55" t="s">
        <v>110</v>
      </c>
      <c r="P15" s="56" t="s">
        <v>111</v>
      </c>
    </row>
    <row r="16" spans="1:16" ht="12.75" customHeight="1" thickBot="1">
      <c r="A16" s="44" t="str">
        <f t="shared" si="0"/>
        <v>BAVM 201 </v>
      </c>
      <c r="B16" s="5" t="str">
        <f t="shared" si="1"/>
        <v>I</v>
      </c>
      <c r="C16" s="44">
        <f t="shared" si="2"/>
        <v>54505.3777</v>
      </c>
      <c r="D16" s="11" t="str">
        <f t="shared" si="3"/>
        <v>vis</v>
      </c>
      <c r="E16" s="52">
        <f>VLOOKUP(C16,A!C$21:E$973,3,FALSE)</f>
        <v>15503.050616068816</v>
      </c>
      <c r="F16" s="5" t="s">
        <v>67</v>
      </c>
      <c r="G16" s="11" t="str">
        <f t="shared" si="4"/>
        <v>54505.3777</v>
      </c>
      <c r="H16" s="44">
        <f t="shared" si="5"/>
        <v>15503</v>
      </c>
      <c r="I16" s="53" t="s">
        <v>112</v>
      </c>
      <c r="J16" s="54" t="s">
        <v>113</v>
      </c>
      <c r="K16" s="53" t="s">
        <v>108</v>
      </c>
      <c r="L16" s="53" t="s">
        <v>114</v>
      </c>
      <c r="M16" s="54" t="s">
        <v>85</v>
      </c>
      <c r="N16" s="54" t="s">
        <v>97</v>
      </c>
      <c r="O16" s="55" t="s">
        <v>104</v>
      </c>
      <c r="P16" s="56" t="s">
        <v>111</v>
      </c>
    </row>
    <row r="17" spans="1:16" ht="12.75" customHeight="1" thickBot="1">
      <c r="A17" s="44" t="str">
        <f t="shared" si="0"/>
        <v>IBVS 5837 </v>
      </c>
      <c r="B17" s="5" t="str">
        <f t="shared" si="1"/>
        <v>I</v>
      </c>
      <c r="C17" s="44">
        <f t="shared" si="2"/>
        <v>54505.38</v>
      </c>
      <c r="D17" s="11" t="str">
        <f t="shared" si="3"/>
        <v>vis</v>
      </c>
      <c r="E17" s="52">
        <f>VLOOKUP(C17,A!C$21:E$973,3,FALSE)</f>
        <v>15503.05198698488</v>
      </c>
      <c r="F17" s="5" t="s">
        <v>67</v>
      </c>
      <c r="G17" s="11" t="str">
        <f t="shared" si="4"/>
        <v>54505.380</v>
      </c>
      <c r="H17" s="44">
        <f t="shared" si="5"/>
        <v>15503</v>
      </c>
      <c r="I17" s="53" t="s">
        <v>115</v>
      </c>
      <c r="J17" s="54" t="s">
        <v>116</v>
      </c>
      <c r="K17" s="53" t="s">
        <v>108</v>
      </c>
      <c r="L17" s="53" t="s">
        <v>117</v>
      </c>
      <c r="M17" s="54" t="s">
        <v>85</v>
      </c>
      <c r="N17" s="54" t="s">
        <v>67</v>
      </c>
      <c r="O17" s="55" t="s">
        <v>118</v>
      </c>
      <c r="P17" s="56" t="s">
        <v>119</v>
      </c>
    </row>
    <row r="18" spans="1:16" ht="12.75" customHeight="1" thickBot="1">
      <c r="A18" s="44" t="str">
        <f t="shared" si="0"/>
        <v>IBVS 5960 </v>
      </c>
      <c r="B18" s="5" t="str">
        <f t="shared" si="1"/>
        <v>I</v>
      </c>
      <c r="C18" s="44">
        <f t="shared" si="2"/>
        <v>55538.8603</v>
      </c>
      <c r="D18" s="11" t="str">
        <f t="shared" si="3"/>
        <v>vis</v>
      </c>
      <c r="E18" s="52">
        <f>VLOOKUP(C18,A!C$21:E$973,3,FALSE)</f>
        <v>16119.058397626814</v>
      </c>
      <c r="F18" s="5" t="s">
        <v>67</v>
      </c>
      <c r="G18" s="11" t="str">
        <f t="shared" si="4"/>
        <v>55538.8603</v>
      </c>
      <c r="H18" s="44">
        <f t="shared" si="5"/>
        <v>16119</v>
      </c>
      <c r="I18" s="53" t="s">
        <v>120</v>
      </c>
      <c r="J18" s="54" t="s">
        <v>121</v>
      </c>
      <c r="K18" s="53" t="s">
        <v>122</v>
      </c>
      <c r="L18" s="53" t="s">
        <v>123</v>
      </c>
      <c r="M18" s="54" t="s">
        <v>85</v>
      </c>
      <c r="N18" s="54" t="s">
        <v>67</v>
      </c>
      <c r="O18" s="55" t="s">
        <v>118</v>
      </c>
      <c r="P18" s="56" t="s">
        <v>124</v>
      </c>
    </row>
    <row r="19" spans="1:16" ht="12.75" customHeight="1" thickBot="1">
      <c r="A19" s="44" t="str">
        <f t="shared" si="0"/>
        <v>IBVS 5992 </v>
      </c>
      <c r="B19" s="5" t="str">
        <f t="shared" si="1"/>
        <v>I</v>
      </c>
      <c r="C19" s="44">
        <f t="shared" si="2"/>
        <v>55602.6133</v>
      </c>
      <c r="D19" s="11" t="str">
        <f t="shared" si="3"/>
        <v>vis</v>
      </c>
      <c r="E19" s="52">
        <f>VLOOKUP(C19,A!C$21:E$973,3,FALSE)</f>
        <v>16157.058402752846</v>
      </c>
      <c r="F19" s="5" t="s">
        <v>67</v>
      </c>
      <c r="G19" s="11" t="str">
        <f t="shared" si="4"/>
        <v>55602.6133</v>
      </c>
      <c r="H19" s="44">
        <f t="shared" si="5"/>
        <v>16157</v>
      </c>
      <c r="I19" s="53" t="s">
        <v>125</v>
      </c>
      <c r="J19" s="54" t="s">
        <v>126</v>
      </c>
      <c r="K19" s="53" t="s">
        <v>127</v>
      </c>
      <c r="L19" s="53" t="s">
        <v>123</v>
      </c>
      <c r="M19" s="54" t="s">
        <v>85</v>
      </c>
      <c r="N19" s="54" t="s">
        <v>67</v>
      </c>
      <c r="O19" s="55" t="s">
        <v>118</v>
      </c>
      <c r="P19" s="56" t="s">
        <v>128</v>
      </c>
    </row>
    <row r="20" spans="1:16" ht="12.75" customHeight="1" thickBot="1">
      <c r="A20" s="44" t="str">
        <f t="shared" si="0"/>
        <v>BAVM 220 </v>
      </c>
      <c r="B20" s="5" t="str">
        <f t="shared" si="1"/>
        <v>I</v>
      </c>
      <c r="C20" s="44">
        <f t="shared" si="2"/>
        <v>55629.4572</v>
      </c>
      <c r="D20" s="11" t="str">
        <f t="shared" si="3"/>
        <v>vis</v>
      </c>
      <c r="E20" s="52">
        <f>VLOOKUP(C20,A!C$21:E$973,3,FALSE)</f>
        <v>16173.058721759053</v>
      </c>
      <c r="F20" s="5" t="s">
        <v>67</v>
      </c>
      <c r="G20" s="11" t="str">
        <f t="shared" si="4"/>
        <v>55629.4572</v>
      </c>
      <c r="H20" s="44">
        <f t="shared" si="5"/>
        <v>16173</v>
      </c>
      <c r="I20" s="53" t="s">
        <v>129</v>
      </c>
      <c r="J20" s="54" t="s">
        <v>130</v>
      </c>
      <c r="K20" s="53" t="s">
        <v>131</v>
      </c>
      <c r="L20" s="53" t="s">
        <v>132</v>
      </c>
      <c r="M20" s="54" t="s">
        <v>85</v>
      </c>
      <c r="N20" s="54" t="s">
        <v>97</v>
      </c>
      <c r="O20" s="55" t="s">
        <v>98</v>
      </c>
      <c r="P20" s="56" t="s">
        <v>133</v>
      </c>
    </row>
    <row r="21" spans="1:16" ht="12.75" customHeight="1" thickBot="1">
      <c r="A21" s="44" t="str">
        <f t="shared" si="0"/>
        <v>IBVS 6029 </v>
      </c>
      <c r="B21" s="5" t="str">
        <f t="shared" si="1"/>
        <v>I</v>
      </c>
      <c r="C21" s="44">
        <f t="shared" si="2"/>
        <v>55971.7099</v>
      </c>
      <c r="D21" s="11" t="str">
        <f t="shared" si="3"/>
        <v>vis</v>
      </c>
      <c r="E21" s="52">
        <f>VLOOKUP(C21,A!C$21:E$973,3,FALSE)</f>
        <v>16377.058601833704</v>
      </c>
      <c r="F21" s="5" t="s">
        <v>67</v>
      </c>
      <c r="G21" s="11" t="str">
        <f t="shared" si="4"/>
        <v>55971.7099</v>
      </c>
      <c r="H21" s="44">
        <f t="shared" si="5"/>
        <v>16377</v>
      </c>
      <c r="I21" s="53" t="s">
        <v>134</v>
      </c>
      <c r="J21" s="54" t="s">
        <v>135</v>
      </c>
      <c r="K21" s="53" t="s">
        <v>136</v>
      </c>
      <c r="L21" s="53" t="s">
        <v>137</v>
      </c>
      <c r="M21" s="54" t="s">
        <v>85</v>
      </c>
      <c r="N21" s="54" t="s">
        <v>67</v>
      </c>
      <c r="O21" s="55" t="s">
        <v>118</v>
      </c>
      <c r="P21" s="56" t="s">
        <v>138</v>
      </c>
    </row>
    <row r="22" spans="1:16" ht="12.75" customHeight="1" thickBot="1">
      <c r="A22" s="44" t="str">
        <f t="shared" si="0"/>
        <v> BRNO 32 </v>
      </c>
      <c r="B22" s="5" t="str">
        <f t="shared" si="1"/>
        <v>I</v>
      </c>
      <c r="C22" s="44">
        <f t="shared" si="2"/>
        <v>50047.6324</v>
      </c>
      <c r="D22" s="11" t="str">
        <f t="shared" si="3"/>
        <v>vis</v>
      </c>
      <c r="E22" s="52">
        <f>VLOOKUP(C22,A!C$21:E$973,3,FALSE)</f>
        <v>12846.009468976856</v>
      </c>
      <c r="F22" s="5" t="s">
        <v>67</v>
      </c>
      <c r="G22" s="11" t="str">
        <f t="shared" si="4"/>
        <v>50047.6324</v>
      </c>
      <c r="H22" s="44">
        <f t="shared" si="5"/>
        <v>12846</v>
      </c>
      <c r="I22" s="53" t="s">
        <v>69</v>
      </c>
      <c r="J22" s="54" t="s">
        <v>70</v>
      </c>
      <c r="K22" s="53">
        <v>12846</v>
      </c>
      <c r="L22" s="53" t="s">
        <v>71</v>
      </c>
      <c r="M22" s="54" t="s">
        <v>72</v>
      </c>
      <c r="N22" s="54"/>
      <c r="O22" s="55" t="s">
        <v>73</v>
      </c>
      <c r="P22" s="55" t="s">
        <v>74</v>
      </c>
    </row>
    <row r="23" spans="1:16" ht="12.75" customHeight="1" thickBot="1">
      <c r="A23" s="44" t="str">
        <f t="shared" si="0"/>
        <v> BBS 127 </v>
      </c>
      <c r="B23" s="5" t="str">
        <f t="shared" si="1"/>
        <v>I</v>
      </c>
      <c r="C23" s="44">
        <f t="shared" si="2"/>
        <v>52282.377</v>
      </c>
      <c r="D23" s="11" t="str">
        <f t="shared" si="3"/>
        <v>vis</v>
      </c>
      <c r="E23" s="52">
        <f>VLOOKUP(C23,A!C$21:E$973,3,FALSE)</f>
        <v>14178.030021035218</v>
      </c>
      <c r="F23" s="5" t="s">
        <v>67</v>
      </c>
      <c r="G23" s="11" t="str">
        <f t="shared" si="4"/>
        <v>52282.377</v>
      </c>
      <c r="H23" s="44">
        <f t="shared" si="5"/>
        <v>14178</v>
      </c>
      <c r="I23" s="53" t="s">
        <v>89</v>
      </c>
      <c r="J23" s="54" t="s">
        <v>90</v>
      </c>
      <c r="K23" s="53">
        <v>14178</v>
      </c>
      <c r="L23" s="53" t="s">
        <v>91</v>
      </c>
      <c r="M23" s="54" t="s">
        <v>78</v>
      </c>
      <c r="N23" s="54" t="s">
        <v>79</v>
      </c>
      <c r="O23" s="55" t="s">
        <v>92</v>
      </c>
      <c r="P23" s="55" t="s">
        <v>93</v>
      </c>
    </row>
    <row r="24" spans="2:6" ht="12.75">
      <c r="B24" s="5"/>
      <c r="E24" s="52"/>
      <c r="F24" s="5"/>
    </row>
    <row r="25" spans="2:6" ht="12.75">
      <c r="B25" s="5"/>
      <c r="E25" s="52"/>
      <c r="F25" s="5"/>
    </row>
    <row r="26" spans="2:6" ht="12.75">
      <c r="B26" s="5"/>
      <c r="E26" s="52"/>
      <c r="F26" s="5"/>
    </row>
    <row r="27" spans="2:6" ht="12.75">
      <c r="B27" s="5"/>
      <c r="E27" s="52"/>
      <c r="F27" s="5"/>
    </row>
    <row r="28" spans="2:6" ht="12.75">
      <c r="B28" s="5"/>
      <c r="E28" s="52"/>
      <c r="F28" s="5"/>
    </row>
    <row r="29" spans="2:6" ht="12.75">
      <c r="B29" s="5"/>
      <c r="E29" s="52"/>
      <c r="F29" s="5"/>
    </row>
    <row r="30" spans="2:6" ht="12.75">
      <c r="B30" s="5"/>
      <c r="E30" s="52"/>
      <c r="F30" s="5"/>
    </row>
    <row r="31" spans="2:6" ht="12.75">
      <c r="B31" s="5"/>
      <c r="E31" s="52"/>
      <c r="F31" s="5"/>
    </row>
    <row r="32" spans="2:6" ht="12.75">
      <c r="B32" s="5"/>
      <c r="E32" s="52"/>
      <c r="F32" s="5"/>
    </row>
    <row r="33" spans="2:6" ht="12.75">
      <c r="B33" s="5"/>
      <c r="E33" s="52"/>
      <c r="F33" s="5"/>
    </row>
    <row r="34" spans="2:6" ht="12.75">
      <c r="B34" s="5"/>
      <c r="E34" s="52"/>
      <c r="F34" s="5"/>
    </row>
    <row r="35" spans="2:6" ht="12.75">
      <c r="B35" s="5"/>
      <c r="E35" s="52"/>
      <c r="F35" s="5"/>
    </row>
    <row r="36" spans="2:6" ht="12.75">
      <c r="B36" s="5"/>
      <c r="E36" s="52"/>
      <c r="F36" s="5"/>
    </row>
    <row r="37" spans="2:6" ht="12.75">
      <c r="B37" s="5"/>
      <c r="E37" s="52"/>
      <c r="F37" s="5"/>
    </row>
    <row r="38" spans="2:6" ht="12.75">
      <c r="B38" s="5"/>
      <c r="E38" s="52"/>
      <c r="F38" s="5"/>
    </row>
    <row r="39" spans="2:6" ht="12.75">
      <c r="B39" s="5"/>
      <c r="E39" s="52"/>
      <c r="F39" s="5"/>
    </row>
    <row r="40" spans="2:6" ht="12.75">
      <c r="B40" s="5"/>
      <c r="E40" s="52"/>
      <c r="F40" s="5"/>
    </row>
    <row r="41" spans="2:6" ht="12.75">
      <c r="B41" s="5"/>
      <c r="E41" s="52"/>
      <c r="F41" s="5"/>
    </row>
    <row r="42" spans="2:6" ht="12.75">
      <c r="B42" s="5"/>
      <c r="E42" s="52"/>
      <c r="F42" s="5"/>
    </row>
    <row r="43" spans="2:6" ht="12.75">
      <c r="B43" s="5"/>
      <c r="E43" s="52"/>
      <c r="F43" s="5"/>
    </row>
    <row r="44" spans="2:6" ht="12.75">
      <c r="B44" s="5"/>
      <c r="E44" s="52"/>
      <c r="F44" s="5"/>
    </row>
    <row r="45" spans="2:6" ht="12.75">
      <c r="B45" s="5"/>
      <c r="E45" s="52"/>
      <c r="F45" s="5"/>
    </row>
    <row r="46" spans="2:6" ht="12.75">
      <c r="B46" s="5"/>
      <c r="E46" s="52"/>
      <c r="F46" s="5"/>
    </row>
    <row r="47" spans="2:6" ht="12.75">
      <c r="B47" s="5"/>
      <c r="E47" s="52"/>
      <c r="F47" s="5"/>
    </row>
    <row r="48" spans="2:6" ht="12.75">
      <c r="B48" s="5"/>
      <c r="E48" s="52"/>
      <c r="F48" s="5"/>
    </row>
    <row r="49" spans="2:6" ht="12.75">
      <c r="B49" s="5"/>
      <c r="E49" s="52"/>
      <c r="F49" s="5"/>
    </row>
    <row r="50" spans="2:6" ht="12.75">
      <c r="B50" s="5"/>
      <c r="E50" s="52"/>
      <c r="F50" s="5"/>
    </row>
    <row r="51" spans="2:6" ht="12.75">
      <c r="B51" s="5"/>
      <c r="E51" s="52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</sheetData>
  <sheetProtection/>
  <hyperlinks>
    <hyperlink ref="P11" r:id="rId1" display="http://www.konkoly.hu/cgi-bin/IBVS?5263"/>
    <hyperlink ref="P12" r:id="rId2" display="http://var.astro.cz/oejv/issues/oejv0074.pdf"/>
    <hyperlink ref="P13" r:id="rId3" display="http://www.bav-astro.de/sfs/BAVM_link.php?BAVMnr=178"/>
    <hyperlink ref="P14" r:id="rId4" display="http://www.bav-astro.de/sfs/BAVM_link.php?BAVMnr=183"/>
    <hyperlink ref="P15" r:id="rId5" display="http://www.bav-astro.de/sfs/BAVM_link.php?BAVMnr=201"/>
    <hyperlink ref="P16" r:id="rId6" display="http://www.bav-astro.de/sfs/BAVM_link.php?BAVMnr=201"/>
    <hyperlink ref="P17" r:id="rId7" display="http://www.konkoly.hu/cgi-bin/IBVS?5837"/>
    <hyperlink ref="P18" r:id="rId8" display="http://www.konkoly.hu/cgi-bin/IBVS?5960"/>
    <hyperlink ref="P19" r:id="rId9" display="http://www.konkoly.hu/cgi-bin/IBVS?5992"/>
    <hyperlink ref="P20" r:id="rId10" display="http://www.bav-astro.de/sfs/BAVM_link.php?BAVMnr=220"/>
    <hyperlink ref="P21" r:id="rId11" display="http://www.konkoly.hu/cgi-bin/IBVS?602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