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5" windowWidth="8535" windowHeight="1332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<sst xmlns="http://schemas.openxmlformats.org/spreadsheetml/2006/main" count="223" uniqueCount="146">
  <si>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</si>
  <si>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</si>
  <si>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</si>
  <si>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</si>
  <si>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</si>
  <si>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</si>
  <si>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</si>
  <si>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</si>
  <si>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</si>
  <si>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</si>
  <si>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</si>
  <si>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</si>
  <si>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</si>
  <si>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</si>
  <si>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</si>
  <si>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</si>
  <si>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</si>
  <si>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</si>
  <si>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</si>
  <si>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</si>
  <si>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</si>
  <si>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</si>
  <si>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</si>
  <si>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</si>
  <si>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</si>
  <si>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</si>
  <si>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</si>
  <si>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</si>
  <si>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</si>
  <si>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</si>
  <si>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Bull.114</t>
  </si>
  <si>
    <t>B</t>
  </si>
  <si>
    <t>BBSAG Bull.118</t>
  </si>
  <si>
    <t># of data points:</t>
  </si>
  <si>
    <t>EA</t>
  </si>
  <si>
    <t>IK Her / GSC 02594-01492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</si>
  <si>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</si>
  <si>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</si>
  <si>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</si>
  <si>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</si>
  <si>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</si>
  <si>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</si>
  <si>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</si>
  <si>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5894</t>
  </si>
  <si>
    <t>I</t>
  </si>
  <si>
    <t>OEJV 0107</t>
  </si>
  <si>
    <t>Add cycle</t>
  </si>
  <si>
    <t>Old Cycle</t>
  </si>
  <si>
    <t>OEJV 0137</t>
  </si>
  <si>
    <t>IBVS 5918</t>
  </si>
  <si>
    <t>IBVS 5959</t>
  </si>
  <si>
    <t>II</t>
  </si>
  <si>
    <t>IBVS 5992</t>
  </si>
  <si>
    <t>IBVS 6010</t>
  </si>
  <si>
    <t>OEJV 0160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</si>
  <si>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</si>
  <si>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</si>
  <si>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</si>
  <si>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</si>
  <si>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</si>
  <si>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</si>
  <si>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</si>
  <si>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</si>
  <si>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</si>
  <si>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</si>
  <si>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</si>
  <si>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2450525.6357 </t>
  </si>
  <si>
    <t> 18.03.1997 03:15 </t>
  </si>
  <si>
    <t> 0.1652 </t>
  </si>
  <si>
    <t>E </t>
  </si>
  <si>
    <t>?</t>
  </si>
  <si>
    <t> R.Diethelm </t>
  </si>
  <si>
    <t> BBS 114 </t>
  </si>
  <si>
    <t>2450943.4190 </t>
  </si>
  <si>
    <t> 09.05.1998 22:03 </t>
  </si>
  <si>
    <t> 0.1701 </t>
  </si>
  <si>
    <t> BBS 118 </t>
  </si>
  <si>
    <t>2451199.586 </t>
  </si>
  <si>
    <t> 21.01.1999 02:03 </t>
  </si>
  <si>
    <t> 0.173 </t>
  </si>
  <si>
    <t> BBS 119 </t>
  </si>
  <si>
    <t>2451673.4388 </t>
  </si>
  <si>
    <t> 08.05.2000 22:31 </t>
  </si>
  <si>
    <t> 0.1770 </t>
  </si>
  <si>
    <t> BBS 123 </t>
  </si>
  <si>
    <t>2453565.5663 </t>
  </si>
  <si>
    <t> 14.07.2005 01:35 </t>
  </si>
  <si>
    <t> 0.2078 </t>
  </si>
  <si>
    <t>C </t>
  </si>
  <si>
    <t>o</t>
  </si>
  <si>
    <t> Schmidt </t>
  </si>
  <si>
    <t>BAVM 178 </t>
  </si>
  <si>
    <t>2453983.349 </t>
  </si>
  <si>
    <t> 04.09.2006 20:22 </t>
  </si>
  <si>
    <t> 0.212 </t>
  </si>
  <si>
    <t> S.Valentini </t>
  </si>
  <si>
    <t> JAAVSO 39;102 </t>
  </si>
  <si>
    <t>2454925.5803 </t>
  </si>
  <si>
    <t> 04.04.2009 01:55 </t>
  </si>
  <si>
    <t> 0.2430 </t>
  </si>
  <si>
    <t>R</t>
  </si>
  <si>
    <t> M.Lehky </t>
  </si>
  <si>
    <t>OEJV 0107 </t>
  </si>
  <si>
    <t>2454947.5676 </t>
  </si>
  <si>
    <t> 26.04.2009 01:37 </t>
  </si>
  <si>
    <t> 0.2420 </t>
  </si>
  <si>
    <t>-I</t>
  </si>
  <si>
    <t> F.Agerer </t>
  </si>
  <si>
    <t>BAVM 209 </t>
  </si>
  <si>
    <t>2454994.8446 </t>
  </si>
  <si>
    <t> 12.06.2009 08:16 </t>
  </si>
  <si>
    <t>24927</t>
  </si>
  <si>
    <t> 0.2440 </t>
  </si>
  <si>
    <t>IBVS 5894 </t>
  </si>
  <si>
    <t>2455278.5020 </t>
  </si>
  <si>
    <t> 23.03.2010 00:02 </t>
  </si>
  <si>
    <t>25185</t>
  </si>
  <si>
    <t> 0.2519 </t>
  </si>
  <si>
    <t> V.P?ibík </t>
  </si>
  <si>
    <t>OEJV 0137 </t>
  </si>
  <si>
    <t>2455312.5813 </t>
  </si>
  <si>
    <t> 26.04.2010 01:57 </t>
  </si>
  <si>
    <t>25216</t>
  </si>
  <si>
    <t> 0.2492 </t>
  </si>
  <si>
    <t> J.Trnka </t>
  </si>
  <si>
    <t>2455372.5098 </t>
  </si>
  <si>
    <t> 25.06.2010 00:14 </t>
  </si>
  <si>
    <t>25270.5</t>
  </si>
  <si>
    <t> 0.2595 </t>
  </si>
  <si>
    <t>BAVM 214 </t>
  </si>
  <si>
    <t>2455600.63612 </t>
  </si>
  <si>
    <t> 08.02.2011 03:16 </t>
  </si>
  <si>
    <t>25478</t>
  </si>
  <si>
    <t> 0.25679 </t>
  </si>
  <si>
    <t> V.P?ibik </t>
  </si>
  <si>
    <t>OEJV 0160 </t>
  </si>
  <si>
    <t>2455671.5566 </t>
  </si>
  <si>
    <t> 20.04.2011 01:21 </t>
  </si>
  <si>
    <t>25542.5</t>
  </si>
  <si>
    <t> 0.2649 </t>
  </si>
  <si>
    <t>BAVM 220 </t>
  </si>
  <si>
    <t>2455712.7809 </t>
  </si>
  <si>
    <t> 31.05.2011 06:44 </t>
  </si>
  <si>
    <t>25580</t>
  </si>
  <si>
    <t> 0.2610 </t>
  </si>
  <si>
    <t>IBVS 5992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</si>
</sst>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3" fillId="24" borderId="18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0" fillId="0" borderId="0" xfId="61" applyFont="1" applyAlignment="1">
      <alignment horizontal="left"/>
      <protection/>
    </xf>
    <xf numFmtId="0" fontId="30" fillId="0" borderId="0" xfId="61" applyFont="1" applyAlignment="1">
      <alignment horizontal="left" wrapText="1"/>
      <protection/>
    </xf>
    <xf numFmtId="0" fontId="5" fillId="25" borderId="0" xfId="0" applyFont="1" applyFill="1" applyAlignment="1">
      <alignment/>
    </xf>
    <xf numFmtId="0" fontId="14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IK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5"/>
          <c:w val="0.902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plus>
            <c:min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0.0008</c:v>
                  </c:pt>
                  <c:pt idx="2">
                    <c:v>0.0008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0.0011</c:v>
                  </c:pt>
                  <c:pt idx="6">
                    <c:v>0</c:v>
                  </c:pt>
                  <c:pt idx="7">
                    <c:v>0.0003</c:v>
                  </c:pt>
                  <c:pt idx="8">
                    <c:v>0.0008</c:v>
                  </c:pt>
                  <c:pt idx="9">
                    <c:v>0.0004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0.0096</c:v>
                  </c:pt>
                  <c:pt idx="13">
                    <c:v>0.001</c:v>
                  </c:pt>
                  <c:pt idx="14">
                    <c:v>0.0103</c:v>
                  </c:pt>
                  <c:pt idx="15">
                    <c:v>0.0005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0.0003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11447077"/>
        <c:axId val="35914830"/>
      </c:scatterChart>
      <c:valAx>
        <c:axId val="11447077"/>
        <c:scaling>
          <c:orientation val="minMax"/>
          <c:min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crossBetween val="midCat"/>
        <c:dispUnits/>
      </c:valAx>
      <c:valAx>
        <c:axId val="3591483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4"/>
          <c:y val="0.9305"/>
          <c:w val="0.73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15</xdr:col>
      <xdr:colOff>466725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24375" y="0"/>
        <a:ext cx="55245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var.astro.cz/oejv/issues/oejv0107.pdf" TargetMode="External" /><Relationship Id="rId3" Type="http://schemas.openxmlformats.org/officeDocument/2006/relationships/hyperlink" Target="http://www.bav-astro.de/sfs/BAVM_link.php?BAVMnr=209" TargetMode="External" /><Relationship Id="rId4" Type="http://schemas.openxmlformats.org/officeDocument/2006/relationships/hyperlink" Target="http://www.konkoly.hu/cgi-bin/IBVS?5894" TargetMode="External" /><Relationship Id="rId5" Type="http://schemas.openxmlformats.org/officeDocument/2006/relationships/hyperlink" Target="http://var.astro.cz/oejv/issues/oejv0137.pdf" TargetMode="External" /><Relationship Id="rId6" Type="http://schemas.openxmlformats.org/officeDocument/2006/relationships/hyperlink" Target="http://var.astro.cz/oejv/issues/oejv0137.pdf" TargetMode="External" /><Relationship Id="rId7" Type="http://schemas.openxmlformats.org/officeDocument/2006/relationships/hyperlink" Target="http://www.bav-astro.de/sfs/BAVM_link.php?BAVMnr=214" TargetMode="External" /><Relationship Id="rId8" Type="http://schemas.openxmlformats.org/officeDocument/2006/relationships/hyperlink" Target="http://var.astro.cz/oejv/issues/oejv0160.pdf" TargetMode="External" /><Relationship Id="rId9" Type="http://schemas.openxmlformats.org/officeDocument/2006/relationships/hyperlink" Target="http://www.bav-astro.de/sfs/BAVM_link.php?BAVMnr=220" TargetMode="External" /><Relationship Id="rId10" Type="http://schemas.openxmlformats.org/officeDocument/2006/relationships/hyperlink" Target="http://www.konkoly.hu/cgi-bin/IBVS?5992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s="9" t="s">
        <v>34</v>
      </c>
    </row>
    <row r="4" spans="1:4" ht="14.25" thickBot="1" thickTop="1">
      <c r="A4" s="6" t="s">
        <v>1</v>
      </c>
      <c r="C4" s="2">
        <v>27589.433</v>
      </c>
      <c r="D4" s="3">
        <v>1.099417</v>
      </c>
    </row>
    <row r="5" spans="1:4" ht="13.5" thickTop="1">
      <c r="A5" s="11" t="s">
        <v>37</v>
      </c>
      <c r="B5" s="10"/>
      <c r="C5" s="12">
        <v>-9.5</v>
      </c>
      <c r="D5" s="10" t="s">
        <v>38</v>
      </c>
    </row>
    <row r="6" ht="12.75">
      <c r="A6" s="6" t="s">
        <v>2</v>
      </c>
    </row>
    <row r="7" spans="1:3" ht="12.75">
      <c r="A7" t="s">
        <v>3</v>
      </c>
      <c r="C7">
        <f>+C4</f>
        <v>27589.433</v>
      </c>
    </row>
    <row r="8" spans="1:3" ht="12.75">
      <c r="A8" t="s">
        <v>4</v>
      </c>
      <c r="C8">
        <f>+D4</f>
        <v>1.099417</v>
      </c>
    </row>
    <row r="9" spans="1:4" ht="12.75">
      <c r="A9" s="25" t="s">
        <v>42</v>
      </c>
      <c r="B9" s="26">
        <v>21</v>
      </c>
      <c r="C9" s="14" t="str">
        <f>"F"&amp;B9</f>
        <v>F21</v>
      </c>
      <c r="D9" s="15" t="str">
        <f>"G"&amp;B9</f>
        <v>G21</v>
      </c>
    </row>
    <row r="10" spans="1:5" ht="13.5" thickBot="1">
      <c r="A10" s="10"/>
      <c r="B10" s="10"/>
      <c r="C10" s="5" t="s">
        <v>21</v>
      </c>
      <c r="D10" s="5" t="s">
        <v>22</v>
      </c>
      <c r="E10" s="10"/>
    </row>
    <row r="11" spans="1:5" ht="12.75">
      <c r="A11" s="10" t="s">
        <v>17</v>
      </c>
      <c r="B11" s="10"/>
      <c r="C11" s="13">
        <f ca="1">INTERCEPT(INDIRECT($D$9):G989,INDIRECT($C$9):F989)</f>
        <v>-0.29783137290250006</v>
      </c>
      <c r="D11" s="4"/>
      <c r="E11" s="10"/>
    </row>
    <row r="12" spans="1:5" ht="12.75">
      <c r="A12" s="10" t="s">
        <v>18</v>
      </c>
      <c r="B12" s="10"/>
      <c r="C12" s="13">
        <f ca="1">SLOPE(INDIRECT($D$9):G989,INDIRECT($C$9):F989)</f>
        <v>2.180916143228257E-05</v>
      </c>
      <c r="D12" s="4"/>
      <c r="E12" s="10"/>
    </row>
    <row r="13" spans="1:3" ht="12.75">
      <c r="A13" s="10" t="s">
        <v>20</v>
      </c>
      <c r="B13" s="10"/>
      <c r="C13" s="4" t="s">
        <v>15</v>
      </c>
    </row>
    <row r="14" spans="1:3" ht="12.75">
      <c r="A14" s="10"/>
      <c r="B14" s="10"/>
      <c r="C14" s="10"/>
    </row>
    <row r="15" spans="1:6" ht="12.75">
      <c r="A15" s="16" t="s">
        <v>19</v>
      </c>
      <c r="B15" s="10"/>
      <c r="C15" s="17">
        <f>(C7+C11)+(C8+C12)*INT(MAX(F21:F3530))</f>
        <v>57855.586146032176</v>
      </c>
      <c r="E15" s="18" t="s">
        <v>46</v>
      </c>
      <c r="F15" s="12">
        <v>1</v>
      </c>
    </row>
    <row r="16" spans="1:6" ht="12.75">
      <c r="A16" s="20" t="s">
        <v>5</v>
      </c>
      <c r="B16" s="10"/>
      <c r="C16" s="21">
        <f>+C8+C12</f>
        <v>1.0994388091614324</v>
      </c>
      <c r="E16" s="18" t="s">
        <v>39</v>
      </c>
      <c r="F16" s="19">
        <f ca="1">NOW()+15018.5+$C$5/24</f>
        <v>59900.80467210648</v>
      </c>
    </row>
    <row r="17" spans="1:6" ht="13.5" thickBot="1">
      <c r="A17" s="18" t="s">
        <v>33</v>
      </c>
      <c r="B17" s="10"/>
      <c r="C17" s="10">
        <f>COUNT(C21:C2188)</f>
        <v>19</v>
      </c>
      <c r="E17" s="18" t="s">
        <v>47</v>
      </c>
      <c r="F17" s="19">
        <f>ROUND(2*(F16-$C$7)/$C$8,0)/2+F15</f>
        <v>29390.5</v>
      </c>
    </row>
    <row r="18" spans="1:6" ht="14.25" thickBot="1" thickTop="1">
      <c r="A18" s="20" t="s">
        <v>6</v>
      </c>
      <c r="B18" s="10"/>
      <c r="C18" s="23">
        <f>+C15</f>
        <v>57855.586146032176</v>
      </c>
      <c r="D18" s="24">
        <f>+C16</f>
        <v>1.0994388091614324</v>
      </c>
      <c r="E18" s="18" t="s">
        <v>40</v>
      </c>
      <c r="F18" s="15">
        <f>ROUND(2*(F16-$C$15)/$C$16,0)/2+F15</f>
        <v>1861</v>
      </c>
    </row>
    <row r="19" spans="5:6" ht="13.5" thickTop="1">
      <c r="E19" s="18" t="s">
        <v>41</v>
      </c>
      <c r="F19" s="22">
        <f>+$C$15+$C$16*F18-15018.5-$C$5/24</f>
        <v>44883.537603214936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62</v>
      </c>
      <c r="I20" s="8" t="s">
        <v>65</v>
      </c>
      <c r="J20" s="8" t="s">
        <v>59</v>
      </c>
      <c r="K20" s="8" t="s">
        <v>57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</row>
    <row r="21" spans="1:17" s="27" customFormat="1" ht="12.75">
      <c r="A21" s="27" t="s">
        <v>13</v>
      </c>
      <c r="C21" s="31">
        <v>27589.433</v>
      </c>
      <c r="D21" s="31" t="s">
        <v>15</v>
      </c>
      <c r="E21" s="27">
        <f aca="true" t="shared" si="0" ref="E21:E39">+(C21-C$7)/C$8</f>
        <v>0</v>
      </c>
      <c r="F21" s="27">
        <f aca="true" t="shared" si="1" ref="F21:F36">ROUND(2*E21,0)/2</f>
        <v>0</v>
      </c>
      <c r="H21" s="27">
        <v>0</v>
      </c>
      <c r="O21" s="27">
        <f aca="true" t="shared" si="2" ref="O21:O39">+C$11+C$12*F21</f>
        <v>-0.29783137290250006</v>
      </c>
      <c r="Q21" s="28">
        <f aca="true" t="shared" si="3" ref="Q21:Q39">+C21-15018.5</f>
        <v>12570.933</v>
      </c>
    </row>
    <row r="22" spans="1:17" ht="12.75">
      <c r="A22" s="27" t="s">
        <v>30</v>
      </c>
      <c r="B22" s="27"/>
      <c r="C22" s="31">
        <v>50525.6357</v>
      </c>
      <c r="D22" s="31">
        <v>0.0008</v>
      </c>
      <c r="E22" s="27">
        <f t="shared" si="0"/>
        <v>20862.15030329711</v>
      </c>
      <c r="F22" s="27">
        <f t="shared" si="1"/>
        <v>20862</v>
      </c>
      <c r="G22" s="27">
        <f aca="true" t="shared" si="4" ref="G22:G39">+C22-(C$7+F22*C$8)</f>
        <v>0.16524599999684142</v>
      </c>
      <c r="H22" s="27"/>
      <c r="I22" s="27"/>
      <c r="J22" s="27"/>
      <c r="K22" s="27">
        <f>+G22</f>
        <v>0.16524599999684142</v>
      </c>
      <c r="L22" s="27"/>
      <c r="M22" s="27"/>
      <c r="N22" s="27"/>
      <c r="O22" s="27">
        <f t="shared" si="2"/>
        <v>0.15715135289777893</v>
      </c>
      <c r="P22" s="27"/>
      <c r="Q22" s="28">
        <f t="shared" si="3"/>
        <v>35507.1357</v>
      </c>
    </row>
    <row r="23" spans="1:17" ht="12.75">
      <c r="A23" s="27" t="s">
        <v>32</v>
      </c>
      <c r="B23" s="27"/>
      <c r="C23" s="31">
        <v>50943.419</v>
      </c>
      <c r="D23" s="31">
        <v>0.0008</v>
      </c>
      <c r="E23" s="27">
        <f t="shared" si="0"/>
        <v>21242.154705630346</v>
      </c>
      <c r="F23" s="27">
        <f t="shared" si="1"/>
        <v>21242</v>
      </c>
      <c r="G23" s="27">
        <f t="shared" si="4"/>
        <v>0.17008599999826401</v>
      </c>
      <c r="H23" s="27"/>
      <c r="I23" s="27"/>
      <c r="J23" s="27"/>
      <c r="K23" s="27">
        <f>+G23</f>
        <v>0.17008599999826401</v>
      </c>
      <c r="L23" s="27"/>
      <c r="M23" s="27"/>
      <c r="N23" s="27"/>
      <c r="O23" s="27">
        <f t="shared" si="2"/>
        <v>0.1654388342420463</v>
      </c>
      <c r="P23" s="27"/>
      <c r="Q23" s="28">
        <f t="shared" si="3"/>
        <v>35924.919</v>
      </c>
    </row>
    <row r="24" spans="1:17" s="27" customFormat="1" ht="12.75">
      <c r="A24" s="49" t="s">
        <v>80</v>
      </c>
      <c r="B24" s="50" t="s">
        <v>44</v>
      </c>
      <c r="C24" s="57">
        <v>51199.586</v>
      </c>
      <c r="D24" s="57" t="s">
        <v>65</v>
      </c>
      <c r="E24" s="27">
        <f t="shared" si="0"/>
        <v>21475.157287908045</v>
      </c>
      <c r="F24" s="27">
        <f t="shared" si="1"/>
        <v>21475</v>
      </c>
      <c r="G24" s="27">
        <f t="shared" si="4"/>
        <v>0.17292499999894062</v>
      </c>
      <c r="I24" s="27">
        <f>+G24</f>
        <v>0.17292499999894062</v>
      </c>
      <c r="J24"/>
      <c r="K24"/>
      <c r="O24" s="27">
        <f t="shared" si="2"/>
        <v>0.17052036885576816</v>
      </c>
      <c r="Q24" s="28">
        <f t="shared" si="3"/>
        <v>36181.086</v>
      </c>
    </row>
    <row r="25" spans="1:31" s="27" customFormat="1" ht="12.75">
      <c r="A25" s="49" t="s">
        <v>84</v>
      </c>
      <c r="B25" s="50" t="s">
        <v>44</v>
      </c>
      <c r="C25" s="57">
        <v>51673.4388</v>
      </c>
      <c r="D25" s="57" t="s">
        <v>65</v>
      </c>
      <c r="E25" s="27">
        <f t="shared" si="0"/>
        <v>21906.160992598805</v>
      </c>
      <c r="F25" s="27">
        <f t="shared" si="1"/>
        <v>21906</v>
      </c>
      <c r="G25" s="27">
        <f t="shared" si="4"/>
        <v>0.1769979999953648</v>
      </c>
      <c r="J25"/>
      <c r="K25" s="27">
        <f>+G25</f>
        <v>0.1769979999953648</v>
      </c>
      <c r="O25" s="27">
        <f t="shared" si="2"/>
        <v>0.17992011743308195</v>
      </c>
      <c r="Q25" s="28">
        <f t="shared" si="3"/>
        <v>36654.9388</v>
      </c>
      <c r="AA25" s="27">
        <v>15</v>
      </c>
      <c r="AC25" s="27" t="s">
        <v>29</v>
      </c>
      <c r="AE25" s="27" t="s">
        <v>31</v>
      </c>
    </row>
    <row r="26" spans="1:17" ht="12.75">
      <c r="A26" s="29" t="s">
        <v>36</v>
      </c>
      <c r="B26" s="30"/>
      <c r="C26" s="31">
        <v>53565.5663</v>
      </c>
      <c r="D26" s="31">
        <v>0.0011</v>
      </c>
      <c r="E26" s="27">
        <f t="shared" si="0"/>
        <v>23627.18904655831</v>
      </c>
      <c r="F26" s="27">
        <f t="shared" si="1"/>
        <v>23627</v>
      </c>
      <c r="G26" s="27">
        <f t="shared" si="4"/>
        <v>0.20784099999582395</v>
      </c>
      <c r="H26" s="27"/>
      <c r="I26" s="27"/>
      <c r="J26" s="27">
        <f>+G26</f>
        <v>0.20784099999582395</v>
      </c>
      <c r="K26" s="27"/>
      <c r="L26" s="27"/>
      <c r="M26" s="27"/>
      <c r="N26" s="27"/>
      <c r="O26" s="27">
        <f t="shared" si="2"/>
        <v>0.21745368425804024</v>
      </c>
      <c r="P26" s="27"/>
      <c r="Q26" s="28">
        <f t="shared" si="3"/>
        <v>38547.0663</v>
      </c>
    </row>
    <row r="27" spans="1:31" s="27" customFormat="1" ht="12.75">
      <c r="A27" s="49" t="s">
        <v>96</v>
      </c>
      <c r="B27" s="50" t="s">
        <v>44</v>
      </c>
      <c r="C27" s="57">
        <v>53983.349</v>
      </c>
      <c r="D27" s="57" t="s">
        <v>65</v>
      </c>
      <c r="E27" s="27">
        <f t="shared" si="0"/>
        <v>24007.19290314776</v>
      </c>
      <c r="F27" s="27">
        <f t="shared" si="1"/>
        <v>24007</v>
      </c>
      <c r="G27" s="27">
        <f t="shared" si="4"/>
        <v>0.2120809999978519</v>
      </c>
      <c r="J27" s="27">
        <f>+G27</f>
        <v>0.2120809999978519</v>
      </c>
      <c r="O27" s="27">
        <f t="shared" si="2"/>
        <v>0.22574116560230761</v>
      </c>
      <c r="Q27" s="28">
        <f t="shared" si="3"/>
        <v>38964.849</v>
      </c>
      <c r="AA27" s="27">
        <v>13</v>
      </c>
      <c r="AC27" s="27" t="s">
        <v>29</v>
      </c>
      <c r="AE27" s="27" t="s">
        <v>31</v>
      </c>
    </row>
    <row r="28" spans="1:17" ht="12.75">
      <c r="A28" s="29" t="s">
        <v>45</v>
      </c>
      <c r="B28" s="32" t="s">
        <v>44</v>
      </c>
      <c r="C28" s="31">
        <v>54925.58037</v>
      </c>
      <c r="D28" s="31">
        <v>0.0003</v>
      </c>
      <c r="E28" s="27">
        <f t="shared" si="0"/>
        <v>24864.2211008198</v>
      </c>
      <c r="F28" s="27">
        <f t="shared" si="1"/>
        <v>24864</v>
      </c>
      <c r="G28" s="27">
        <f t="shared" si="4"/>
        <v>0.243082000000868</v>
      </c>
      <c r="H28" s="27"/>
      <c r="I28" s="27"/>
      <c r="J28" s="27"/>
      <c r="K28" s="27">
        <f>+G28</f>
        <v>0.243082000000868</v>
      </c>
      <c r="L28" s="27"/>
      <c r="M28" s="27"/>
      <c r="N28" s="27"/>
      <c r="O28" s="27">
        <f t="shared" si="2"/>
        <v>0.24443161694977378</v>
      </c>
      <c r="P28" s="27"/>
      <c r="Q28" s="28">
        <f t="shared" si="3"/>
        <v>39907.08037</v>
      </c>
    </row>
    <row r="29" spans="1:18" s="27" customFormat="1" ht="12.75">
      <c r="A29" s="33" t="s">
        <v>49</v>
      </c>
      <c r="B29" s="34" t="s">
        <v>44</v>
      </c>
      <c r="C29" s="33">
        <v>54947.5676</v>
      </c>
      <c r="D29" s="33">
        <v>0.0008</v>
      </c>
      <c r="E29" s="27">
        <f t="shared" si="0"/>
        <v>24884.220091193787</v>
      </c>
      <c r="F29" s="27">
        <f t="shared" si="1"/>
        <v>24884</v>
      </c>
      <c r="G29" s="27">
        <f t="shared" si="4"/>
        <v>0.24197199999616714</v>
      </c>
      <c r="J29" s="27">
        <f>+G29</f>
        <v>0.24197199999616714</v>
      </c>
      <c r="O29" s="27">
        <f t="shared" si="2"/>
        <v>0.24486780017841947</v>
      </c>
      <c r="Q29" s="28">
        <f t="shared" si="3"/>
        <v>39929.0676</v>
      </c>
      <c r="R29"/>
    </row>
    <row r="30" spans="1:17" ht="12.75">
      <c r="A30" s="31" t="s">
        <v>43</v>
      </c>
      <c r="B30" s="32" t="s">
        <v>44</v>
      </c>
      <c r="C30" s="31">
        <v>54994.8446</v>
      </c>
      <c r="D30" s="31">
        <v>0.0004</v>
      </c>
      <c r="E30" s="27">
        <f t="shared" si="0"/>
        <v>24927.221973100284</v>
      </c>
      <c r="F30" s="27">
        <f t="shared" si="1"/>
        <v>24927</v>
      </c>
      <c r="G30" s="27">
        <f t="shared" si="4"/>
        <v>0.2440409999981057</v>
      </c>
      <c r="H30" s="27"/>
      <c r="I30" s="27"/>
      <c r="K30" s="27">
        <f>+G30</f>
        <v>0.2440409999981057</v>
      </c>
      <c r="L30" s="27"/>
      <c r="M30" s="27"/>
      <c r="N30" s="27"/>
      <c r="O30" s="27">
        <f t="shared" si="2"/>
        <v>0.24580559412000758</v>
      </c>
      <c r="P30" s="27"/>
      <c r="Q30" s="28">
        <f t="shared" si="3"/>
        <v>39976.3446</v>
      </c>
    </row>
    <row r="31" spans="1:17" ht="12.75">
      <c r="A31" s="29" t="s">
        <v>48</v>
      </c>
      <c r="B31" s="32" t="s">
        <v>44</v>
      </c>
      <c r="C31" s="31">
        <v>55278.50206</v>
      </c>
      <c r="D31" s="31">
        <v>0.02</v>
      </c>
      <c r="E31" s="27">
        <f t="shared" si="0"/>
        <v>25185.229135077952</v>
      </c>
      <c r="F31" s="27">
        <f t="shared" si="1"/>
        <v>25185</v>
      </c>
      <c r="G31" s="27">
        <f t="shared" si="4"/>
        <v>0.25191500000073574</v>
      </c>
      <c r="H31" s="27"/>
      <c r="I31" s="27">
        <f>+G31</f>
        <v>0.25191500000073574</v>
      </c>
      <c r="J31" s="27"/>
      <c r="L31" s="27"/>
      <c r="M31" s="27"/>
      <c r="N31" s="27"/>
      <c r="O31" s="27">
        <f t="shared" si="2"/>
        <v>0.25143235776953654</v>
      </c>
      <c r="P31" s="27"/>
      <c r="Q31" s="28">
        <f t="shared" si="3"/>
        <v>40260.00206</v>
      </c>
    </row>
    <row r="32" spans="1:17" ht="12.75">
      <c r="A32" s="29" t="s">
        <v>48</v>
      </c>
      <c r="B32" s="32" t="s">
        <v>44</v>
      </c>
      <c r="C32" s="31">
        <v>55312.58137</v>
      </c>
      <c r="D32" s="31">
        <v>0.0003</v>
      </c>
      <c r="E32" s="27">
        <f t="shared" si="0"/>
        <v>25216.226754725456</v>
      </c>
      <c r="F32" s="27">
        <f t="shared" si="1"/>
        <v>25216</v>
      </c>
      <c r="G32" s="27">
        <f t="shared" si="4"/>
        <v>0.24929799999517854</v>
      </c>
      <c r="H32" s="27"/>
      <c r="I32" s="27"/>
      <c r="J32" s="27"/>
      <c r="K32" s="27">
        <f>+G32</f>
        <v>0.24929799999517854</v>
      </c>
      <c r="L32" s="27"/>
      <c r="M32" s="27"/>
      <c r="N32" s="27"/>
      <c r="O32" s="27">
        <f t="shared" si="2"/>
        <v>0.2521084417739372</v>
      </c>
      <c r="P32" s="27"/>
      <c r="Q32" s="28">
        <f t="shared" si="3"/>
        <v>40294.08137</v>
      </c>
    </row>
    <row r="33" spans="1:17" ht="12.75">
      <c r="A33" s="33" t="s">
        <v>50</v>
      </c>
      <c r="B33" s="34" t="s">
        <v>51</v>
      </c>
      <c r="C33" s="33">
        <v>55372.5098</v>
      </c>
      <c r="D33" s="33">
        <v>0.0096</v>
      </c>
      <c r="E33" s="27">
        <f t="shared" si="0"/>
        <v>25270.736035553386</v>
      </c>
      <c r="F33" s="27">
        <f t="shared" si="1"/>
        <v>25270.5</v>
      </c>
      <c r="G33" s="27">
        <f t="shared" si="4"/>
        <v>0.25950149999698624</v>
      </c>
      <c r="H33" s="27"/>
      <c r="I33" s="27"/>
      <c r="J33" s="27">
        <f>+G33</f>
        <v>0.25950149999698624</v>
      </c>
      <c r="K33" s="27"/>
      <c r="L33" s="27"/>
      <c r="M33" s="27"/>
      <c r="N33" s="27"/>
      <c r="O33" s="27">
        <f t="shared" si="2"/>
        <v>0.2532970410719967</v>
      </c>
      <c r="P33" s="27"/>
      <c r="Q33" s="28">
        <f t="shared" si="3"/>
        <v>40354.0098</v>
      </c>
    </row>
    <row r="34" spans="1:17" ht="12.75">
      <c r="A34" s="51" t="s">
        <v>54</v>
      </c>
      <c r="B34" s="52" t="s">
        <v>44</v>
      </c>
      <c r="C34" s="53">
        <v>55600.63612</v>
      </c>
      <c r="D34" s="53">
        <v>0.001</v>
      </c>
      <c r="E34" s="27">
        <f t="shared" si="0"/>
        <v>25478.23357288454</v>
      </c>
      <c r="F34" s="27">
        <f t="shared" si="1"/>
        <v>25478</v>
      </c>
      <c r="G34" s="27">
        <f t="shared" si="4"/>
        <v>0.2567940000008093</v>
      </c>
      <c r="H34" s="27"/>
      <c r="I34" s="27"/>
      <c r="J34" s="27"/>
      <c r="K34" s="27">
        <f>+G34</f>
        <v>0.2567940000008093</v>
      </c>
      <c r="L34" s="27"/>
      <c r="M34" s="27"/>
      <c r="N34" s="27"/>
      <c r="O34" s="27">
        <f t="shared" si="2"/>
        <v>0.25782244206919525</v>
      </c>
      <c r="P34" s="27"/>
      <c r="Q34" s="28">
        <f t="shared" si="3"/>
        <v>40582.13612</v>
      </c>
    </row>
    <row r="35" spans="1:17" ht="12.75">
      <c r="A35" s="33" t="s">
        <v>53</v>
      </c>
      <c r="B35" s="34" t="s">
        <v>51</v>
      </c>
      <c r="C35" s="33">
        <v>55671.5566</v>
      </c>
      <c r="D35" s="33">
        <v>0.0103</v>
      </c>
      <c r="E35" s="27">
        <f t="shared" si="0"/>
        <v>25542.740925417744</v>
      </c>
      <c r="F35" s="27">
        <f t="shared" si="1"/>
        <v>25542.5</v>
      </c>
      <c r="G35" s="27">
        <f t="shared" si="4"/>
        <v>0.264877500005241</v>
      </c>
      <c r="H35" s="27"/>
      <c r="I35" s="27"/>
      <c r="J35" s="27">
        <f>+G35</f>
        <v>0.264877500005241</v>
      </c>
      <c r="K35" s="27"/>
      <c r="L35" s="27"/>
      <c r="M35" s="27"/>
      <c r="N35" s="27"/>
      <c r="O35" s="27">
        <f t="shared" si="2"/>
        <v>0.25922913298157757</v>
      </c>
      <c r="P35" s="27"/>
      <c r="Q35" s="28">
        <f t="shared" si="3"/>
        <v>40653.0566</v>
      </c>
    </row>
    <row r="36" spans="1:18" s="27" customFormat="1" ht="12.75">
      <c r="A36" s="33" t="s">
        <v>52</v>
      </c>
      <c r="B36" s="34" t="s">
        <v>44</v>
      </c>
      <c r="C36" s="33">
        <v>55712.7809</v>
      </c>
      <c r="D36" s="33">
        <v>0.0005</v>
      </c>
      <c r="E36" s="27">
        <f t="shared" si="0"/>
        <v>25580.23743493142</v>
      </c>
      <c r="F36" s="27">
        <f t="shared" si="1"/>
        <v>25580</v>
      </c>
      <c r="G36" s="27">
        <f t="shared" si="4"/>
        <v>0.26103999999759253</v>
      </c>
      <c r="K36" s="27">
        <f>+G36</f>
        <v>0.26103999999759253</v>
      </c>
      <c r="O36" s="27">
        <f t="shared" si="2"/>
        <v>0.2600469765352881</v>
      </c>
      <c r="Q36" s="28">
        <f t="shared" si="3"/>
        <v>40694.2809</v>
      </c>
      <c r="R36"/>
    </row>
    <row r="37" spans="1:17" ht="12.75">
      <c r="A37" s="54" t="s">
        <v>0</v>
      </c>
      <c r="B37" s="55" t="s">
        <v>44</v>
      </c>
      <c r="C37" s="55">
        <v>57524.6563</v>
      </c>
      <c r="D37" s="55">
        <v>0.0007</v>
      </c>
      <c r="E37" s="27">
        <f t="shared" si="0"/>
        <v>27228.27034692023</v>
      </c>
      <c r="F37" s="56">
        <f>ROUND(2*E37,0)/2-0.5</f>
        <v>27228</v>
      </c>
      <c r="G37" s="27">
        <f t="shared" si="4"/>
        <v>0.2972239999944577</v>
      </c>
      <c r="H37" s="27"/>
      <c r="I37" s="27"/>
      <c r="K37" s="27">
        <f>+G37</f>
        <v>0.2972239999944577</v>
      </c>
      <c r="L37" s="27"/>
      <c r="M37" s="27"/>
      <c r="N37" s="27"/>
      <c r="O37" s="27">
        <f t="shared" si="2"/>
        <v>0.2959884745756898</v>
      </c>
      <c r="P37" s="27"/>
      <c r="Q37" s="28">
        <f t="shared" si="3"/>
        <v>42506.1563</v>
      </c>
    </row>
    <row r="38" spans="1:17" ht="12.75">
      <c r="A38" s="54" t="s">
        <v>0</v>
      </c>
      <c r="B38" s="55" t="s">
        <v>44</v>
      </c>
      <c r="C38" s="55">
        <v>57823.7057</v>
      </c>
      <c r="D38" s="55">
        <v>0.0003</v>
      </c>
      <c r="E38" s="27">
        <f t="shared" si="0"/>
        <v>27500.277601674337</v>
      </c>
      <c r="F38" s="56">
        <f>ROUND(2*E38,0)/2-0.5</f>
        <v>27500</v>
      </c>
      <c r="G38" s="27">
        <f t="shared" si="4"/>
        <v>0.3051999999952386</v>
      </c>
      <c r="H38" s="27"/>
      <c r="I38" s="27"/>
      <c r="K38" s="27">
        <f>+G38</f>
        <v>0.3051999999952386</v>
      </c>
      <c r="L38" s="27"/>
      <c r="M38" s="27"/>
      <c r="N38" s="27"/>
      <c r="O38" s="27">
        <f t="shared" si="2"/>
        <v>0.30192056648527066</v>
      </c>
      <c r="P38" s="27"/>
      <c r="Q38" s="28">
        <f t="shared" si="3"/>
        <v>42805.2057</v>
      </c>
    </row>
    <row r="39" spans="1:17" ht="12.75">
      <c r="A39" s="54" t="s">
        <v>0</v>
      </c>
      <c r="B39" s="55" t="s">
        <v>44</v>
      </c>
      <c r="C39" s="55">
        <v>57855.5892</v>
      </c>
      <c r="D39" s="55">
        <v>0.0003</v>
      </c>
      <c r="E39" s="27">
        <f t="shared" si="0"/>
        <v>27529.277971870546</v>
      </c>
      <c r="F39" s="56">
        <f>ROUND(2*E39,0)/2-0.5</f>
        <v>27529</v>
      </c>
      <c r="G39" s="27">
        <f t="shared" si="4"/>
        <v>0.30560700000205543</v>
      </c>
      <c r="H39" s="27"/>
      <c r="I39" s="27"/>
      <c r="K39" s="27">
        <f>+G39</f>
        <v>0.30560700000205543</v>
      </c>
      <c r="L39" s="27"/>
      <c r="M39" s="27"/>
      <c r="N39" s="27"/>
      <c r="O39" s="27">
        <f t="shared" si="2"/>
        <v>0.30255303216680685</v>
      </c>
      <c r="P39" s="27"/>
      <c r="Q39" s="28">
        <f t="shared" si="3"/>
        <v>42837.0892</v>
      </c>
    </row>
    <row r="40" ht="12.75">
      <c r="D40" s="4"/>
    </row>
    <row r="41" ht="12.75">
      <c r="D41" s="4"/>
    </row>
    <row r="42" ht="12.75">
      <c r="D42" s="4"/>
    </row>
    <row r="43" ht="12.75">
      <c r="D43" s="4"/>
    </row>
  </sheetData>
  <sheetProtection/>
  <hyperlinks>
    <hyperlink ref="H64401" r:id="rId1" display="http://vsolj.cetus-net.org/bulletin.html"/>
    <hyperlink ref="H64394" r:id="rId2" display="https://www.aavso.org/ejaavso"/>
    <hyperlink ref="AP545" r:id="rId3" display="http://cdsbib.u-strasbg.fr/cgi-bin/cdsbib?1990RMxAA..21..381G"/>
    <hyperlink ref="AP549" r:id="rId4" display="http://cdsbib.u-strasbg.fr/cgi-bin/cdsbib?1990RMxAA..21..381G"/>
    <hyperlink ref="AP548" r:id="rId5" display="http://cdsbib.u-strasbg.fr/cgi-bin/cdsbib?1990RMxAA..21..381G"/>
    <hyperlink ref="AP529" r:id="rId6" display="http://cdsbib.u-strasbg.fr/cgi-bin/cdsbib?1990RMxAA..21..381G"/>
    <hyperlink ref="I64401" r:id="rId7" display="http://vsolj.cetus-net.org/bulletin.html"/>
    <hyperlink ref="AQ685" r:id="rId8" display="http://cdsbib.u-strasbg.fr/cgi-bin/cdsbib?1990RMxAA..21..381G"/>
    <hyperlink ref="AQ55451" r:id="rId9" display="http://cdsbib.u-strasbg.fr/cgi-bin/cdsbib?1990RMxAA..21..381G"/>
    <hyperlink ref="AQ686" r:id="rId10" display="http://cdsbib.u-strasbg.fr/cgi-bin/cdsbib?1990RMxAA..21..381G"/>
    <hyperlink ref="H64398" r:id="rId11" display="https://www.aavso.org/ejaavso"/>
    <hyperlink ref="H1571" r:id="rId12" display="http://vsolj.cetus-net.org/bulletin.html"/>
    <hyperlink ref="AP2815" r:id="rId13" display="http://cdsbib.u-strasbg.fr/cgi-bin/cdsbib?1990RMxAA..21..381G"/>
    <hyperlink ref="AP2818" r:id="rId14" display="http://cdsbib.u-strasbg.fr/cgi-bin/cdsbib?1990RMxAA..21..381G"/>
    <hyperlink ref="AP2816" r:id="rId15" display="http://cdsbib.u-strasbg.fr/cgi-bin/cdsbib?1990RMxAA..21..381G"/>
    <hyperlink ref="AP2800" r:id="rId16" display="http://cdsbib.u-strasbg.fr/cgi-bin/cdsbib?1990RMxAA..21..381G"/>
    <hyperlink ref="I1571" r:id="rId17" display="http://vsolj.cetus-net.org/bulletin.html"/>
    <hyperlink ref="AQ3029" r:id="rId18" display="http://cdsbib.u-strasbg.fr/cgi-bin/cdsbib?1990RMxAA..21..381G"/>
    <hyperlink ref="AQ65266" r:id="rId19" display="http://cdsbib.u-strasbg.fr/cgi-bin/cdsbib?1990RMxAA..21..381G"/>
    <hyperlink ref="AQ3033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4"/>
  <sheetViews>
    <sheetView zoomScalePageLayoutView="0" workbookViewId="0" topLeftCell="A2">
      <selection activeCell="A20" sqref="A20:D25"/>
    </sheetView>
  </sheetViews>
  <sheetFormatPr defaultColWidth="9.140625" defaultRowHeight="12.75"/>
  <cols>
    <col min="1" max="1" width="19.7109375" style="36" customWidth="1"/>
    <col min="2" max="2" width="4.421875" style="10" customWidth="1"/>
    <col min="3" max="3" width="12.7109375" style="36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36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5" t="s">
        <v>55</v>
      </c>
      <c r="I1" s="37" t="s">
        <v>56</v>
      </c>
      <c r="J1" s="38" t="s">
        <v>57</v>
      </c>
    </row>
    <row r="2" spans="9:10" ht="12.75">
      <c r="I2" s="39" t="s">
        <v>58</v>
      </c>
      <c r="J2" s="40" t="s">
        <v>59</v>
      </c>
    </row>
    <row r="3" spans="1:10" ht="12.75">
      <c r="A3" s="41" t="s">
        <v>60</v>
      </c>
      <c r="I3" s="39" t="s">
        <v>61</v>
      </c>
      <c r="J3" s="40" t="s">
        <v>62</v>
      </c>
    </row>
    <row r="4" spans="9:10" ht="12.75">
      <c r="I4" s="39" t="s">
        <v>63</v>
      </c>
      <c r="J4" s="40" t="s">
        <v>62</v>
      </c>
    </row>
    <row r="5" spans="9:10" ht="13.5" thickBot="1">
      <c r="I5" s="42" t="s">
        <v>64</v>
      </c>
      <c r="J5" s="43" t="s">
        <v>65</v>
      </c>
    </row>
    <row r="10" ht="13.5" thickBot="1"/>
    <row r="11" spans="1:16" ht="12.75" customHeight="1" thickBot="1">
      <c r="A11" s="36" t="str">
        <f aca="true" t="shared" si="0" ref="A11:A25">P11</f>
        <v> BBS 114 </v>
      </c>
      <c r="B11" s="4" t="str">
        <f aca="true" t="shared" si="1" ref="B11:B25">IF(H11=INT(H11),"I","II")</f>
        <v>I</v>
      </c>
      <c r="C11" s="36">
        <f aca="true" t="shared" si="2" ref="C11:C25">1*G11</f>
        <v>50525.6357</v>
      </c>
      <c r="D11" s="10" t="str">
        <f aca="true" t="shared" si="3" ref="D11:D25">VLOOKUP(F11,I$1:J$5,2,FALSE)</f>
        <v>vis</v>
      </c>
      <c r="E11" s="44">
        <f>VLOOKUP(C11,A!C$21:E$970,3,FALSE)</f>
        <v>20862.15030329711</v>
      </c>
      <c r="F11" s="4" t="s">
        <v>64</v>
      </c>
      <c r="G11" s="10" t="str">
        <f aca="true" t="shared" si="4" ref="G11:G25">MID(I11,3,LEN(I11)-3)</f>
        <v>50525.6357</v>
      </c>
      <c r="H11" s="36">
        <f aca="true" t="shared" si="5" ref="H11:H25">1*K11</f>
        <v>20862</v>
      </c>
      <c r="I11" s="45" t="s">
        <v>66</v>
      </c>
      <c r="J11" s="46" t="s">
        <v>67</v>
      </c>
      <c r="K11" s="45">
        <v>20862</v>
      </c>
      <c r="L11" s="45" t="s">
        <v>68</v>
      </c>
      <c r="M11" s="46" t="s">
        <v>69</v>
      </c>
      <c r="N11" s="46" t="s">
        <v>70</v>
      </c>
      <c r="O11" s="47" t="s">
        <v>71</v>
      </c>
      <c r="P11" s="47" t="s">
        <v>72</v>
      </c>
    </row>
    <row r="12" spans="1:16" ht="12.75" customHeight="1" thickBot="1">
      <c r="A12" s="36" t="str">
        <f t="shared" si="0"/>
        <v> BBS 118 </v>
      </c>
      <c r="B12" s="4" t="str">
        <f t="shared" si="1"/>
        <v>I</v>
      </c>
      <c r="C12" s="36">
        <f t="shared" si="2"/>
        <v>50943.419</v>
      </c>
      <c r="D12" s="10" t="str">
        <f t="shared" si="3"/>
        <v>vis</v>
      </c>
      <c r="E12" s="44">
        <f>VLOOKUP(C12,A!C$21:E$970,3,FALSE)</f>
        <v>21242.154705630346</v>
      </c>
      <c r="F12" s="4" t="s">
        <v>64</v>
      </c>
      <c r="G12" s="10" t="str">
        <f t="shared" si="4"/>
        <v>50943.4190</v>
      </c>
      <c r="H12" s="36">
        <f t="shared" si="5"/>
        <v>21242</v>
      </c>
      <c r="I12" s="45" t="s">
        <v>73</v>
      </c>
      <c r="J12" s="46" t="s">
        <v>74</v>
      </c>
      <c r="K12" s="45">
        <v>21242</v>
      </c>
      <c r="L12" s="45" t="s">
        <v>75</v>
      </c>
      <c r="M12" s="46" t="s">
        <v>69</v>
      </c>
      <c r="N12" s="46" t="s">
        <v>70</v>
      </c>
      <c r="O12" s="47" t="s">
        <v>71</v>
      </c>
      <c r="P12" s="47" t="s">
        <v>76</v>
      </c>
    </row>
    <row r="13" spans="1:16" ht="12.75" customHeight="1" thickBot="1">
      <c r="A13" s="36" t="str">
        <f t="shared" si="0"/>
        <v>BAVM 178 </v>
      </c>
      <c r="B13" s="4" t="str">
        <f t="shared" si="1"/>
        <v>I</v>
      </c>
      <c r="C13" s="36">
        <f t="shared" si="2"/>
        <v>53565.5663</v>
      </c>
      <c r="D13" s="10" t="str">
        <f t="shared" si="3"/>
        <v>vis</v>
      </c>
      <c r="E13" s="44">
        <f>VLOOKUP(C13,A!C$21:E$970,3,FALSE)</f>
        <v>23627.18904655831</v>
      </c>
      <c r="F13" s="4" t="s">
        <v>64</v>
      </c>
      <c r="G13" s="10" t="str">
        <f t="shared" si="4"/>
        <v>53565.5663</v>
      </c>
      <c r="H13" s="36">
        <f t="shared" si="5"/>
        <v>23627</v>
      </c>
      <c r="I13" s="45" t="s">
        <v>85</v>
      </c>
      <c r="J13" s="46" t="s">
        <v>86</v>
      </c>
      <c r="K13" s="45">
        <v>23627</v>
      </c>
      <c r="L13" s="45" t="s">
        <v>87</v>
      </c>
      <c r="M13" s="46" t="s">
        <v>88</v>
      </c>
      <c r="N13" s="46" t="s">
        <v>89</v>
      </c>
      <c r="O13" s="47" t="s">
        <v>90</v>
      </c>
      <c r="P13" s="48" t="s">
        <v>91</v>
      </c>
    </row>
    <row r="14" spans="1:16" ht="12.75" customHeight="1" thickBot="1">
      <c r="A14" s="36" t="str">
        <f t="shared" si="0"/>
        <v>BAVM 209 </v>
      </c>
      <c r="B14" s="4" t="str">
        <f t="shared" si="1"/>
        <v>I</v>
      </c>
      <c r="C14" s="36">
        <f t="shared" si="2"/>
        <v>54947.5676</v>
      </c>
      <c r="D14" s="10" t="str">
        <f t="shared" si="3"/>
        <v>vis</v>
      </c>
      <c r="E14" s="44">
        <f>VLOOKUP(C14,A!C$21:E$970,3,FALSE)</f>
        <v>24884.220091193787</v>
      </c>
      <c r="F14" s="4" t="s">
        <v>64</v>
      </c>
      <c r="G14" s="10" t="str">
        <f t="shared" si="4"/>
        <v>54947.5676</v>
      </c>
      <c r="H14" s="36">
        <f t="shared" si="5"/>
        <v>24884</v>
      </c>
      <c r="I14" s="45" t="s">
        <v>103</v>
      </c>
      <c r="J14" s="46" t="s">
        <v>104</v>
      </c>
      <c r="K14" s="45">
        <v>24884</v>
      </c>
      <c r="L14" s="45" t="s">
        <v>105</v>
      </c>
      <c r="M14" s="46" t="s">
        <v>88</v>
      </c>
      <c r="N14" s="46" t="s">
        <v>106</v>
      </c>
      <c r="O14" s="47" t="s">
        <v>107</v>
      </c>
      <c r="P14" s="48" t="s">
        <v>108</v>
      </c>
    </row>
    <row r="15" spans="1:16" ht="12.75" customHeight="1" thickBot="1">
      <c r="A15" s="36" t="str">
        <f t="shared" si="0"/>
        <v>IBVS 5894 </v>
      </c>
      <c r="B15" s="4" t="str">
        <f t="shared" si="1"/>
        <v>I</v>
      </c>
      <c r="C15" s="36">
        <f t="shared" si="2"/>
        <v>54994.8446</v>
      </c>
      <c r="D15" s="10" t="str">
        <f t="shared" si="3"/>
        <v>vis</v>
      </c>
      <c r="E15" s="44">
        <f>VLOOKUP(C15,A!C$21:E$970,3,FALSE)</f>
        <v>24927.221973100284</v>
      </c>
      <c r="F15" s="4" t="s">
        <v>64</v>
      </c>
      <c r="G15" s="10" t="str">
        <f t="shared" si="4"/>
        <v>54994.8446</v>
      </c>
      <c r="H15" s="36">
        <f t="shared" si="5"/>
        <v>24927</v>
      </c>
      <c r="I15" s="45" t="s">
        <v>109</v>
      </c>
      <c r="J15" s="46" t="s">
        <v>110</v>
      </c>
      <c r="K15" s="45" t="s">
        <v>111</v>
      </c>
      <c r="L15" s="45" t="s">
        <v>112</v>
      </c>
      <c r="M15" s="46" t="s">
        <v>88</v>
      </c>
      <c r="N15" s="46" t="s">
        <v>64</v>
      </c>
      <c r="O15" s="47" t="s">
        <v>71</v>
      </c>
      <c r="P15" s="48" t="s">
        <v>113</v>
      </c>
    </row>
    <row r="16" spans="1:16" ht="12.75" customHeight="1" thickBot="1">
      <c r="A16" s="36" t="str">
        <f t="shared" si="0"/>
        <v>BAVM 214 </v>
      </c>
      <c r="B16" s="4" t="str">
        <f t="shared" si="1"/>
        <v>II</v>
      </c>
      <c r="C16" s="36">
        <f t="shared" si="2"/>
        <v>55372.5098</v>
      </c>
      <c r="D16" s="10" t="str">
        <f t="shared" si="3"/>
        <v>vis</v>
      </c>
      <c r="E16" s="44">
        <f>VLOOKUP(C16,A!C$21:E$970,3,FALSE)</f>
        <v>25270.736035553386</v>
      </c>
      <c r="F16" s="4" t="s">
        <v>64</v>
      </c>
      <c r="G16" s="10" t="str">
        <f t="shared" si="4"/>
        <v>55372.5098</v>
      </c>
      <c r="H16" s="36">
        <f t="shared" si="5"/>
        <v>25270.5</v>
      </c>
      <c r="I16" s="45" t="s">
        <v>125</v>
      </c>
      <c r="J16" s="46" t="s">
        <v>126</v>
      </c>
      <c r="K16" s="45" t="s">
        <v>127</v>
      </c>
      <c r="L16" s="45" t="s">
        <v>128</v>
      </c>
      <c r="M16" s="46" t="s">
        <v>88</v>
      </c>
      <c r="N16" s="46" t="s">
        <v>106</v>
      </c>
      <c r="O16" s="47" t="s">
        <v>107</v>
      </c>
      <c r="P16" s="48" t="s">
        <v>129</v>
      </c>
    </row>
    <row r="17" spans="1:16" ht="12.75" customHeight="1" thickBot="1">
      <c r="A17" s="36" t="str">
        <f t="shared" si="0"/>
        <v>OEJV 0160 </v>
      </c>
      <c r="B17" s="4" t="str">
        <f t="shared" si="1"/>
        <v>I</v>
      </c>
      <c r="C17" s="36">
        <f t="shared" si="2"/>
        <v>55600.63612</v>
      </c>
      <c r="D17" s="10" t="str">
        <f t="shared" si="3"/>
        <v>vis</v>
      </c>
      <c r="E17" s="44">
        <f>VLOOKUP(C17,A!C$21:E$970,3,FALSE)</f>
        <v>25478.23357288454</v>
      </c>
      <c r="F17" s="4" t="s">
        <v>64</v>
      </c>
      <c r="G17" s="10" t="str">
        <f t="shared" si="4"/>
        <v>55600.63612</v>
      </c>
      <c r="H17" s="36">
        <f t="shared" si="5"/>
        <v>25478</v>
      </c>
      <c r="I17" s="45" t="s">
        <v>130</v>
      </c>
      <c r="J17" s="46" t="s">
        <v>131</v>
      </c>
      <c r="K17" s="45" t="s">
        <v>132</v>
      </c>
      <c r="L17" s="45" t="s">
        <v>133</v>
      </c>
      <c r="M17" s="46" t="s">
        <v>88</v>
      </c>
      <c r="N17" s="46" t="s">
        <v>56</v>
      </c>
      <c r="O17" s="47" t="s">
        <v>134</v>
      </c>
      <c r="P17" s="48" t="s">
        <v>135</v>
      </c>
    </row>
    <row r="18" spans="1:16" ht="12.75" customHeight="1" thickBot="1">
      <c r="A18" s="36" t="str">
        <f t="shared" si="0"/>
        <v>BAVM 220 </v>
      </c>
      <c r="B18" s="4" t="str">
        <f t="shared" si="1"/>
        <v>II</v>
      </c>
      <c r="C18" s="36">
        <f t="shared" si="2"/>
        <v>55671.5566</v>
      </c>
      <c r="D18" s="10" t="str">
        <f t="shared" si="3"/>
        <v>vis</v>
      </c>
      <c r="E18" s="44">
        <f>VLOOKUP(C18,A!C$21:E$970,3,FALSE)</f>
        <v>25542.740925417744</v>
      </c>
      <c r="F18" s="4" t="s">
        <v>64</v>
      </c>
      <c r="G18" s="10" t="str">
        <f t="shared" si="4"/>
        <v>55671.5566</v>
      </c>
      <c r="H18" s="36">
        <f t="shared" si="5"/>
        <v>25542.5</v>
      </c>
      <c r="I18" s="45" t="s">
        <v>136</v>
      </c>
      <c r="J18" s="46" t="s">
        <v>137</v>
      </c>
      <c r="K18" s="45" t="s">
        <v>138</v>
      </c>
      <c r="L18" s="45" t="s">
        <v>139</v>
      </c>
      <c r="M18" s="46" t="s">
        <v>88</v>
      </c>
      <c r="N18" s="46" t="s">
        <v>106</v>
      </c>
      <c r="O18" s="47" t="s">
        <v>107</v>
      </c>
      <c r="P18" s="48" t="s">
        <v>140</v>
      </c>
    </row>
    <row r="19" spans="1:16" ht="12.75" customHeight="1" thickBot="1">
      <c r="A19" s="36" t="str">
        <f t="shared" si="0"/>
        <v>IBVS 5992 </v>
      </c>
      <c r="B19" s="4" t="str">
        <f t="shared" si="1"/>
        <v>I</v>
      </c>
      <c r="C19" s="36">
        <f t="shared" si="2"/>
        <v>55712.7809</v>
      </c>
      <c r="D19" s="10" t="str">
        <f t="shared" si="3"/>
        <v>vis</v>
      </c>
      <c r="E19" s="44">
        <f>VLOOKUP(C19,A!C$21:E$970,3,FALSE)</f>
        <v>25580.23743493142</v>
      </c>
      <c r="F19" s="4" t="s">
        <v>64</v>
      </c>
      <c r="G19" s="10" t="str">
        <f t="shared" si="4"/>
        <v>55712.7809</v>
      </c>
      <c r="H19" s="36">
        <f t="shared" si="5"/>
        <v>25580</v>
      </c>
      <c r="I19" s="45" t="s">
        <v>141</v>
      </c>
      <c r="J19" s="46" t="s">
        <v>142</v>
      </c>
      <c r="K19" s="45" t="s">
        <v>143</v>
      </c>
      <c r="L19" s="45" t="s">
        <v>144</v>
      </c>
      <c r="M19" s="46" t="s">
        <v>88</v>
      </c>
      <c r="N19" s="46" t="s">
        <v>64</v>
      </c>
      <c r="O19" s="47" t="s">
        <v>71</v>
      </c>
      <c r="P19" s="48" t="s">
        <v>145</v>
      </c>
    </row>
    <row r="20" spans="1:16" ht="12.75" customHeight="1" thickBot="1">
      <c r="A20" s="36" t="str">
        <f t="shared" si="0"/>
        <v> BBS 119 </v>
      </c>
      <c r="B20" s="4" t="str">
        <f t="shared" si="1"/>
        <v>I</v>
      </c>
      <c r="C20" s="36">
        <f t="shared" si="2"/>
        <v>51199.586</v>
      </c>
      <c r="D20" s="10" t="str">
        <f t="shared" si="3"/>
        <v>vis</v>
      </c>
      <c r="E20" s="44">
        <f>VLOOKUP(C20,A!C$21:E$970,3,FALSE)</f>
        <v>21475.157287908045</v>
      </c>
      <c r="F20" s="4" t="s">
        <v>64</v>
      </c>
      <c r="G20" s="10" t="str">
        <f t="shared" si="4"/>
        <v>51199.586</v>
      </c>
      <c r="H20" s="36">
        <f t="shared" si="5"/>
        <v>21475</v>
      </c>
      <c r="I20" s="45" t="s">
        <v>77</v>
      </c>
      <c r="J20" s="46" t="s">
        <v>78</v>
      </c>
      <c r="K20" s="45">
        <v>21475</v>
      </c>
      <c r="L20" s="45" t="s">
        <v>79</v>
      </c>
      <c r="M20" s="46" t="s">
        <v>69</v>
      </c>
      <c r="N20" s="46" t="s">
        <v>70</v>
      </c>
      <c r="O20" s="47" t="s">
        <v>71</v>
      </c>
      <c r="P20" s="47" t="s">
        <v>80</v>
      </c>
    </row>
    <row r="21" spans="1:16" ht="12.75" customHeight="1" thickBot="1">
      <c r="A21" s="36" t="str">
        <f t="shared" si="0"/>
        <v> BBS 123 </v>
      </c>
      <c r="B21" s="4" t="str">
        <f t="shared" si="1"/>
        <v>I</v>
      </c>
      <c r="C21" s="36">
        <f t="shared" si="2"/>
        <v>51673.4388</v>
      </c>
      <c r="D21" s="10" t="str">
        <f t="shared" si="3"/>
        <v>vis</v>
      </c>
      <c r="E21" s="44">
        <f>VLOOKUP(C21,A!C$21:E$970,3,FALSE)</f>
        <v>21906.160992598805</v>
      </c>
      <c r="F21" s="4" t="s">
        <v>64</v>
      </c>
      <c r="G21" s="10" t="str">
        <f t="shared" si="4"/>
        <v>51673.4388</v>
      </c>
      <c r="H21" s="36">
        <f t="shared" si="5"/>
        <v>21906</v>
      </c>
      <c r="I21" s="45" t="s">
        <v>81</v>
      </c>
      <c r="J21" s="46" t="s">
        <v>82</v>
      </c>
      <c r="K21" s="45">
        <v>21906</v>
      </c>
      <c r="L21" s="45" t="s">
        <v>83</v>
      </c>
      <c r="M21" s="46" t="s">
        <v>69</v>
      </c>
      <c r="N21" s="46" t="s">
        <v>70</v>
      </c>
      <c r="O21" s="47" t="s">
        <v>71</v>
      </c>
      <c r="P21" s="47" t="s">
        <v>84</v>
      </c>
    </row>
    <row r="22" spans="1:16" ht="12.75" customHeight="1" thickBot="1">
      <c r="A22" s="36" t="str">
        <f t="shared" si="0"/>
        <v> JAAVSO 39;102 </v>
      </c>
      <c r="B22" s="4" t="str">
        <f t="shared" si="1"/>
        <v>I</v>
      </c>
      <c r="C22" s="36">
        <f t="shared" si="2"/>
        <v>53983.349</v>
      </c>
      <c r="D22" s="10" t="str">
        <f t="shared" si="3"/>
        <v>vis</v>
      </c>
      <c r="E22" s="44">
        <f>VLOOKUP(C22,A!C$21:E$970,3,FALSE)</f>
        <v>24007.19290314776</v>
      </c>
      <c r="F22" s="4" t="s">
        <v>64</v>
      </c>
      <c r="G22" s="10" t="str">
        <f t="shared" si="4"/>
        <v>53983.349</v>
      </c>
      <c r="H22" s="36">
        <f t="shared" si="5"/>
        <v>24007</v>
      </c>
      <c r="I22" s="45" t="s">
        <v>92</v>
      </c>
      <c r="J22" s="46" t="s">
        <v>93</v>
      </c>
      <c r="K22" s="45">
        <v>24007</v>
      </c>
      <c r="L22" s="45" t="s">
        <v>94</v>
      </c>
      <c r="M22" s="46" t="s">
        <v>88</v>
      </c>
      <c r="N22" s="46" t="s">
        <v>64</v>
      </c>
      <c r="O22" s="47" t="s">
        <v>95</v>
      </c>
      <c r="P22" s="47" t="s">
        <v>96</v>
      </c>
    </row>
    <row r="23" spans="1:16" ht="12.75" customHeight="1" thickBot="1">
      <c r="A23" s="36" t="str">
        <f t="shared" si="0"/>
        <v>OEJV 0107 </v>
      </c>
      <c r="B23" s="4" t="str">
        <f t="shared" si="1"/>
        <v>I</v>
      </c>
      <c r="C23" s="36">
        <f t="shared" si="2"/>
        <v>54925.5803</v>
      </c>
      <c r="D23" s="10" t="str">
        <f t="shared" si="3"/>
        <v>vis</v>
      </c>
      <c r="E23" s="44" t="e">
        <f>VLOOKUP(C23,A!C$21:E$970,3,FALSE)</f>
        <v>#N/A</v>
      </c>
      <c r="F23" s="4" t="s">
        <v>64</v>
      </c>
      <c r="G23" s="10" t="str">
        <f t="shared" si="4"/>
        <v>54925.5803</v>
      </c>
      <c r="H23" s="36">
        <f t="shared" si="5"/>
        <v>24864</v>
      </c>
      <c r="I23" s="45" t="s">
        <v>97</v>
      </c>
      <c r="J23" s="46" t="s">
        <v>98</v>
      </c>
      <c r="K23" s="45">
        <v>24864</v>
      </c>
      <c r="L23" s="45" t="s">
        <v>99</v>
      </c>
      <c r="M23" s="46" t="s">
        <v>88</v>
      </c>
      <c r="N23" s="46" t="s">
        <v>100</v>
      </c>
      <c r="O23" s="47" t="s">
        <v>101</v>
      </c>
      <c r="P23" s="48" t="s">
        <v>102</v>
      </c>
    </row>
    <row r="24" spans="1:16" ht="12.75" customHeight="1" thickBot="1">
      <c r="A24" s="36" t="str">
        <f t="shared" si="0"/>
        <v>OEJV 0137 </v>
      </c>
      <c r="B24" s="4" t="str">
        <f t="shared" si="1"/>
        <v>I</v>
      </c>
      <c r="C24" s="36">
        <f t="shared" si="2"/>
        <v>55278.502</v>
      </c>
      <c r="D24" s="10" t="str">
        <f t="shared" si="3"/>
        <v>vis</v>
      </c>
      <c r="E24" s="44" t="e">
        <f>VLOOKUP(C24,A!C$21:E$970,3,FALSE)</f>
        <v>#N/A</v>
      </c>
      <c r="F24" s="4" t="s">
        <v>64</v>
      </c>
      <c r="G24" s="10" t="str">
        <f t="shared" si="4"/>
        <v>55278.5020</v>
      </c>
      <c r="H24" s="36">
        <f t="shared" si="5"/>
        <v>25185</v>
      </c>
      <c r="I24" s="45" t="s">
        <v>114</v>
      </c>
      <c r="J24" s="46" t="s">
        <v>115</v>
      </c>
      <c r="K24" s="45" t="s">
        <v>116</v>
      </c>
      <c r="L24" s="45" t="s">
        <v>117</v>
      </c>
      <c r="M24" s="46" t="s">
        <v>88</v>
      </c>
      <c r="N24" s="46" t="s">
        <v>56</v>
      </c>
      <c r="O24" s="47" t="s">
        <v>118</v>
      </c>
      <c r="P24" s="48" t="s">
        <v>119</v>
      </c>
    </row>
    <row r="25" spans="1:16" ht="12.75" customHeight="1" thickBot="1">
      <c r="A25" s="36" t="str">
        <f t="shared" si="0"/>
        <v>OEJV 0137 </v>
      </c>
      <c r="B25" s="4" t="str">
        <f t="shared" si="1"/>
        <v>I</v>
      </c>
      <c r="C25" s="36">
        <f t="shared" si="2"/>
        <v>55312.5813</v>
      </c>
      <c r="D25" s="10" t="str">
        <f t="shared" si="3"/>
        <v>vis</v>
      </c>
      <c r="E25" s="44" t="e">
        <f>VLOOKUP(C25,A!C$21:E$970,3,FALSE)</f>
        <v>#N/A</v>
      </c>
      <c r="F25" s="4" t="s">
        <v>64</v>
      </c>
      <c r="G25" s="10" t="str">
        <f t="shared" si="4"/>
        <v>55312.5813</v>
      </c>
      <c r="H25" s="36">
        <f t="shared" si="5"/>
        <v>25216</v>
      </c>
      <c r="I25" s="45" t="s">
        <v>120</v>
      </c>
      <c r="J25" s="46" t="s">
        <v>121</v>
      </c>
      <c r="K25" s="45" t="s">
        <v>122</v>
      </c>
      <c r="L25" s="45" t="s">
        <v>123</v>
      </c>
      <c r="M25" s="46" t="s">
        <v>88</v>
      </c>
      <c r="N25" s="46" t="s">
        <v>56</v>
      </c>
      <c r="O25" s="47" t="s">
        <v>124</v>
      </c>
      <c r="P25" s="48" t="s">
        <v>119</v>
      </c>
    </row>
    <row r="26" spans="2:6" ht="12.75">
      <c r="B26" s="4"/>
      <c r="E26" s="44"/>
      <c r="F26" s="4"/>
    </row>
    <row r="27" spans="2:6" ht="12.75">
      <c r="B27" s="4"/>
      <c r="E27" s="44"/>
      <c r="F27" s="4"/>
    </row>
    <row r="28" spans="2:6" ht="12.75">
      <c r="B28" s="4"/>
      <c r="E28" s="44"/>
      <c r="F28" s="4"/>
    </row>
    <row r="29" spans="2:6" ht="12.75">
      <c r="B29" s="4"/>
      <c r="E29" s="44"/>
      <c r="F29" s="4"/>
    </row>
    <row r="30" spans="2:6" ht="12.75">
      <c r="B30" s="4"/>
      <c r="E30" s="44"/>
      <c r="F30" s="4"/>
    </row>
    <row r="31" spans="2:6" ht="12.75">
      <c r="B31" s="4"/>
      <c r="E31" s="44"/>
      <c r="F31" s="4"/>
    </row>
    <row r="32" spans="2:6" ht="12.75">
      <c r="B32" s="4"/>
      <c r="E32" s="44"/>
      <c r="F32" s="4"/>
    </row>
    <row r="33" spans="2:6" ht="12.75">
      <c r="B33" s="4"/>
      <c r="E33" s="44"/>
      <c r="F33" s="4"/>
    </row>
    <row r="34" spans="2:6" ht="12.75">
      <c r="B34" s="4"/>
      <c r="E34" s="44"/>
      <c r="F34" s="4"/>
    </row>
    <row r="35" spans="2:6" ht="12.75">
      <c r="B35" s="4"/>
      <c r="E35" s="44"/>
      <c r="F35" s="4"/>
    </row>
    <row r="36" spans="2:6" ht="12.75">
      <c r="B36" s="4"/>
      <c r="E36" s="44"/>
      <c r="F36" s="4"/>
    </row>
    <row r="37" spans="2:6" ht="12.75">
      <c r="B37" s="4"/>
      <c r="F37" s="4"/>
    </row>
    <row r="38" spans="2:6" ht="12.75">
      <c r="B38" s="4"/>
      <c r="F38" s="4"/>
    </row>
    <row r="39" spans="2:6" ht="12.75">
      <c r="B39" s="4"/>
      <c r="F39" s="4"/>
    </row>
    <row r="40" spans="2:6" ht="12.75">
      <c r="B40" s="4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  <row r="806" spans="2:6" ht="12.75">
      <c r="B806" s="4"/>
      <c r="F806" s="4"/>
    </row>
    <row r="807" spans="2:6" ht="12.75">
      <c r="B807" s="4"/>
      <c r="F807" s="4"/>
    </row>
    <row r="808" spans="2:6" ht="12.75">
      <c r="B808" s="4"/>
      <c r="F808" s="4"/>
    </row>
    <row r="809" spans="2:6" ht="12.75">
      <c r="B809" s="4"/>
      <c r="F809" s="4"/>
    </row>
    <row r="810" spans="2:6" ht="12.75">
      <c r="B810" s="4"/>
      <c r="F810" s="4"/>
    </row>
    <row r="811" spans="2:6" ht="12.75">
      <c r="B811" s="4"/>
      <c r="F811" s="4"/>
    </row>
    <row r="812" spans="2:6" ht="12.75">
      <c r="B812" s="4"/>
      <c r="F812" s="4"/>
    </row>
    <row r="813" spans="2:6" ht="12.75">
      <c r="B813" s="4"/>
      <c r="F813" s="4"/>
    </row>
    <row r="814" spans="2:6" ht="12.75">
      <c r="B814" s="4"/>
      <c r="F814" s="4"/>
    </row>
    <row r="815" spans="2:6" ht="12.75">
      <c r="B815" s="4"/>
      <c r="F815" s="4"/>
    </row>
    <row r="816" spans="2:6" ht="12.75">
      <c r="B816" s="4"/>
      <c r="F816" s="4"/>
    </row>
    <row r="817" spans="2:6" ht="12.75">
      <c r="B817" s="4"/>
      <c r="F817" s="4"/>
    </row>
    <row r="818" spans="2:6" ht="12.75">
      <c r="B818" s="4"/>
      <c r="F818" s="4"/>
    </row>
    <row r="819" spans="2:6" ht="12.75">
      <c r="B819" s="4"/>
      <c r="F819" s="4"/>
    </row>
    <row r="820" spans="2:6" ht="12.75">
      <c r="B820" s="4"/>
      <c r="F820" s="4"/>
    </row>
    <row r="821" spans="2:6" ht="12.75">
      <c r="B821" s="4"/>
      <c r="F821" s="4"/>
    </row>
    <row r="822" spans="2:6" ht="12.75">
      <c r="B822" s="4"/>
      <c r="F822" s="4"/>
    </row>
    <row r="823" spans="2:6" ht="12.75">
      <c r="B823" s="4"/>
      <c r="F823" s="4"/>
    </row>
    <row r="824" spans="2:6" ht="12.75">
      <c r="B824" s="4"/>
      <c r="F824" s="4"/>
    </row>
  </sheetData>
  <sheetProtection/>
  <hyperlinks>
    <hyperlink ref="P13" r:id="rId1" display="http://www.bav-astro.de/sfs/BAVM_link.php?BAVMnr=178"/>
    <hyperlink ref="P23" r:id="rId2" display="http://var.astro.cz/oejv/issues/oejv0107.pdf"/>
    <hyperlink ref="P14" r:id="rId3" display="http://www.bav-astro.de/sfs/BAVM_link.php?BAVMnr=209"/>
    <hyperlink ref="P15" r:id="rId4" display="http://www.konkoly.hu/cgi-bin/IBVS?5894"/>
    <hyperlink ref="P24" r:id="rId5" display="http://var.astro.cz/oejv/issues/oejv0137.pdf"/>
    <hyperlink ref="P25" r:id="rId6" display="http://var.astro.cz/oejv/issues/oejv0137.pdf"/>
    <hyperlink ref="P16" r:id="rId7" display="http://www.bav-astro.de/sfs/BAVM_link.php?BAVMnr=214"/>
    <hyperlink ref="P17" r:id="rId8" display="http://var.astro.cz/oejv/issues/oejv0160.pdf"/>
    <hyperlink ref="P18" r:id="rId9" display="http://www.bav-astro.de/sfs/BAVM_link.php?BAVMnr=220"/>
    <hyperlink ref="P19" r:id="rId10" display="http://www.konkoly.hu/cgi-bin/IBVS?5992"/>
  </hyperlinks>
  <printOptions/>
  <pageMargins left="0.75" right="0.75" top="1" bottom="1" header="0.5" footer="0.5"/>
  <pageSetup horizontalDpi="300" verticalDpi="3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