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9060" windowHeight="1369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<sst xmlns="http://schemas.openxmlformats.org/spreadsheetml/2006/main" count="211" uniqueCount="116">
  <si>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</si>
  <si>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</si>
  <si>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</si>
  <si>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</si>
  <si>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</si>
  <si>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</si>
  <si>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</si>
  <si>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</si>
  <si>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</si>
  <si>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</si>
  <si>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</si>
  <si>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</si>
  <si>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</si>
  <si>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</si>
  <si>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</si>
  <si>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</si>
  <si>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</si>
  <si>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</si>
  <si>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</si>
  <si>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</si>
  <si>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</si>
  <si>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</si>
  <si>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</si>
  <si>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</si>
  <si>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</si>
  <si>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</si>
  <si>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</si>
  <si>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</si>
  <si>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</si>
  <si>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Bull.115</t>
  </si>
  <si>
    <t>B</t>
  </si>
  <si>
    <t>II</t>
  </si>
  <si>
    <t>BBSAG</t>
  </si>
  <si>
    <t>IBVS 5484</t>
  </si>
  <si>
    <t>I</t>
  </si>
  <si>
    <t>IBVS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</si>
  <si>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</si>
  <si>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</si>
  <si>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</si>
  <si>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</si>
  <si>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</si>
  <si>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</si>
  <si>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</si>
  <si>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Start of linear fit &gt;&gt;&gt;&gt;&gt;&gt;&gt;&gt;&gt;&gt;&gt;&gt;&gt;&gt;&gt;&gt;&gt;&gt;&gt;&gt;&gt;</t>
  </si>
  <si>
    <t>IBVS 5894</t>
  </si>
  <si>
    <t>EW/KW</t>
  </si>
  <si>
    <t>Add cycle</t>
  </si>
  <si>
    <t>Old Cycle</t>
  </si>
  <si>
    <t>IBVS 5992</t>
  </si>
  <si>
    <t>Also period???</t>
  </si>
  <si>
    <t>OEJV 0160</t>
  </si>
  <si>
    <t>OEJV</t>
  </si>
  <si>
    <t>V0718 Her / GSC 3501-0432</t>
  </si>
  <si>
    <t>std dev</t>
  </si>
  <si>
    <t>This is not the right period</t>
  </si>
  <si>
    <t>New period found by ToMcat 2014-01-11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</si>
  <si>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</si>
  <si>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</si>
  <si>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</si>
  <si>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</si>
  <si>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</si>
  <si>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</si>
  <si>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</si>
  <si>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</si>
  <si>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</si>
  <si>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</si>
  <si>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</si>
  <si>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2450570.385 </t>
  </si>
  <si>
    <t> 01.05.1997 21:14 </t>
  </si>
  <si>
    <t> 0.100 </t>
  </si>
  <si>
    <t>E </t>
  </si>
  <si>
    <t>?</t>
  </si>
  <si>
    <t> R.Diethelm </t>
  </si>
  <si>
    <t> BBS 115 </t>
  </si>
  <si>
    <t>2452026.421 </t>
  </si>
  <si>
    <t> 26.04.2001 22:06 </t>
  </si>
  <si>
    <t> 0.114 </t>
  </si>
  <si>
    <t> BBS 125 </t>
  </si>
  <si>
    <t>2452408.4615 </t>
  </si>
  <si>
    <t> 13.05.2002 23:04 </t>
  </si>
  <si>
    <t> -0.0918 </t>
  </si>
  <si>
    <t>-I</t>
  </si>
  <si>
    <t> F.Agerer </t>
  </si>
  <si>
    <t>BAVM 158 </t>
  </si>
  <si>
    <t>2452427.542 </t>
  </si>
  <si>
    <t> 02.06.2002 01:00 </t>
  </si>
  <si>
    <t>23586.5</t>
  </si>
  <si>
    <t> -0.055 </t>
  </si>
  <si>
    <t> BBS 128 </t>
  </si>
  <si>
    <t>2452475.516 </t>
  </si>
  <si>
    <t> 20.07.2002 00:23 </t>
  </si>
  <si>
    <t>23691</t>
  </si>
  <si>
    <t> -0.034 </t>
  </si>
  <si>
    <t> E.Blättler </t>
  </si>
  <si>
    <t>2454957.9124 </t>
  </si>
  <si>
    <t> 06.05.2009 09:53 </t>
  </si>
  <si>
    <t>29101</t>
  </si>
  <si>
    <t> -0.1716 </t>
  </si>
  <si>
    <t>C </t>
  </si>
  <si>
    <t>IBVS 5894 </t>
  </si>
  <si>
    <t>2455723.7782 </t>
  </si>
  <si>
    <t> 11.06.2011 06:40 </t>
  </si>
  <si>
    <t>30770</t>
  </si>
  <si>
    <t> -0.1745 </t>
  </si>
  <si>
    <t>IBVS 5992 </t>
  </si>
  <si>
    <t>2456047.42849 </t>
  </si>
  <si>
    <t> 29.04.2012 22:17 </t>
  </si>
  <si>
    <t>31475.5</t>
  </si>
  <si>
    <t> -0.26318 </t>
  </si>
  <si>
    <t> M.Audejean </t>
  </si>
  <si>
    <t>OEJV 0160 </t>
  </si>
  <si>
    <t>BAD?</t>
  </si>
  <si>
    <t>JAVSO..43..238</t>
  </si>
  <si>
    <t>s5</t>
  </si>
  <si>
    <t>s6</t>
  </si>
  <si>
    <t>s7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</si>
</sst>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33" borderId="0" xfId="0" applyFont="1" applyFill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7" fillId="34" borderId="18" xfId="54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V0718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5"/>
          <c:w val="0.90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</c:v>
                  </c:pt>
                  <c:pt idx="3">
                    <c:v>0.0017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0.0008</c:v>
                  </c:pt>
                  <c:pt idx="7">
                    <c:v>0.0012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53606419"/>
        <c:axId val="12695724"/>
      </c:scatterChart>
      <c:valAx>
        <c:axId val="53606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crossBetween val="midCat"/>
        <c:dispUnits/>
      </c:valAx>
      <c:valAx>
        <c:axId val="1269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2"/>
          <c:y val="0.9305"/>
          <c:w val="0.958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V0718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55"/>
          <c:w val="0.902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0.0017</c:v>
                  </c:pt>
                  <c:pt idx="3">
                    <c:v>0.0008</c:v>
                  </c:pt>
                  <c:pt idx="4">
                    <c:v>0.0012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crossBetween val="midCat"/>
        <c:dispUnits/>
      </c:valAx>
      <c:valAx>
        <c:axId val="21720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25"/>
          <c:y val="0.9305"/>
          <c:w val="0.8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466725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86275" y="0"/>
        <a:ext cx="5543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14</xdr:col>
      <xdr:colOff>390525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33800" y="0"/>
        <a:ext cx="5543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8" TargetMode="External" /><Relationship Id="rId2" Type="http://schemas.openxmlformats.org/officeDocument/2006/relationships/hyperlink" Target="http://www.konkoly.hu/cgi-bin/IBVS?5894" TargetMode="External" /><Relationship Id="rId3" Type="http://schemas.openxmlformats.org/officeDocument/2006/relationships/hyperlink" Target="http://www.konkoly.hu/cgi-bin/IBVS?5992" TargetMode="External" /><Relationship Id="rId4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46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710937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2" ht="12.75">
      <c r="A2" t="s">
        <v>24</v>
      </c>
      <c r="B2" s="28" t="s">
        <v>45</v>
      </c>
    </row>
    <row r="3" ht="13.5" thickBot="1"/>
    <row r="4" spans="1:4" ht="14.25" thickBot="1" thickTop="1">
      <c r="A4" s="6" t="s">
        <v>0</v>
      </c>
      <c r="C4" s="2">
        <v>41604.252</v>
      </c>
      <c r="D4" s="3">
        <v>0.4588788</v>
      </c>
    </row>
    <row r="5" spans="1:4" ht="13.5" thickTop="1">
      <c r="A5" s="10" t="s">
        <v>36</v>
      </c>
      <c r="B5" s="11"/>
      <c r="C5" s="12">
        <v>-9.5</v>
      </c>
      <c r="D5" s="11" t="s">
        <v>37</v>
      </c>
    </row>
    <row r="6" spans="1:3" ht="12.75">
      <c r="A6" s="6" t="s">
        <v>1</v>
      </c>
      <c r="C6" s="40" t="s">
        <v>55</v>
      </c>
    </row>
    <row r="7" spans="1:3" ht="12.75">
      <c r="A7" t="s">
        <v>2</v>
      </c>
      <c r="C7">
        <f>+C4</f>
        <v>41604.252</v>
      </c>
    </row>
    <row r="8" spans="1:3" ht="12.75">
      <c r="A8" t="s">
        <v>3</v>
      </c>
      <c r="C8" s="40">
        <v>0.736418</v>
      </c>
    </row>
    <row r="9" spans="1:4" ht="12.75">
      <c r="A9" s="26" t="s">
        <v>43</v>
      </c>
      <c r="B9" s="27">
        <v>22</v>
      </c>
      <c r="C9" s="14" t="str">
        <f>"F"&amp;B9</f>
        <v>F22</v>
      </c>
      <c r="D9" s="15" t="str">
        <f>"G"&amp;B9</f>
        <v>G22</v>
      </c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5" ht="12.75">
      <c r="A11" s="11" t="s">
        <v>16</v>
      </c>
      <c r="B11" s="11"/>
      <c r="C11" s="13">
        <f ca="1">INTERCEPT(INDIRECT($D$9):G992,INDIRECT($C$9):F992)</f>
        <v>-0.01994800036811603</v>
      </c>
      <c r="D11" s="4"/>
      <c r="E11" s="11"/>
    </row>
    <row r="12" spans="1:5" ht="12.75">
      <c r="A12" s="11" t="s">
        <v>17</v>
      </c>
      <c r="B12" s="11"/>
      <c r="C12" s="13">
        <f ca="1">SLOPE(INDIRECT($D$9):G992,INDIRECT($C$9):F992)</f>
        <v>-8.610502920820693E-06</v>
      </c>
      <c r="D12" s="4"/>
      <c r="E12" s="11"/>
    </row>
    <row r="13" spans="1:3" ht="12.75">
      <c r="A13" s="11" t="s">
        <v>19</v>
      </c>
      <c r="B13" s="11"/>
      <c r="C13" s="4" t="s">
        <v>14</v>
      </c>
    </row>
    <row r="14" spans="1:3" ht="12.75">
      <c r="A14" s="11"/>
      <c r="B14" s="11"/>
      <c r="C14" s="11"/>
    </row>
    <row r="15" spans="1:6" ht="12.75">
      <c r="A15" s="16" t="s">
        <v>18</v>
      </c>
      <c r="B15" s="11"/>
      <c r="C15" s="17">
        <f>(C7+C11)+(C8+C12)*INT(MAX(F21:F3533))</f>
        <v>56047.42940820585</v>
      </c>
      <c r="E15" s="18" t="s">
        <v>46</v>
      </c>
      <c r="F15" s="12">
        <v>1</v>
      </c>
    </row>
    <row r="16" spans="1:6" ht="12.75">
      <c r="A16" s="20" t="s">
        <v>4</v>
      </c>
      <c r="B16" s="11"/>
      <c r="C16" s="21">
        <f>+C8+C12</f>
        <v>0.7364093894970792</v>
      </c>
      <c r="E16" s="18" t="s">
        <v>38</v>
      </c>
      <c r="F16" s="19">
        <f ca="1">NOW()+15018.5+$C$5/24</f>
        <v>59900.82180844907</v>
      </c>
    </row>
    <row r="17" spans="1:6" ht="13.5" thickBot="1">
      <c r="A17" s="18" t="s">
        <v>40</v>
      </c>
      <c r="B17" s="11"/>
      <c r="C17" s="11">
        <f>COUNT(C21:C2191)</f>
        <v>10</v>
      </c>
      <c r="E17" s="18" t="s">
        <v>47</v>
      </c>
      <c r="F17" s="19">
        <f>ROUND(2*(F16-$C$7)/$C$8,0)/2+F15</f>
        <v>24846.5</v>
      </c>
    </row>
    <row r="18" spans="1:19" ht="14.25" thickBot="1" thickTop="1">
      <c r="A18" s="20" t="s">
        <v>5</v>
      </c>
      <c r="B18" s="11"/>
      <c r="C18" s="23">
        <f>+C15</f>
        <v>56047.42940820585</v>
      </c>
      <c r="D18" s="24">
        <f>+C16</f>
        <v>0.7364093894970792</v>
      </c>
      <c r="E18" s="18" t="s">
        <v>39</v>
      </c>
      <c r="F18" s="15">
        <f>ROUND(2*(F16-$C$15)/$C$16,0)/2+F15</f>
        <v>5233.5</v>
      </c>
      <c r="S18" t="s">
        <v>53</v>
      </c>
    </row>
    <row r="19" spans="5:19" ht="13.5" thickTop="1">
      <c r="E19" s="18" t="s">
        <v>41</v>
      </c>
      <c r="F19" s="22">
        <f>+$C$15+$C$16*F18-15018.5-$C$5/24</f>
        <v>44883.32378147215</v>
      </c>
      <c r="S19">
        <f>SQRT(SUM(S21:S42)/(COUNT(S21:S42)-1))</f>
        <v>0.09501912109426401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63</v>
      </c>
      <c r="I20" s="8" t="s">
        <v>66</v>
      </c>
      <c r="J20" s="8" t="s">
        <v>60</v>
      </c>
      <c r="K20" s="8" t="s">
        <v>58</v>
      </c>
      <c r="L20" s="8" t="s">
        <v>113</v>
      </c>
      <c r="M20" s="8" t="s">
        <v>114</v>
      </c>
      <c r="N20" s="8" t="s">
        <v>115</v>
      </c>
      <c r="O20" s="8" t="s">
        <v>23</v>
      </c>
      <c r="P20" s="7" t="s">
        <v>22</v>
      </c>
      <c r="Q20" s="5" t="s">
        <v>15</v>
      </c>
      <c r="U20" s="57" t="s">
        <v>111</v>
      </c>
    </row>
    <row r="21" spans="1:17" s="29" customFormat="1" ht="12.75" customHeight="1">
      <c r="A21" s="33" t="s">
        <v>12</v>
      </c>
      <c r="B21" s="33"/>
      <c r="C21" s="34">
        <v>41604.252</v>
      </c>
      <c r="D21" s="34" t="s">
        <v>14</v>
      </c>
      <c r="E21" s="29">
        <f aca="true" t="shared" si="0" ref="E21:E29">+(C21-C$7)/C$8</f>
        <v>0</v>
      </c>
      <c r="F21" s="29">
        <f aca="true" t="shared" si="1" ref="F21:F27">ROUND(2*E21,0)/2</f>
        <v>0</v>
      </c>
      <c r="G21" s="29">
        <f>+C21-(C$7+F21*C$8)</f>
        <v>0</v>
      </c>
      <c r="I21" s="29">
        <f>+G21</f>
        <v>0</v>
      </c>
      <c r="O21" s="29">
        <f aca="true" t="shared" si="2" ref="O21:O29">+C$11+C$12*F21</f>
        <v>-0.01994800036811603</v>
      </c>
      <c r="Q21" s="30">
        <f aca="true" t="shared" si="3" ref="Q21:Q29">+C21-15018.5</f>
        <v>26585.752</v>
      </c>
    </row>
    <row r="22" spans="1:31" s="29" customFormat="1" ht="12.75" customHeight="1">
      <c r="A22" s="33" t="s">
        <v>29</v>
      </c>
      <c r="B22" s="35" t="s">
        <v>31</v>
      </c>
      <c r="C22" s="34">
        <v>50570.385</v>
      </c>
      <c r="D22" s="34">
        <v>0.002</v>
      </c>
      <c r="E22" s="29">
        <f t="shared" si="0"/>
        <v>12175.331129874612</v>
      </c>
      <c r="F22" s="29">
        <f t="shared" si="1"/>
        <v>12175.5</v>
      </c>
      <c r="G22" s="29">
        <f>+C22-(C$7+F22*C$8)</f>
        <v>-0.12435900000127731</v>
      </c>
      <c r="I22" s="29">
        <f>+G22</f>
        <v>-0.12435900000127731</v>
      </c>
      <c r="O22" s="29">
        <f t="shared" si="2"/>
        <v>-0.12478517868056838</v>
      </c>
      <c r="Q22" s="30">
        <f t="shared" si="3"/>
        <v>35551.885</v>
      </c>
      <c r="S22" s="29">
        <f aca="true" t="shared" si="4" ref="S22:S29">+(O22-G22)^2</f>
        <v>1.8162826668227824E-07</v>
      </c>
      <c r="AA22" s="29">
        <v>13</v>
      </c>
      <c r="AC22" s="29" t="s">
        <v>28</v>
      </c>
      <c r="AE22" s="29" t="s">
        <v>30</v>
      </c>
    </row>
    <row r="23" spans="1:21" s="29" customFormat="1" ht="12.75">
      <c r="A23" s="55" t="s">
        <v>77</v>
      </c>
      <c r="B23" s="56" t="s">
        <v>34</v>
      </c>
      <c r="C23" s="55">
        <v>52026.421</v>
      </c>
      <c r="D23" s="55" t="s">
        <v>66</v>
      </c>
      <c r="E23" s="29">
        <f t="shared" si="0"/>
        <v>14152.51799928845</v>
      </c>
      <c r="F23" s="29">
        <f t="shared" si="1"/>
        <v>14152.5</v>
      </c>
      <c r="O23" s="29">
        <f t="shared" si="2"/>
        <v>-0.14180814295503089</v>
      </c>
      <c r="Q23" s="30">
        <f t="shared" si="3"/>
        <v>37007.921</v>
      </c>
      <c r="S23" s="29">
        <f t="shared" si="4"/>
        <v>0.020109549408354476</v>
      </c>
      <c r="U23" s="29">
        <v>0.013254999998025596</v>
      </c>
    </row>
    <row r="24" spans="1:19" s="29" customFormat="1" ht="12.75" customHeight="1">
      <c r="A24" s="33" t="s">
        <v>33</v>
      </c>
      <c r="B24" s="35" t="s">
        <v>34</v>
      </c>
      <c r="C24" s="34">
        <v>52408.4615</v>
      </c>
      <c r="D24" s="34">
        <v>0.0017</v>
      </c>
      <c r="E24" s="29">
        <f t="shared" si="0"/>
        <v>14671.300131175496</v>
      </c>
      <c r="F24" s="29">
        <f t="shared" si="1"/>
        <v>14671.5</v>
      </c>
      <c r="G24" s="29">
        <f>+C24-(C$7+F24*C$8)</f>
        <v>-0.14718700000230456</v>
      </c>
      <c r="J24" s="29">
        <f>+G24</f>
        <v>-0.14718700000230456</v>
      </c>
      <c r="O24" s="29">
        <f t="shared" si="2"/>
        <v>-0.14627699397093682</v>
      </c>
      <c r="Q24" s="30">
        <f t="shared" si="3"/>
        <v>37389.9615</v>
      </c>
      <c r="S24" s="29">
        <f t="shared" si="4"/>
        <v>8.28110977125651E-07</v>
      </c>
    </row>
    <row r="25" spans="1:21" s="29" customFormat="1" ht="12.75">
      <c r="A25" s="55" t="s">
        <v>88</v>
      </c>
      <c r="B25" s="56" t="s">
        <v>31</v>
      </c>
      <c r="C25" s="55">
        <v>52427.542</v>
      </c>
      <c r="D25" s="55" t="s">
        <v>66</v>
      </c>
      <c r="E25" s="29">
        <f t="shared" si="0"/>
        <v>14697.21000844629</v>
      </c>
      <c r="F25" s="29">
        <f t="shared" si="1"/>
        <v>14697</v>
      </c>
      <c r="O25" s="29">
        <f t="shared" si="2"/>
        <v>-0.14649656179541776</v>
      </c>
      <c r="Q25" s="30">
        <f t="shared" si="3"/>
        <v>37409.042</v>
      </c>
      <c r="S25" s="29">
        <f t="shared" si="4"/>
        <v>0.021461242617878653</v>
      </c>
      <c r="U25" s="29">
        <v>0.1546539999981178</v>
      </c>
    </row>
    <row r="26" spans="1:21" s="29" customFormat="1" ht="12.75">
      <c r="A26" s="55" t="s">
        <v>88</v>
      </c>
      <c r="B26" s="56" t="s">
        <v>34</v>
      </c>
      <c r="C26" s="55">
        <v>52475.516</v>
      </c>
      <c r="D26" s="55" t="s">
        <v>66</v>
      </c>
      <c r="E26" s="29">
        <f t="shared" si="0"/>
        <v>14762.355075514182</v>
      </c>
      <c r="F26" s="29">
        <f t="shared" si="1"/>
        <v>14762.5</v>
      </c>
      <c r="O26" s="29">
        <f t="shared" si="2"/>
        <v>-0.14706054973673152</v>
      </c>
      <c r="Q26" s="30">
        <f t="shared" si="3"/>
        <v>37457.016</v>
      </c>
      <c r="S26" s="29">
        <f t="shared" si="4"/>
        <v>0.021626805288869684</v>
      </c>
      <c r="U26" s="29">
        <v>-0.10672499999782303</v>
      </c>
    </row>
    <row r="27" spans="1:19" s="29" customFormat="1" ht="12.75">
      <c r="A27" s="34" t="s">
        <v>44</v>
      </c>
      <c r="B27" s="35" t="s">
        <v>34</v>
      </c>
      <c r="C27" s="34">
        <v>54957.9124</v>
      </c>
      <c r="D27" s="34">
        <v>0.0008</v>
      </c>
      <c r="E27" s="29">
        <f t="shared" si="0"/>
        <v>18133.261815979513</v>
      </c>
      <c r="F27" s="29">
        <f t="shared" si="1"/>
        <v>18133.5</v>
      </c>
      <c r="G27" s="29">
        <f>+C27-(C$7+F27*C$8)</f>
        <v>-0.1754030000010971</v>
      </c>
      <c r="K27" s="29">
        <f>+G27</f>
        <v>-0.1754030000010971</v>
      </c>
      <c r="O27" s="29">
        <f t="shared" si="2"/>
        <v>-0.17608655508281806</v>
      </c>
      <c r="Q27" s="30">
        <f t="shared" si="3"/>
        <v>39939.4124</v>
      </c>
      <c r="S27" s="29">
        <f t="shared" si="4"/>
        <v>4.6724754974655605E-07</v>
      </c>
    </row>
    <row r="28" spans="1:19" s="29" customFormat="1" ht="12.75">
      <c r="A28" s="34" t="s">
        <v>48</v>
      </c>
      <c r="B28" s="35" t="s">
        <v>34</v>
      </c>
      <c r="C28" s="34">
        <v>55723.7782</v>
      </c>
      <c r="D28" s="34">
        <v>0.0012</v>
      </c>
      <c r="E28" s="29">
        <f t="shared" si="0"/>
        <v>19173.24970329351</v>
      </c>
      <c r="F28" s="39">
        <f>ROUND(2*E28,0)/2+0.5</f>
        <v>19173.5</v>
      </c>
      <c r="G28" s="29">
        <f>+C28-(C$7+F28*C$8)</f>
        <v>-0.18432300000131363</v>
      </c>
      <c r="K28" s="29">
        <f>+G28</f>
        <v>-0.18432300000131363</v>
      </c>
      <c r="O28" s="29">
        <f t="shared" si="2"/>
        <v>-0.1850414781204716</v>
      </c>
      <c r="Q28" s="30">
        <f t="shared" si="3"/>
        <v>40705.2782</v>
      </c>
      <c r="S28" s="29">
        <f t="shared" si="4"/>
        <v>5.162108077087539E-07</v>
      </c>
    </row>
    <row r="29" spans="1:19" s="29" customFormat="1" ht="12.75">
      <c r="A29" s="58" t="s">
        <v>50</v>
      </c>
      <c r="B29" s="59" t="s">
        <v>34</v>
      </c>
      <c r="C29" s="60">
        <v>56047.42849</v>
      </c>
      <c r="D29" s="60">
        <v>0.001</v>
      </c>
      <c r="E29" s="29">
        <f t="shared" si="0"/>
        <v>19612.74234198512</v>
      </c>
      <c r="F29" s="39">
        <f>ROUND(2*E29,0)/2+0.5</f>
        <v>19613</v>
      </c>
      <c r="G29" s="29">
        <f>+C29-(C$7+F29*C$8)</f>
        <v>-0.18974400000297464</v>
      </c>
      <c r="K29" s="29">
        <f>+G29</f>
        <v>-0.18974400000297464</v>
      </c>
      <c r="O29" s="29">
        <f t="shared" si="2"/>
        <v>-0.18882579415417228</v>
      </c>
      <c r="Q29" s="30">
        <f t="shared" si="3"/>
        <v>41028.92849</v>
      </c>
      <c r="S29" s="29">
        <f t="shared" si="4"/>
        <v>8.431019807748753E-07</v>
      </c>
    </row>
    <row r="30" spans="1:4" s="29" customFormat="1" ht="12.75">
      <c r="A30" s="61" t="s">
        <v>112</v>
      </c>
      <c r="B30" s="62" t="s">
        <v>34</v>
      </c>
      <c r="C30" s="63">
        <v>57187.2973</v>
      </c>
      <c r="D30" s="63">
        <v>0.0002</v>
      </c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C3" sqref="C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2" ht="12.75">
      <c r="A2" t="s">
        <v>24</v>
      </c>
      <c r="B2" s="28" t="s">
        <v>45</v>
      </c>
    </row>
    <row r="3" ht="13.5" thickBot="1">
      <c r="C3" s="9" t="s">
        <v>54</v>
      </c>
    </row>
    <row r="4" spans="1:4" ht="14.25" thickBot="1" thickTop="1">
      <c r="A4" s="6" t="s">
        <v>0</v>
      </c>
      <c r="C4" s="2">
        <v>41604.252</v>
      </c>
      <c r="D4" s="3">
        <v>0.4588788</v>
      </c>
    </row>
    <row r="5" ht="12.75">
      <c r="C5" s="32" t="s">
        <v>49</v>
      </c>
    </row>
    <row r="6" ht="12.75">
      <c r="A6" s="6" t="s">
        <v>1</v>
      </c>
    </row>
    <row r="7" spans="1:3" ht="12.75">
      <c r="A7" t="s">
        <v>2</v>
      </c>
      <c r="C7">
        <f>+C4</f>
        <v>41604.252</v>
      </c>
    </row>
    <row r="8" spans="1:3" ht="12.75">
      <c r="A8" t="s">
        <v>3</v>
      </c>
      <c r="C8">
        <f>+D4</f>
        <v>0.4588788</v>
      </c>
    </row>
    <row r="9" spans="1:5" ht="12.75">
      <c r="A9" s="10" t="s">
        <v>36</v>
      </c>
      <c r="B9" s="11"/>
      <c r="C9" s="12">
        <v>8</v>
      </c>
      <c r="D9" s="11" t="s">
        <v>37</v>
      </c>
      <c r="E9" s="11"/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7" ht="12.75">
      <c r="A11" s="11" t="s">
        <v>16</v>
      </c>
      <c r="B11" s="11"/>
      <c r="C11" s="13">
        <f ca="1">INTERCEPT(INDIRECT($G$11):G992,INDIRECT($F$11):F992)</f>
        <v>0.009833542230547686</v>
      </c>
      <c r="D11" s="4"/>
      <c r="E11" s="11"/>
      <c r="F11" s="14" t="str">
        <f>"F"&amp;E19</f>
        <v>F21</v>
      </c>
      <c r="G11" s="15" t="str">
        <f>"G"&amp;E19</f>
        <v>G21</v>
      </c>
    </row>
    <row r="12" spans="1:5" ht="12.75">
      <c r="A12" s="11" t="s">
        <v>17</v>
      </c>
      <c r="B12" s="11"/>
      <c r="C12" s="13">
        <f ca="1">SLOPE(INDIRECT($G$11):G992,INDIRECT($F$11):F992)</f>
        <v>2.1114154402227438E-07</v>
      </c>
      <c r="D12" s="4"/>
      <c r="E12" s="11"/>
    </row>
    <row r="13" spans="1:5" ht="12.75">
      <c r="A13" s="11" t="s">
        <v>19</v>
      </c>
      <c r="B13" s="11"/>
      <c r="C13" s="4" t="s">
        <v>14</v>
      </c>
      <c r="D13" s="18" t="s">
        <v>46</v>
      </c>
      <c r="E13" s="12">
        <v>1</v>
      </c>
    </row>
    <row r="14" spans="1:5" ht="12.75">
      <c r="A14" s="11"/>
      <c r="B14" s="11"/>
      <c r="C14" s="11"/>
      <c r="D14" s="18" t="s">
        <v>38</v>
      </c>
      <c r="E14" s="19">
        <f ca="1">NOW()+15018.5+$C$9/24</f>
        <v>59901.550975115744</v>
      </c>
    </row>
    <row r="15" spans="1:5" ht="12.75">
      <c r="A15" s="16" t="s">
        <v>18</v>
      </c>
      <c r="B15" s="11"/>
      <c r="C15" s="17">
        <f>(C7+C11)+(C8+C12)*INT(MAX(F21:F3533))</f>
        <v>56047.47870922233</v>
      </c>
      <c r="D15" s="18" t="s">
        <v>47</v>
      </c>
      <c r="E15" s="19">
        <f>ROUND(2*(E14-$C$7)/$C$8,0)/2+E13</f>
        <v>39875</v>
      </c>
    </row>
    <row r="16" spans="1:5" ht="12.75">
      <c r="A16" s="20" t="s">
        <v>4</v>
      </c>
      <c r="B16" s="11"/>
      <c r="C16" s="21">
        <f>+C8+C12</f>
        <v>0.458879011141544</v>
      </c>
      <c r="D16" s="18" t="s">
        <v>39</v>
      </c>
      <c r="E16" s="15">
        <f>ROUND(2*(E14-$C$15)/$C$16,0)/2+E13</f>
        <v>8400</v>
      </c>
    </row>
    <row r="17" spans="1:5" ht="13.5" thickBot="1">
      <c r="A17" s="18" t="s">
        <v>40</v>
      </c>
      <c r="B17" s="11"/>
      <c r="C17" s="11">
        <f>COUNT(C21:C2191)</f>
        <v>6</v>
      </c>
      <c r="D17" s="18" t="s">
        <v>41</v>
      </c>
      <c r="E17" s="22">
        <f>+$C$15+$C$16*E16-15018.5-$C$9/24</f>
        <v>44883.22906947796</v>
      </c>
    </row>
    <row r="18" spans="1:19" ht="14.25" thickBot="1" thickTop="1">
      <c r="A18" s="20" t="s">
        <v>5</v>
      </c>
      <c r="B18" s="11"/>
      <c r="C18" s="23">
        <f>+C15</f>
        <v>56047.47870922233</v>
      </c>
      <c r="D18" s="24">
        <f>+C16</f>
        <v>0.458879011141544</v>
      </c>
      <c r="E18" s="25" t="s">
        <v>42</v>
      </c>
      <c r="S18" t="s">
        <v>53</v>
      </c>
    </row>
    <row r="19" spans="1:19" ht="13.5" thickTop="1">
      <c r="A19" s="26" t="s">
        <v>43</v>
      </c>
      <c r="E19" s="27">
        <v>21</v>
      </c>
      <c r="S19">
        <f>SQRT(SUM(S21:S42)/(COUNT(S21:S42)-1))</f>
        <v>0.07023719628043175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32</v>
      </c>
      <c r="J20" s="8" t="s">
        <v>35</v>
      </c>
      <c r="K20" s="8" t="s">
        <v>51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9" s="29" customFormat="1" ht="12.75" customHeight="1">
      <c r="A21" s="33" t="s">
        <v>12</v>
      </c>
      <c r="B21" s="33"/>
      <c r="C21" s="34">
        <v>41604.252</v>
      </c>
      <c r="D21" s="34" t="s">
        <v>14</v>
      </c>
      <c r="E21" s="29">
        <f aca="true" t="shared" si="0" ref="E21:E26">+(C21-C$7)/C$8</f>
        <v>0</v>
      </c>
      <c r="F21" s="29">
        <f aca="true" t="shared" si="1" ref="F21:F26">ROUND(2*E21,0)/2</f>
        <v>0</v>
      </c>
      <c r="G21" s="29">
        <f aca="true" t="shared" si="2" ref="G21:G26">+C21-(C$7+F21*C$8)</f>
        <v>0</v>
      </c>
      <c r="H21" s="29">
        <f>+G21</f>
        <v>0</v>
      </c>
      <c r="O21" s="29">
        <f aca="true" t="shared" si="3" ref="O21:O26">+C$11+C$12*F21</f>
        <v>0.009833542230547686</v>
      </c>
      <c r="Q21" s="30">
        <f aca="true" t="shared" si="4" ref="Q21:Q26">+C21-15018.5</f>
        <v>26585.752</v>
      </c>
      <c r="S21" s="29">
        <f aca="true" t="shared" si="5" ref="S21:S26">+(O21-G21)^2</f>
        <v>9.669855279996475E-05</v>
      </c>
    </row>
    <row r="22" spans="1:31" s="29" customFormat="1" ht="12.75" customHeight="1">
      <c r="A22" s="33" t="s">
        <v>29</v>
      </c>
      <c r="B22" s="35" t="s">
        <v>31</v>
      </c>
      <c r="C22" s="34">
        <v>50570.385</v>
      </c>
      <c r="D22" s="34">
        <v>0.002</v>
      </c>
      <c r="E22" s="29">
        <f t="shared" si="0"/>
        <v>19539.218198792365</v>
      </c>
      <c r="F22" s="29">
        <f t="shared" si="1"/>
        <v>19539</v>
      </c>
      <c r="G22" s="29">
        <f t="shared" si="2"/>
        <v>0.10012680000363616</v>
      </c>
      <c r="I22" s="29">
        <f>+G22</f>
        <v>0.10012680000363616</v>
      </c>
      <c r="O22" s="29">
        <f t="shared" si="3"/>
        <v>0.013959036859198904</v>
      </c>
      <c r="Q22" s="30">
        <f t="shared" si="4"/>
        <v>35551.885</v>
      </c>
      <c r="S22" s="29">
        <f t="shared" si="5"/>
        <v>0.007424883405315841</v>
      </c>
      <c r="AA22" s="29">
        <v>13</v>
      </c>
      <c r="AC22" s="29" t="s">
        <v>28</v>
      </c>
      <c r="AE22" s="29" t="s">
        <v>30</v>
      </c>
    </row>
    <row r="23" spans="1:19" s="29" customFormat="1" ht="12.75" customHeight="1">
      <c r="A23" s="33" t="s">
        <v>33</v>
      </c>
      <c r="B23" s="35" t="s">
        <v>34</v>
      </c>
      <c r="C23" s="34">
        <v>52408.4615</v>
      </c>
      <c r="D23" s="34">
        <v>0.0017</v>
      </c>
      <c r="E23" s="29">
        <f t="shared" si="0"/>
        <v>23544.799846931255</v>
      </c>
      <c r="F23" s="29">
        <f t="shared" si="1"/>
        <v>23545</v>
      </c>
      <c r="G23" s="29">
        <f t="shared" si="2"/>
        <v>-0.09184600000298815</v>
      </c>
      <c r="J23" s="29">
        <f>+G23</f>
        <v>-0.09184600000298815</v>
      </c>
      <c r="O23" s="29">
        <f t="shared" si="3"/>
        <v>0.014804869884552136</v>
      </c>
      <c r="Q23" s="30">
        <f t="shared" si="4"/>
        <v>37389.9615</v>
      </c>
      <c r="S23" s="29">
        <f t="shared" si="5"/>
        <v>0.011374408047769048</v>
      </c>
    </row>
    <row r="24" spans="1:19" s="29" customFormat="1" ht="12.75">
      <c r="A24" s="34" t="s">
        <v>44</v>
      </c>
      <c r="B24" s="35" t="s">
        <v>34</v>
      </c>
      <c r="C24" s="34">
        <v>54957.9124</v>
      </c>
      <c r="D24" s="34">
        <v>0.0008</v>
      </c>
      <c r="E24" s="29">
        <f t="shared" si="0"/>
        <v>29100.626134831247</v>
      </c>
      <c r="F24" s="29">
        <f t="shared" si="1"/>
        <v>29100.5</v>
      </c>
      <c r="G24" s="29">
        <f t="shared" si="2"/>
        <v>0.05788059999758843</v>
      </c>
      <c r="J24" s="29">
        <f>+G24</f>
        <v>0.05788059999758843</v>
      </c>
      <c r="O24" s="29">
        <f t="shared" si="3"/>
        <v>0.015977866732367882</v>
      </c>
      <c r="Q24" s="30">
        <f t="shared" si="4"/>
        <v>39939.4124</v>
      </c>
      <c r="S24" s="29">
        <f t="shared" si="5"/>
        <v>0.001755839055096221</v>
      </c>
    </row>
    <row r="25" spans="1:19" s="29" customFormat="1" ht="12.75">
      <c r="A25" s="34" t="s">
        <v>48</v>
      </c>
      <c r="B25" s="35" t="s">
        <v>34</v>
      </c>
      <c r="C25" s="34">
        <v>55723.7782</v>
      </c>
      <c r="D25" s="34">
        <v>0.0012</v>
      </c>
      <c r="E25" s="29">
        <f t="shared" si="0"/>
        <v>30769.61977759705</v>
      </c>
      <c r="F25" s="29">
        <f t="shared" si="1"/>
        <v>30769.5</v>
      </c>
      <c r="G25" s="29">
        <f t="shared" si="2"/>
        <v>0.05496340000536293</v>
      </c>
      <c r="J25" s="29">
        <f>+G25</f>
        <v>0.05496340000536293</v>
      </c>
      <c r="O25" s="29">
        <f t="shared" si="3"/>
        <v>0.016330261969341058</v>
      </c>
      <c r="Q25" s="30">
        <f t="shared" si="4"/>
        <v>40705.2782</v>
      </c>
      <c r="S25" s="29">
        <f t="shared" si="5"/>
        <v>0.0014925193545103198</v>
      </c>
    </row>
    <row r="26" spans="1:19" s="29" customFormat="1" ht="12.75">
      <c r="A26" s="36" t="s">
        <v>50</v>
      </c>
      <c r="B26" s="37" t="s">
        <v>34</v>
      </c>
      <c r="C26" s="38">
        <v>56047.42849</v>
      </c>
      <c r="D26" s="38">
        <v>0.001</v>
      </c>
      <c r="E26" s="29">
        <f t="shared" si="0"/>
        <v>31474.92647295974</v>
      </c>
      <c r="F26" s="29">
        <f t="shared" si="1"/>
        <v>31475</v>
      </c>
      <c r="G26" s="29">
        <f t="shared" si="2"/>
        <v>-0.03373999999894295</v>
      </c>
      <c r="K26" s="29">
        <f>+G26</f>
        <v>-0.03373999999894295</v>
      </c>
      <c r="O26" s="29">
        <f t="shared" si="3"/>
        <v>0.016479222328648773</v>
      </c>
      <c r="Q26" s="30">
        <f t="shared" si="4"/>
        <v>41028.92849</v>
      </c>
      <c r="S26" s="29">
        <f t="shared" si="5"/>
        <v>0.002521970291188087</v>
      </c>
    </row>
    <row r="27" spans="4:17" s="29" customFormat="1" ht="12.75">
      <c r="D27" s="31"/>
      <c r="Q27" s="30"/>
    </row>
    <row r="28" s="29" customFormat="1" ht="12.75">
      <c r="D28" s="31"/>
    </row>
    <row r="29" s="29" customFormat="1" ht="12.75">
      <c r="D29" s="31"/>
    </row>
    <row r="30" s="29" customFormat="1" ht="12.75">
      <c r="D30" s="31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2"/>
  <sheetViews>
    <sheetView zoomScalePageLayoutView="0" workbookViewId="0" topLeftCell="A1">
      <selection activeCell="A16" sqref="A16:D18"/>
    </sheetView>
  </sheetViews>
  <sheetFormatPr defaultColWidth="9.140625" defaultRowHeight="12.75"/>
  <cols>
    <col min="1" max="1" width="19.7109375" style="42" customWidth="1"/>
    <col min="2" max="2" width="4.421875" style="11" customWidth="1"/>
    <col min="3" max="3" width="12.7109375" style="42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42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1" t="s">
        <v>56</v>
      </c>
      <c r="I1" s="43" t="s">
        <v>57</v>
      </c>
      <c r="J1" s="44" t="s">
        <v>58</v>
      </c>
    </row>
    <row r="2" spans="9:10" ht="12.75">
      <c r="I2" s="45" t="s">
        <v>59</v>
      </c>
      <c r="J2" s="46" t="s">
        <v>60</v>
      </c>
    </row>
    <row r="3" spans="1:10" ht="12.75">
      <c r="A3" s="47" t="s">
        <v>61</v>
      </c>
      <c r="I3" s="45" t="s">
        <v>62</v>
      </c>
      <c r="J3" s="46" t="s">
        <v>63</v>
      </c>
    </row>
    <row r="4" spans="9:10" ht="12.75">
      <c r="I4" s="45" t="s">
        <v>64</v>
      </c>
      <c r="J4" s="46" t="s">
        <v>63</v>
      </c>
    </row>
    <row r="5" spans="9:10" ht="13.5" thickBot="1">
      <c r="I5" s="48" t="s">
        <v>65</v>
      </c>
      <c r="J5" s="49" t="s">
        <v>66</v>
      </c>
    </row>
    <row r="10" ht="13.5" thickBot="1"/>
    <row r="11" spans="1:16" ht="12.75" customHeight="1" thickBot="1">
      <c r="A11" s="42" t="str">
        <f aca="true" t="shared" si="0" ref="A11:A18">P11</f>
        <v> BBS 115 </v>
      </c>
      <c r="B11" s="4" t="str">
        <f aca="true" t="shared" si="1" ref="B11:B18">IF(H11=INT(H11),"I","II")</f>
        <v>I</v>
      </c>
      <c r="C11" s="42">
        <f aca="true" t="shared" si="2" ref="C11:C18">1*G11</f>
        <v>50570.385</v>
      </c>
      <c r="D11" s="11" t="str">
        <f aca="true" t="shared" si="3" ref="D11:D18">VLOOKUP(F11,I$1:J$5,2,FALSE)</f>
        <v>vis</v>
      </c>
      <c r="E11" s="50">
        <f>VLOOKUP(C11,Active!C$21:E$973,3,FALSE)</f>
        <v>12175.331129874612</v>
      </c>
      <c r="F11" s="4" t="s">
        <v>65</v>
      </c>
      <c r="G11" s="11" t="str">
        <f aca="true" t="shared" si="4" ref="G11:G18">MID(I11,3,LEN(I11)-3)</f>
        <v>50570.385</v>
      </c>
      <c r="H11" s="42">
        <f aca="true" t="shared" si="5" ref="H11:H18">1*K11</f>
        <v>19539</v>
      </c>
      <c r="I11" s="51" t="s">
        <v>67</v>
      </c>
      <c r="J11" s="52" t="s">
        <v>68</v>
      </c>
      <c r="K11" s="51">
        <v>19539</v>
      </c>
      <c r="L11" s="51" t="s">
        <v>69</v>
      </c>
      <c r="M11" s="52" t="s">
        <v>70</v>
      </c>
      <c r="N11" s="52" t="s">
        <v>71</v>
      </c>
      <c r="O11" s="53" t="s">
        <v>72</v>
      </c>
      <c r="P11" s="53" t="s">
        <v>73</v>
      </c>
    </row>
    <row r="12" spans="1:16" ht="12.75" customHeight="1" thickBot="1">
      <c r="A12" s="42" t="str">
        <f t="shared" si="0"/>
        <v>BAVM 158 </v>
      </c>
      <c r="B12" s="4" t="str">
        <f t="shared" si="1"/>
        <v>I</v>
      </c>
      <c r="C12" s="42">
        <f t="shared" si="2"/>
        <v>52408.4615</v>
      </c>
      <c r="D12" s="11" t="str">
        <f t="shared" si="3"/>
        <v>vis</v>
      </c>
      <c r="E12" s="50">
        <f>VLOOKUP(C12,Active!C$21:E$973,3,FALSE)</f>
        <v>14671.300131175496</v>
      </c>
      <c r="F12" s="4" t="s">
        <v>65</v>
      </c>
      <c r="G12" s="11" t="str">
        <f t="shared" si="4"/>
        <v>52408.4615</v>
      </c>
      <c r="H12" s="42">
        <f t="shared" si="5"/>
        <v>23545</v>
      </c>
      <c r="I12" s="51" t="s">
        <v>78</v>
      </c>
      <c r="J12" s="52" t="s">
        <v>79</v>
      </c>
      <c r="K12" s="51">
        <v>23545</v>
      </c>
      <c r="L12" s="51" t="s">
        <v>80</v>
      </c>
      <c r="M12" s="52" t="s">
        <v>70</v>
      </c>
      <c r="N12" s="52" t="s">
        <v>81</v>
      </c>
      <c r="O12" s="53" t="s">
        <v>82</v>
      </c>
      <c r="P12" s="54" t="s">
        <v>83</v>
      </c>
    </row>
    <row r="13" spans="1:16" ht="12.75" customHeight="1" thickBot="1">
      <c r="A13" s="42" t="str">
        <f t="shared" si="0"/>
        <v>IBVS 5894 </v>
      </c>
      <c r="B13" s="4" t="str">
        <f t="shared" si="1"/>
        <v>I</v>
      </c>
      <c r="C13" s="42">
        <f t="shared" si="2"/>
        <v>54957.9124</v>
      </c>
      <c r="D13" s="11" t="str">
        <f t="shared" si="3"/>
        <v>vis</v>
      </c>
      <c r="E13" s="50">
        <f>VLOOKUP(C13,Active!C$21:E$973,3,FALSE)</f>
        <v>18133.261815979513</v>
      </c>
      <c r="F13" s="4" t="s">
        <v>65</v>
      </c>
      <c r="G13" s="11" t="str">
        <f t="shared" si="4"/>
        <v>54957.9124</v>
      </c>
      <c r="H13" s="42">
        <f t="shared" si="5"/>
        <v>29101</v>
      </c>
      <c r="I13" s="51" t="s">
        <v>94</v>
      </c>
      <c r="J13" s="52" t="s">
        <v>95</v>
      </c>
      <c r="K13" s="51" t="s">
        <v>96</v>
      </c>
      <c r="L13" s="51" t="s">
        <v>97</v>
      </c>
      <c r="M13" s="52" t="s">
        <v>98</v>
      </c>
      <c r="N13" s="52" t="s">
        <v>65</v>
      </c>
      <c r="O13" s="53" t="s">
        <v>72</v>
      </c>
      <c r="P13" s="54" t="s">
        <v>99</v>
      </c>
    </row>
    <row r="14" spans="1:16" ht="12.75" customHeight="1" thickBot="1">
      <c r="A14" s="42" t="str">
        <f t="shared" si="0"/>
        <v>IBVS 5992 </v>
      </c>
      <c r="B14" s="4" t="str">
        <f t="shared" si="1"/>
        <v>I</v>
      </c>
      <c r="C14" s="42">
        <f t="shared" si="2"/>
        <v>55723.7782</v>
      </c>
      <c r="D14" s="11" t="str">
        <f t="shared" si="3"/>
        <v>vis</v>
      </c>
      <c r="E14" s="50">
        <f>VLOOKUP(C14,Active!C$21:E$973,3,FALSE)</f>
        <v>19173.24970329351</v>
      </c>
      <c r="F14" s="4" t="s">
        <v>65</v>
      </c>
      <c r="G14" s="11" t="str">
        <f t="shared" si="4"/>
        <v>55723.7782</v>
      </c>
      <c r="H14" s="42">
        <f t="shared" si="5"/>
        <v>30770</v>
      </c>
      <c r="I14" s="51" t="s">
        <v>100</v>
      </c>
      <c r="J14" s="52" t="s">
        <v>101</v>
      </c>
      <c r="K14" s="51" t="s">
        <v>102</v>
      </c>
      <c r="L14" s="51" t="s">
        <v>103</v>
      </c>
      <c r="M14" s="52" t="s">
        <v>98</v>
      </c>
      <c r="N14" s="52" t="s">
        <v>65</v>
      </c>
      <c r="O14" s="53" t="s">
        <v>72</v>
      </c>
      <c r="P14" s="54" t="s">
        <v>104</v>
      </c>
    </row>
    <row r="15" spans="1:16" ht="12.75" customHeight="1" thickBot="1">
      <c r="A15" s="42" t="str">
        <f t="shared" si="0"/>
        <v>OEJV 0160 </v>
      </c>
      <c r="B15" s="4" t="str">
        <f t="shared" si="1"/>
        <v>II</v>
      </c>
      <c r="C15" s="42">
        <f t="shared" si="2"/>
        <v>56047.42849</v>
      </c>
      <c r="D15" s="11" t="str">
        <f t="shared" si="3"/>
        <v>vis</v>
      </c>
      <c r="E15" s="50">
        <f>VLOOKUP(C15,Active!C$21:E$973,3,FALSE)</f>
        <v>19612.74234198512</v>
      </c>
      <c r="F15" s="4" t="s">
        <v>65</v>
      </c>
      <c r="G15" s="11" t="str">
        <f t="shared" si="4"/>
        <v>56047.42849</v>
      </c>
      <c r="H15" s="42">
        <f t="shared" si="5"/>
        <v>31475.5</v>
      </c>
      <c r="I15" s="51" t="s">
        <v>105</v>
      </c>
      <c r="J15" s="52" t="s">
        <v>106</v>
      </c>
      <c r="K15" s="51" t="s">
        <v>107</v>
      </c>
      <c r="L15" s="51" t="s">
        <v>108</v>
      </c>
      <c r="M15" s="52" t="s">
        <v>98</v>
      </c>
      <c r="N15" s="52" t="s">
        <v>57</v>
      </c>
      <c r="O15" s="53" t="s">
        <v>109</v>
      </c>
      <c r="P15" s="54" t="s">
        <v>110</v>
      </c>
    </row>
    <row r="16" spans="1:16" ht="12.75" customHeight="1" thickBot="1">
      <c r="A16" s="42" t="str">
        <f t="shared" si="0"/>
        <v> BBS 125 </v>
      </c>
      <c r="B16" s="4" t="str">
        <f t="shared" si="1"/>
        <v>I</v>
      </c>
      <c r="C16" s="42">
        <f t="shared" si="2"/>
        <v>52026.421</v>
      </c>
      <c r="D16" s="11" t="str">
        <f t="shared" si="3"/>
        <v>vis</v>
      </c>
      <c r="E16" s="50">
        <f>VLOOKUP(C16,Active!C$21:E$973,3,FALSE)</f>
        <v>14152.51799928845</v>
      </c>
      <c r="F16" s="4" t="s">
        <v>65</v>
      </c>
      <c r="G16" s="11" t="str">
        <f t="shared" si="4"/>
        <v>52026.421</v>
      </c>
      <c r="H16" s="42">
        <f t="shared" si="5"/>
        <v>22712</v>
      </c>
      <c r="I16" s="51" t="s">
        <v>74</v>
      </c>
      <c r="J16" s="52" t="s">
        <v>75</v>
      </c>
      <c r="K16" s="51">
        <v>22712</v>
      </c>
      <c r="L16" s="51" t="s">
        <v>76</v>
      </c>
      <c r="M16" s="52" t="s">
        <v>70</v>
      </c>
      <c r="N16" s="52" t="s">
        <v>71</v>
      </c>
      <c r="O16" s="53" t="s">
        <v>72</v>
      </c>
      <c r="P16" s="53" t="s">
        <v>77</v>
      </c>
    </row>
    <row r="17" spans="1:16" ht="12.75" customHeight="1" thickBot="1">
      <c r="A17" s="42" t="str">
        <f t="shared" si="0"/>
        <v> BBS 128 </v>
      </c>
      <c r="B17" s="4" t="str">
        <f t="shared" si="1"/>
        <v>II</v>
      </c>
      <c r="C17" s="42">
        <f t="shared" si="2"/>
        <v>52427.542</v>
      </c>
      <c r="D17" s="11" t="str">
        <f t="shared" si="3"/>
        <v>vis</v>
      </c>
      <c r="E17" s="50">
        <f>VLOOKUP(C17,Active!C$21:E$973,3,FALSE)</f>
        <v>14697.21000844629</v>
      </c>
      <c r="F17" s="4" t="s">
        <v>65</v>
      </c>
      <c r="G17" s="11" t="str">
        <f t="shared" si="4"/>
        <v>52427.542</v>
      </c>
      <c r="H17" s="42">
        <f t="shared" si="5"/>
        <v>23586.5</v>
      </c>
      <c r="I17" s="51" t="s">
        <v>84</v>
      </c>
      <c r="J17" s="52" t="s">
        <v>85</v>
      </c>
      <c r="K17" s="51" t="s">
        <v>86</v>
      </c>
      <c r="L17" s="51" t="s">
        <v>87</v>
      </c>
      <c r="M17" s="52" t="s">
        <v>70</v>
      </c>
      <c r="N17" s="52" t="s">
        <v>71</v>
      </c>
      <c r="O17" s="53" t="s">
        <v>72</v>
      </c>
      <c r="P17" s="53" t="s">
        <v>88</v>
      </c>
    </row>
    <row r="18" spans="1:16" ht="12.75" customHeight="1" thickBot="1">
      <c r="A18" s="42" t="str">
        <f t="shared" si="0"/>
        <v> BBS 128 </v>
      </c>
      <c r="B18" s="4" t="str">
        <f t="shared" si="1"/>
        <v>I</v>
      </c>
      <c r="C18" s="42">
        <f t="shared" si="2"/>
        <v>52475.516</v>
      </c>
      <c r="D18" s="11" t="str">
        <f t="shared" si="3"/>
        <v>vis</v>
      </c>
      <c r="E18" s="50">
        <f>VLOOKUP(C18,Active!C$21:E$973,3,FALSE)</f>
        <v>14762.355075514182</v>
      </c>
      <c r="F18" s="4" t="s">
        <v>65</v>
      </c>
      <c r="G18" s="11" t="str">
        <f t="shared" si="4"/>
        <v>52475.516</v>
      </c>
      <c r="H18" s="42">
        <f t="shared" si="5"/>
        <v>23691</v>
      </c>
      <c r="I18" s="51" t="s">
        <v>89</v>
      </c>
      <c r="J18" s="52" t="s">
        <v>90</v>
      </c>
      <c r="K18" s="51" t="s">
        <v>91</v>
      </c>
      <c r="L18" s="51" t="s">
        <v>92</v>
      </c>
      <c r="M18" s="52" t="s">
        <v>70</v>
      </c>
      <c r="N18" s="52" t="s">
        <v>71</v>
      </c>
      <c r="O18" s="53" t="s">
        <v>93</v>
      </c>
      <c r="P18" s="53" t="s">
        <v>88</v>
      </c>
    </row>
    <row r="19" spans="2:6" ht="12.75">
      <c r="B19" s="4"/>
      <c r="E19" s="50"/>
      <c r="F19" s="4"/>
    </row>
    <row r="20" spans="2:6" ht="12.75">
      <c r="B20" s="4"/>
      <c r="E20" s="50"/>
      <c r="F20" s="4"/>
    </row>
    <row r="21" spans="2:6" ht="12.75">
      <c r="B21" s="4"/>
      <c r="E21" s="50"/>
      <c r="F21" s="4"/>
    </row>
    <row r="22" spans="2:6" ht="12.75">
      <c r="B22" s="4"/>
      <c r="E22" s="50"/>
      <c r="F22" s="4"/>
    </row>
    <row r="23" spans="2:6" ht="12.75">
      <c r="B23" s="4"/>
      <c r="E23" s="50"/>
      <c r="F23" s="4"/>
    </row>
    <row r="24" spans="2:6" ht="12.75">
      <c r="B24" s="4"/>
      <c r="E24" s="50"/>
      <c r="F24" s="4"/>
    </row>
    <row r="25" spans="2:6" ht="12.75">
      <c r="B25" s="4"/>
      <c r="E25" s="50"/>
      <c r="F25" s="4"/>
    </row>
    <row r="26" spans="2:6" ht="12.75">
      <c r="B26" s="4"/>
      <c r="E26" s="50"/>
      <c r="F26" s="4"/>
    </row>
    <row r="27" spans="2:6" ht="12.75">
      <c r="B27" s="4"/>
      <c r="E27" s="50"/>
      <c r="F27" s="4"/>
    </row>
    <row r="28" spans="2:6" ht="12.75">
      <c r="B28" s="4"/>
      <c r="E28" s="50"/>
      <c r="F28" s="4"/>
    </row>
    <row r="29" spans="2:6" ht="12.75">
      <c r="B29" s="4"/>
      <c r="E29" s="50"/>
      <c r="F29" s="4"/>
    </row>
    <row r="30" spans="2:6" ht="12.75">
      <c r="B30" s="4"/>
      <c r="E30" s="50"/>
      <c r="F30" s="4"/>
    </row>
    <row r="31" spans="2:6" ht="12.75">
      <c r="B31" s="4"/>
      <c r="E31" s="50"/>
      <c r="F31" s="4"/>
    </row>
    <row r="32" spans="2:6" ht="12.75">
      <c r="B32" s="4"/>
      <c r="E32" s="50"/>
      <c r="F32" s="4"/>
    </row>
    <row r="33" spans="2:6" ht="12.75">
      <c r="B33" s="4"/>
      <c r="E33" s="50"/>
      <c r="F33" s="4"/>
    </row>
    <row r="34" spans="2:6" ht="12.75">
      <c r="B34" s="4"/>
      <c r="E34" s="50"/>
      <c r="F34" s="4"/>
    </row>
    <row r="35" spans="2:6" ht="12.75">
      <c r="B35" s="4"/>
      <c r="E35" s="50"/>
      <c r="F35" s="4"/>
    </row>
    <row r="36" spans="2:6" ht="12.75">
      <c r="B36" s="4"/>
      <c r="E36" s="50"/>
      <c r="F36" s="4"/>
    </row>
    <row r="37" spans="2:6" ht="12.75">
      <c r="B37" s="4"/>
      <c r="E37" s="50"/>
      <c r="F37" s="4"/>
    </row>
    <row r="38" spans="2:6" ht="12.75">
      <c r="B38" s="4"/>
      <c r="E38" s="50"/>
      <c r="F38" s="4"/>
    </row>
    <row r="39" spans="2:6" ht="12.75">
      <c r="B39" s="4"/>
      <c r="E39" s="50"/>
      <c r="F39" s="4"/>
    </row>
    <row r="40" spans="2:6" ht="12.75">
      <c r="B40" s="4"/>
      <c r="E40" s="50"/>
      <c r="F40" s="4"/>
    </row>
    <row r="41" spans="2:6" ht="12.75">
      <c r="B41" s="4"/>
      <c r="E41" s="50"/>
      <c r="F41" s="4"/>
    </row>
    <row r="42" spans="2:6" ht="12.75">
      <c r="B42" s="4"/>
      <c r="E42" s="50"/>
      <c r="F42" s="4"/>
    </row>
    <row r="43" spans="2:6" ht="12.75">
      <c r="B43" s="4"/>
      <c r="E43" s="50"/>
      <c r="F43" s="4"/>
    </row>
    <row r="44" spans="2:6" ht="12.75">
      <c r="B44" s="4"/>
      <c r="E44" s="50"/>
      <c r="F44" s="4"/>
    </row>
    <row r="45" spans="2:6" ht="12.75">
      <c r="B45" s="4"/>
      <c r="E45" s="50"/>
      <c r="F45" s="4"/>
    </row>
    <row r="46" spans="2:6" ht="12.75">
      <c r="B46" s="4"/>
      <c r="E46" s="50"/>
      <c r="F46" s="4"/>
    </row>
    <row r="47" spans="2:6" ht="12.75">
      <c r="B47" s="4"/>
      <c r="E47" s="50"/>
      <c r="F47" s="4"/>
    </row>
    <row r="48" spans="2:6" ht="12.75">
      <c r="B48" s="4"/>
      <c r="E48" s="50"/>
      <c r="F48" s="4"/>
    </row>
    <row r="49" spans="2:6" ht="12.75">
      <c r="B49" s="4"/>
      <c r="E49" s="50"/>
      <c r="F49" s="4"/>
    </row>
    <row r="50" spans="2:6" ht="12.75">
      <c r="B50" s="4"/>
      <c r="E50" s="50"/>
      <c r="F50" s="4"/>
    </row>
    <row r="51" spans="2:6" ht="12.75">
      <c r="B51" s="4"/>
      <c r="E51" s="50"/>
      <c r="F51" s="4"/>
    </row>
    <row r="52" spans="2:6" ht="12.75">
      <c r="B52" s="4"/>
      <c r="E52" s="50"/>
      <c r="F52" s="4"/>
    </row>
    <row r="53" spans="2:6" ht="12.75">
      <c r="B53" s="4"/>
      <c r="E53" s="50"/>
      <c r="F53" s="4"/>
    </row>
    <row r="54" spans="2:6" ht="12.75">
      <c r="B54" s="4"/>
      <c r="E54" s="50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  <row r="825" spans="2:6" ht="12.75">
      <c r="B825" s="4"/>
      <c r="F825" s="4"/>
    </row>
    <row r="826" spans="2:6" ht="12.75">
      <c r="B826" s="4"/>
      <c r="F826" s="4"/>
    </row>
    <row r="827" spans="2:6" ht="12.75">
      <c r="B827" s="4"/>
      <c r="F827" s="4"/>
    </row>
    <row r="828" spans="2:6" ht="12.75">
      <c r="B828" s="4"/>
      <c r="F828" s="4"/>
    </row>
    <row r="829" spans="2:6" ht="12.75">
      <c r="B829" s="4"/>
      <c r="F829" s="4"/>
    </row>
    <row r="830" spans="2:6" ht="12.75">
      <c r="B830" s="4"/>
      <c r="F830" s="4"/>
    </row>
    <row r="831" spans="2:6" ht="12.75">
      <c r="B831" s="4"/>
      <c r="F831" s="4"/>
    </row>
    <row r="832" spans="2:6" ht="12.75">
      <c r="B832" s="4"/>
      <c r="F832" s="4"/>
    </row>
    <row r="833" spans="2:6" ht="12.75">
      <c r="B833" s="4"/>
      <c r="F833" s="4"/>
    </row>
    <row r="834" spans="2:6" ht="12.75">
      <c r="B834" s="4"/>
      <c r="F834" s="4"/>
    </row>
    <row r="835" spans="2:6" ht="12.75">
      <c r="B835" s="4"/>
      <c r="F835" s="4"/>
    </row>
    <row r="836" spans="2:6" ht="12.75">
      <c r="B836" s="4"/>
      <c r="F836" s="4"/>
    </row>
    <row r="837" spans="2:6" ht="12.75">
      <c r="B837" s="4"/>
      <c r="F837" s="4"/>
    </row>
    <row r="838" spans="2:6" ht="12.75">
      <c r="B838" s="4"/>
      <c r="F838" s="4"/>
    </row>
    <row r="839" spans="2:6" ht="12.75">
      <c r="B839" s="4"/>
      <c r="F839" s="4"/>
    </row>
    <row r="840" spans="2:6" ht="12.75">
      <c r="B840" s="4"/>
      <c r="F840" s="4"/>
    </row>
    <row r="841" spans="2:6" ht="12.75">
      <c r="B841" s="4"/>
      <c r="F841" s="4"/>
    </row>
    <row r="842" spans="2:6" ht="12.75">
      <c r="B842" s="4"/>
      <c r="F842" s="4"/>
    </row>
  </sheetData>
  <sheetProtection/>
  <hyperlinks>
    <hyperlink ref="P12" r:id="rId1" display="http://www.bav-astro.de/sfs/BAVM_link.php?BAVMnr=158"/>
    <hyperlink ref="P13" r:id="rId2" display="http://www.konkoly.hu/cgi-bin/IBVS?5894"/>
    <hyperlink ref="P14" r:id="rId3" display="http://www.konkoly.hu/cgi-bin/IBVS?5992"/>
    <hyperlink ref="P15" r:id="rId4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