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80" yWindow="45" windowWidth="8340" windowHeight="13440" activeTab="0"/>
  </bookViews>
  <sheets>
    <sheet name="Active" sheetId="1" r:id="rId1"/>
    <sheet name="A (old)" sheetId="2" r:id="rId2"/>
    <sheet name="B" sheetId="3" r:id="rId3"/>
    <sheet name="C" sheetId="4" r:id="rId4"/>
    <sheet name="D" sheetId="5" r:id="rId5"/>
    <sheet name="BAV" sheetId="6" r:id="rId6"/>
  </sheets>
  <definedNames/>
  <calcPr fullCalcOnLoad="1"/>
</workbook>
</file>

<file path=xl/sharedStrings.xml><?xml version="1.0" encoding="utf-8"?>
<sst xmlns="http://schemas.openxmlformats.org/spreadsheetml/2006/main" count="577" uniqueCount="199">
  <si>
    <t>IBVS 6196</t>
  </si>
  <si>
    <t>s5</t>
  </si>
  <si>
    <t>s6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</si>
  <si>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</si>
  <si>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</si>
  <si>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</si>
  <si>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</si>
  <si>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</si>
  <si>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</si>
  <si>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</si>
  <si>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</si>
  <si>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</si>
  <si>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</si>
  <si>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</si>
  <si>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</si>
  <si>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</si>
  <si>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</si>
  <si>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</si>
  <si>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</si>
  <si>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</si>
  <si>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</si>
  <si>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</si>
  <si>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</si>
  <si>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</si>
  <si>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</si>
  <si>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</si>
  <si>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</si>
  <si>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</si>
  <si>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</si>
  <si>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</si>
  <si>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V731 Her</t>
  </si>
  <si>
    <t>EW/KE:</t>
  </si>
  <si>
    <t>IBVS 5027</t>
  </si>
  <si>
    <t>II</t>
  </si>
  <si>
    <t>I</t>
  </si>
  <si>
    <t>ROTSE</t>
  </si>
  <si>
    <t>I?</t>
  </si>
  <si>
    <t>II?</t>
  </si>
  <si>
    <t>IBVS</t>
  </si>
  <si>
    <t>Krajci</t>
  </si>
  <si>
    <t>BBSAG 128</t>
  </si>
  <si>
    <t>S5</t>
  </si>
  <si>
    <t>Misc</t>
  </si>
  <si>
    <t>Very confusing</t>
  </si>
  <si>
    <t>IBVS 5603</t>
  </si>
  <si>
    <t>Diff²</t>
  </si>
  <si>
    <t>Sum Diff²</t>
  </si>
  <si>
    <t>Poorer</t>
  </si>
  <si>
    <t>fit</t>
  </si>
  <si>
    <t>IBVS 5592</t>
  </si>
  <si>
    <t>Nelson</t>
  </si>
  <si>
    <t>S6</t>
  </si>
  <si>
    <t>RMS dev'n</t>
  </si>
  <si>
    <t>days</t>
  </si>
  <si>
    <t>See also page B</t>
  </si>
  <si>
    <t>IBVS 5672</t>
  </si>
  <si>
    <t>IBVS 5657</t>
  </si>
  <si>
    <t># of data points:</t>
  </si>
  <si>
    <t>IBVS 5731</t>
  </si>
  <si>
    <t>Sum</t>
  </si>
  <si>
    <t>ROTSE1</t>
  </si>
  <si>
    <t>J171946.28+435909.4</t>
  </si>
  <si>
    <t>V731 Her / gsc 3085-06214</t>
  </si>
  <si>
    <t>ToMcat</t>
  </si>
  <si>
    <t>This is possibly the best fit -- but is it real?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</si>
  <si>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</si>
  <si>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</si>
  <si>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</si>
  <si>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</si>
  <si>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</si>
  <si>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</si>
  <si>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</si>
  <si>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IBVS 5837</t>
  </si>
  <si>
    <t>IBVS 5945</t>
  </si>
  <si>
    <t>Add cycle</t>
  </si>
  <si>
    <t>Old Cycle</t>
  </si>
  <si>
    <t>IBVS 5918</t>
  </si>
  <si>
    <t>.0008</t>
  </si>
  <si>
    <t>IBVS 5992</t>
  </si>
  <si>
    <t>IBVS 6050</t>
  </si>
  <si>
    <t>IBVS 6048</t>
  </si>
  <si>
    <t>IBVS 6084</t>
  </si>
  <si>
    <t>V0731 Her / gsc 3085-0621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</si>
  <si>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</si>
  <si>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</si>
  <si>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</si>
  <si>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</si>
  <si>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</si>
  <si>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</si>
  <si>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</si>
  <si>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</si>
  <si>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</si>
  <si>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</si>
  <si>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</si>
  <si>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</si>
  <si>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2452426.4162 </t>
  </si>
  <si>
    <t> 31.05.2002 21:59 </t>
  </si>
  <si>
    <t> -0.0718 </t>
  </si>
  <si>
    <t>E </t>
  </si>
  <si>
    <t>?</t>
  </si>
  <si>
    <t> E.Blättler </t>
  </si>
  <si>
    <t> BBS 128 </t>
  </si>
  <si>
    <t>2453114.8520 </t>
  </si>
  <si>
    <t> 19.04.2004 08:26 </t>
  </si>
  <si>
    <t> 0.0240 </t>
  </si>
  <si>
    <t> S.Dvorak </t>
  </si>
  <si>
    <t>IBVS 5603 </t>
  </si>
  <si>
    <t>2453117.4099 </t>
  </si>
  <si>
    <t> 21.04.2004 21:50 </t>
  </si>
  <si>
    <t> -0.1281 </t>
  </si>
  <si>
    <t>o</t>
  </si>
  <si>
    <t> F.Agerer </t>
  </si>
  <si>
    <t>BAVM 173 </t>
  </si>
  <si>
    <t>2453265.5900 </t>
  </si>
  <si>
    <t> 17.09.2004 02:09 </t>
  </si>
  <si>
    <t> 0.0860 </t>
  </si>
  <si>
    <t>C </t>
  </si>
  <si>
    <t> T.Krajci </t>
  </si>
  <si>
    <t>IBVS 5690 </t>
  </si>
  <si>
    <t>2453266.6510 </t>
  </si>
  <si>
    <t> 18.09.2004 03:37 </t>
  </si>
  <si>
    <t> 0.0630 </t>
  </si>
  <si>
    <t>2453269.6381 </t>
  </si>
  <si>
    <t> 21.09.2004 03:18 </t>
  </si>
  <si>
    <t> 0.0691 </t>
  </si>
  <si>
    <t>2453499.8972 </t>
  </si>
  <si>
    <t> 09.05.2005 09:31 </t>
  </si>
  <si>
    <t> -0.0218 </t>
  </si>
  <si>
    <t> R.Nelson </t>
  </si>
  <si>
    <t>IBVS 5672 </t>
  </si>
  <si>
    <t>2453515.4604 </t>
  </si>
  <si>
    <t> 24.05.2005 23:02 </t>
  </si>
  <si>
    <t> 0.0944 </t>
  </si>
  <si>
    <t>-I</t>
  </si>
  <si>
    <t>BAVM 178 </t>
  </si>
  <si>
    <t>2453518.4479 </t>
  </si>
  <si>
    <t> 27.05.2005 22:44 </t>
  </si>
  <si>
    <t>21353</t>
  </si>
  <si>
    <t> -0.1701 </t>
  </si>
  <si>
    <t>2453847.4224 </t>
  </si>
  <si>
    <t> 21.04.2006 22:08 </t>
  </si>
  <si>
    <t>21959.5</t>
  </si>
  <si>
    <t> 0.0814 </t>
  </si>
  <si>
    <t>2454222.4375 </t>
  </si>
  <si>
    <t> 01.05.2007 22:30 </t>
  </si>
  <si>
    <t>22651.5</t>
  </si>
  <si>
    <t> 0.0325 </t>
  </si>
  <si>
    <t> U.Schmidt </t>
  </si>
  <si>
    <t>BAVM 186 </t>
  </si>
  <si>
    <t>2454297.4938 </t>
  </si>
  <si>
    <t> 15.07.2007 23:51 </t>
  </si>
  <si>
    <t>22790</t>
  </si>
  <si>
    <t> 0.0218 </t>
  </si>
  <si>
    <t> R.Diethelm </t>
  </si>
  <si>
    <t>IBVS 5837 </t>
  </si>
  <si>
    <t>2454937.5272 </t>
  </si>
  <si>
    <t> 16.04.2009 00:39 </t>
  </si>
  <si>
    <t>23971</t>
  </si>
  <si>
    <t> -0.0468 </t>
  </si>
  <si>
    <t>BAVM 209 </t>
  </si>
  <si>
    <t>2455312.7610 </t>
  </si>
  <si>
    <t> 26.04.2010 06:15 </t>
  </si>
  <si>
    <t>24663.5</t>
  </si>
  <si>
    <t> -0.1480 </t>
  </si>
  <si>
    <t>IBVS 5945 </t>
  </si>
  <si>
    <t>2455388.4487 </t>
  </si>
  <si>
    <t> 10.07.2010 22:46 </t>
  </si>
  <si>
    <t>24803</t>
  </si>
  <si>
    <t> -0.0693 </t>
  </si>
  <si>
    <t>BAVM 215 </t>
  </si>
  <si>
    <t>2455726.7976 </t>
  </si>
  <si>
    <t> 14.06.2011 07:08 </t>
  </si>
  <si>
    <t>25427</t>
  </si>
  <si>
    <t> 0.0716 </t>
  </si>
  <si>
    <t>IBVS 5992 </t>
  </si>
  <si>
    <t>2456001.6202 </t>
  </si>
  <si>
    <t> 15.03.2012 02:53 </t>
  </si>
  <si>
    <t>25934.5</t>
  </si>
  <si>
    <t> -0.1708 </t>
  </si>
  <si>
    <t>BAVM 228 </t>
  </si>
  <si>
    <t>2456006.5255 </t>
  </si>
  <si>
    <t> 20.03.2012 00:36 </t>
  </si>
  <si>
    <t>25943.5</t>
  </si>
  <si>
    <t> -0.1435 </t>
  </si>
  <si>
    <t>2456024.8529 </t>
  </si>
  <si>
    <t> 07.04.2012 08:28 </t>
  </si>
  <si>
    <t>25977.5</t>
  </si>
  <si>
    <t> -0.2441 </t>
  </si>
  <si>
    <t>IBVS 6050 </t>
  </si>
  <si>
    <t>2456055.5548 </t>
  </si>
  <si>
    <t> 08.05.2012 01:18 </t>
  </si>
  <si>
    <t>26034</t>
  </si>
  <si>
    <t> -0.1652 </t>
  </si>
  <si>
    <t>2456489.4190 </t>
  </si>
  <si>
    <t> 15.07.2013 22:03 </t>
  </si>
  <si>
    <t>26834.5</t>
  </si>
  <si>
    <t> -0.1720 </t>
  </si>
  <si>
    <t> H.Jungbluth </t>
  </si>
  <si>
    <t>BAVM 232 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</si>
</sst>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"/>
    <numFmt numFmtId="174" formatCode="mm/dd/yy"/>
    <numFmt numFmtId="175" formatCode="m/d/yy\ h:mm"/>
    <numFmt numFmtId="176" formatCode="0.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2" fontId="7" fillId="0" borderId="0" xfId="0" applyNumberFormat="1" applyFont="1" applyAlignment="1">
      <alignment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 vertical="top"/>
    </xf>
    <xf numFmtId="172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2" fontId="0" fillId="0" borderId="0" xfId="0" applyNumberFormat="1" applyAlignment="1">
      <alignment horizontal="left"/>
    </xf>
    <xf numFmtId="172" fontId="5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6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6" fillId="24" borderId="17" xfId="56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172" fontId="5" fillId="0" borderId="0" xfId="0" applyNumberFormat="1" applyFont="1" applyAlignment="1">
      <alignment horizontal="left"/>
    </xf>
    <xf numFmtId="0" fontId="31" fillId="0" borderId="0" xfId="60" applyFont="1" applyAlignment="1">
      <alignment wrapText="1"/>
      <protection/>
    </xf>
    <xf numFmtId="0" fontId="31" fillId="0" borderId="0" xfId="60" applyFont="1" applyAlignment="1">
      <alignment horizontal="center" wrapText="1"/>
      <protection/>
    </xf>
    <xf numFmtId="0" fontId="31" fillId="0" borderId="0" xfId="60" applyFont="1" applyAlignment="1">
      <alignment horizontal="left" wrapText="1"/>
      <protection/>
    </xf>
    <xf numFmtId="0" fontId="0" fillId="0" borderId="0" xfId="0" applyNumberFormat="1" applyAlignment="1">
      <alignment horizontal="lef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31" fillId="0" borderId="0" xfId="60" applyNumberFormat="1" applyFont="1" applyAlignment="1">
      <alignment horizontal="left" wrapText="1"/>
      <protection/>
    </xf>
    <xf numFmtId="0" fontId="32" fillId="0" borderId="1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V731 Her - O-C Diagr.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125"/>
          <c:w val="0.9532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Active!$D$22:$D$44</c:f>
                <c:numCache>
                  <c:ptCount val="2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0.001</c:v>
                  </c:pt>
                  <c:pt idx="9">
                    <c:v>0.0008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0.0035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0.0002</c:v>
                  </c:pt>
                  <c:pt idx="21">
                    <c:v>0.0023</c:v>
                  </c:pt>
                  <c:pt idx="22">
                    <c:v>0.0007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0.0035</c:v>
                  </c:pt>
                  <c:pt idx="19">
                    <c:v>NaN</c:v>
                  </c:pt>
                  <c:pt idx="20">
                    <c:v>0</c:v>
                  </c:pt>
                  <c:pt idx="21">
                    <c:v>0.0002</c:v>
                  </c:pt>
                  <c:pt idx="22">
                    <c:v>0.0023</c:v>
                  </c:pt>
                  <c:pt idx="23">
                    <c:v>0.0007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0.0035</c:v>
                  </c:pt>
                  <c:pt idx="19">
                    <c:v>NaN</c:v>
                  </c:pt>
                  <c:pt idx="20">
                    <c:v>0</c:v>
                  </c:pt>
                  <c:pt idx="21">
                    <c:v>0.0002</c:v>
                  </c:pt>
                  <c:pt idx="22">
                    <c:v>0.0023</c:v>
                  </c:pt>
                  <c:pt idx="23">
                    <c:v>0.0007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Active!$D$21:$D$51</c:f>
                <c:numCache>
                  <c:ptCount val="31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0.0035</c:v>
                  </c:pt>
                  <c:pt idx="19">
                    <c:v>NaN</c:v>
                  </c:pt>
                  <c:pt idx="20">
                    <c:v>0</c:v>
                  </c:pt>
                  <c:pt idx="21">
                    <c:v>0.0002</c:v>
                  </c:pt>
                  <c:pt idx="22">
                    <c:v>0.0023</c:v>
                  </c:pt>
                  <c:pt idx="23">
                    <c:v>0.0007</c:v>
                  </c:pt>
                  <c:pt idx="24">
                    <c:v>0.0016</c:v>
                  </c:pt>
                  <c:pt idx="25">
                    <c:v>0.0019</c:v>
                  </c:pt>
                  <c:pt idx="26">
                    <c:v>0.0003</c:v>
                  </c:pt>
                  <c:pt idx="27">
                    <c:v>0.0014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NaN</c:v>
                  </c:pt>
                </c:numCache>
              </c:numRef>
            </c:plus>
            <c:minus>
              <c:numRef>
                <c:f>Active!$D$21:$D$51</c:f>
                <c:numCache>
                  <c:ptCount val="31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0.0035</c:v>
                  </c:pt>
                  <c:pt idx="19">
                    <c:v>NaN</c:v>
                  </c:pt>
                  <c:pt idx="20">
                    <c:v>0</c:v>
                  </c:pt>
                  <c:pt idx="21">
                    <c:v>0.0002</c:v>
                  </c:pt>
                  <c:pt idx="22">
                    <c:v>0.0023</c:v>
                  </c:pt>
                  <c:pt idx="23">
                    <c:v>0.0007</c:v>
                  </c:pt>
                  <c:pt idx="24">
                    <c:v>0.0016</c:v>
                  </c:pt>
                  <c:pt idx="25">
                    <c:v>0.0019</c:v>
                  </c:pt>
                  <c:pt idx="26">
                    <c:v>0.0003</c:v>
                  </c:pt>
                  <c:pt idx="27">
                    <c:v>0.0014</c:v>
                  </c:pt>
                  <c:pt idx="28">
                    <c:v>0.0009</c:v>
                  </c:pt>
                  <c:pt idx="29">
                    <c:v>0.0003</c:v>
                  </c:pt>
                  <c:pt idx="3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ser>
          <c:idx val="7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yVal>
            <c:numLit>
              <c:ptCount val="1"/>
              <c:pt idx="0">
                <c:v>1</c:v>
              </c:pt>
            </c:numLit>
          </c:yVal>
          <c:smooth val="0"/>
        </c:ser>
        <c:axId val="38776748"/>
        <c:axId val="13446413"/>
      </c:scatterChart>
      <c:valAx>
        <c:axId val="38776748"/>
        <c:scaling>
          <c:orientation val="minMax"/>
          <c:min val="4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6413"/>
        <c:crosses val="autoZero"/>
        <c:crossBetween val="midCat"/>
        <c:dispUnits/>
      </c:valAx>
      <c:valAx>
        <c:axId val="13446413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7674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975"/>
          <c:y val="0.938"/>
          <c:w val="0.669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V731 Her - O-C Diagr.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41"/>
          <c:w val="0.953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Active!$H$21:$H$992</c:f>
              <c:numCache/>
            </c:numRef>
          </c:yVal>
          <c:smooth val="0"/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Active!$D$22:$D$44</c:f>
                <c:numCache>
                  <c:ptCount val="23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0.001</c:v>
                  </c:pt>
                  <c:pt idx="9">
                    <c:v>0.0008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0.0035</c:v>
                  </c:pt>
                  <c:pt idx="18">
                    <c:v>NaN</c:v>
                  </c:pt>
                  <c:pt idx="19">
                    <c:v>0</c:v>
                  </c:pt>
                  <c:pt idx="20">
                    <c:v>0.0002</c:v>
                  </c:pt>
                  <c:pt idx="21">
                    <c:v>0.0023</c:v>
                  </c:pt>
                  <c:pt idx="22">
                    <c:v>0.0007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Active!$I$21:$I$992</c:f>
              <c:numCache/>
            </c:numRef>
          </c:yVal>
          <c:smooth val="0"/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0.0035</c:v>
                  </c:pt>
                  <c:pt idx="19">
                    <c:v>NaN</c:v>
                  </c:pt>
                  <c:pt idx="20">
                    <c:v>0</c:v>
                  </c:pt>
                  <c:pt idx="21">
                    <c:v>0.0002</c:v>
                  </c:pt>
                  <c:pt idx="22">
                    <c:v>0.0023</c:v>
                  </c:pt>
                  <c:pt idx="23">
                    <c:v>0.0007</c:v>
                  </c:pt>
                </c:numCache>
              </c:numRef>
            </c:plus>
            <c:minus>
              <c:numRef>
                <c:f>Active!$D$21:$D$44</c:f>
                <c:numCache>
                  <c:ptCount val="24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0.0035</c:v>
                  </c:pt>
                  <c:pt idx="19">
                    <c:v>NaN</c:v>
                  </c:pt>
                  <c:pt idx="20">
                    <c:v>0</c:v>
                  </c:pt>
                  <c:pt idx="21">
                    <c:v>0.0002</c:v>
                  </c:pt>
                  <c:pt idx="22">
                    <c:v>0.0023</c:v>
                  </c:pt>
                  <c:pt idx="23">
                    <c:v>0.0007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Active!$F$21:$F$992</c:f>
              <c:numCache/>
            </c:numRef>
          </c:xVal>
          <c:yVal>
            <c:numRef>
              <c:f>Active!$J$21:$J$992</c:f>
              <c:numCache/>
            </c:numRef>
          </c:yVal>
          <c:smooth val="0"/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Active!$K$21:$K$992</c:f>
              <c:numCache/>
            </c:numRef>
          </c:yVal>
          <c:smooth val="0"/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Active!$L$21:$L$992</c:f>
              <c:numCache/>
            </c:numRef>
          </c:yVal>
          <c:smooth val="0"/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Active!$F$21:$F$992</c:f>
              <c:numCache/>
            </c:numRef>
          </c:xVal>
          <c:yVal>
            <c:numRef>
              <c:f>Active!$M$21:$M$992</c:f>
              <c:numCache/>
            </c:numRef>
          </c:yVal>
          <c:smooth val="0"/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Active!$F$21:$F$992</c:f>
              <c:numCache/>
            </c:numRef>
          </c:xVal>
          <c:yVal>
            <c:numRef>
              <c:f>Active!$N$21:$N$992</c:f>
              <c:numCache/>
            </c:numRef>
          </c:yVal>
          <c:smooth val="0"/>
        </c:ser>
        <c:axId val="53908854"/>
        <c:axId val="15417639"/>
      </c:scatterChart>
      <c:valAx>
        <c:axId val="53908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7639"/>
        <c:crosses val="autoZero"/>
        <c:crossBetween val="midCat"/>
        <c:dispUnits/>
      </c:valAx>
      <c:valAx>
        <c:axId val="15417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5"/>
          <c:y val="0.93825"/>
          <c:w val="0.556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V731 Her - O-C Diagr.</a:t>
            </a:r>
          </a:p>
        </c:rich>
      </c:tx>
      <c:layout>
        <c:manualLayout>
          <c:xMode val="factor"/>
          <c:yMode val="factor"/>
          <c:x val="0.00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0865"/>
          <c:w val="0.95075"/>
          <c:h val="0.82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(old)'!$H$21:$H$992</c:f>
              <c:numCache/>
            </c:numRef>
          </c:yVal>
          <c:smooth val="0"/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(old)'!$D$22:$D$43</c:f>
                <c:numCache>
                  <c:ptCount val="22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0.0004</c:v>
                  </c:pt>
                  <c:pt idx="8">
                    <c:v>0.0018</c:v>
                  </c:pt>
                  <c:pt idx="9">
                    <c:v>0.0007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0.0001</c:v>
                  </c:pt>
                  <c:pt idx="14">
                    <c:v>0.0016</c:v>
                  </c:pt>
                  <c:pt idx="15">
                    <c:v>0.0016</c:v>
                  </c:pt>
                  <c:pt idx="16">
                    <c:v>0.0018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(old)'!$I$21:$I$992</c:f>
              <c:numCache/>
            </c:numRef>
          </c:yVal>
          <c:smooth val="0"/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(old)'!$D$21:$D$43</c:f>
                <c:numCache>
                  <c:ptCount val="23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0.0004</c:v>
                  </c:pt>
                  <c:pt idx="9">
                    <c:v>0.0018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0.0001</c:v>
                  </c:pt>
                  <c:pt idx="15">
                    <c:v>0.0016</c:v>
                  </c:pt>
                  <c:pt idx="16">
                    <c:v>0.0016</c:v>
                  </c:pt>
                  <c:pt idx="17">
                    <c:v>0.0018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plus>
            <c:minus>
              <c:numRef>
                <c:f>'A (old)'!$D$21:$D$43</c:f>
                <c:numCache>
                  <c:ptCount val="23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0.0004</c:v>
                  </c:pt>
                  <c:pt idx="9">
                    <c:v>0.0018</c:v>
                  </c:pt>
                  <c:pt idx="10">
                    <c:v>0.0007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0.0001</c:v>
                  </c:pt>
                  <c:pt idx="15">
                    <c:v>0.0016</c:v>
                  </c:pt>
                  <c:pt idx="16">
                    <c:v>0.0016</c:v>
                  </c:pt>
                  <c:pt idx="17">
                    <c:v>0.0018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(old)'!$F$21:$F$992</c:f>
              <c:numCache/>
            </c:numRef>
          </c:xVal>
          <c:yVal>
            <c:numRef>
              <c:f>'A (old)'!$J$21:$J$992</c:f>
              <c:numCache/>
            </c:numRef>
          </c:yVal>
          <c:smooth val="0"/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(old)'!$K$21:$K$992</c:f>
              <c:numCache/>
            </c:numRef>
          </c:yVal>
          <c:smooth val="0"/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(old)'!$L$21:$L$992</c:f>
              <c:numCache/>
            </c:numRef>
          </c:yVal>
          <c:smooth val="0"/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(old)'!$M$21:$M$992</c:f>
              <c:numCache/>
            </c:numRef>
          </c:yVal>
          <c:smooth val="0"/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 (old)'!$F$21:$F$992</c:f>
              <c:numCache/>
            </c:numRef>
          </c:xVal>
          <c:yVal>
            <c:numRef>
              <c:f>'A (old)'!$N$21:$N$992</c:f>
              <c:numCache/>
            </c:numRef>
          </c:yVal>
          <c:smooth val="0"/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(old)'!$F$21:$F$992</c:f>
              <c:numCache/>
            </c:numRef>
          </c:xVal>
          <c:yVal>
            <c:numRef>
              <c:f>'A (old)'!$O$21:$O$992</c:f>
              <c:numCache/>
            </c:numRef>
          </c:yVal>
          <c:smooth val="0"/>
        </c:ser>
        <c:axId val="4541024"/>
        <c:axId val="40869217"/>
      </c:scatterChart>
      <c:valAx>
        <c:axId val="4541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69217"/>
        <c:crosses val="autoZero"/>
        <c:crossBetween val="midCat"/>
        <c:dispUnits/>
      </c:valAx>
      <c:valAx>
        <c:axId val="40869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75"/>
          <c:y val="0.941"/>
          <c:w val="0.82875"/>
          <c:h val="0.05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V731 Her - O-C Diagr.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4225"/>
          <c:w val="0.953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B!$H$20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B!$F$21:$F$994</c:f>
              <c:numCache/>
            </c:numRef>
          </c:xVal>
          <c:yVal>
            <c:numRef>
              <c:f>B!$H$21:$H$994</c:f>
              <c:numCache/>
            </c:numRef>
          </c:yVal>
          <c:smooth val="0"/>
        </c:ser>
        <c:ser>
          <c:idx val="1"/>
          <c:order val="1"/>
          <c:tx>
            <c:strRef>
              <c:f>B!$I$20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B!$D$22:$D$45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0.001</c:v>
                  </c:pt>
                  <c:pt idx="9">
                    <c:v>0.0008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0.0001</c:v>
                  </c:pt>
                  <c:pt idx="13">
                    <c:v>1.0001</c:v>
                  </c:pt>
                  <c:pt idx="14">
                    <c:v>2.0001</c:v>
                  </c:pt>
                  <c:pt idx="15">
                    <c:v>3.0001</c:v>
                  </c:pt>
                  <c:pt idx="16">
                    <c:v>4.0001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B!$F$21:$F$994</c:f>
              <c:numCache/>
            </c:numRef>
          </c:xVal>
          <c:yVal>
            <c:numRef>
              <c:f>B!$I$21:$I$994</c:f>
              <c:numCache/>
            </c:numRef>
          </c:yVal>
          <c:smooth val="0"/>
        </c:ser>
        <c:ser>
          <c:idx val="3"/>
          <c:order val="2"/>
          <c:tx>
            <c:strRef>
              <c:f>B!$J$20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B!$D$21:$D$45</c:f>
                <c:numCache>
                  <c:ptCount val="25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0.0001</c:v>
                  </c:pt>
                  <c:pt idx="14">
                    <c:v>1.0001</c:v>
                  </c:pt>
                  <c:pt idx="15">
                    <c:v>2.0001</c:v>
                  </c:pt>
                  <c:pt idx="16">
                    <c:v>3.0001</c:v>
                  </c:pt>
                  <c:pt idx="17">
                    <c:v>4.0001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plus>
            <c:minus>
              <c:numRef>
                <c:f>B!$D$21:$D$45</c:f>
                <c:numCache>
                  <c:ptCount val="25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0.0001</c:v>
                  </c:pt>
                  <c:pt idx="14">
                    <c:v>1.0001</c:v>
                  </c:pt>
                  <c:pt idx="15">
                    <c:v>2.0001</c:v>
                  </c:pt>
                  <c:pt idx="16">
                    <c:v>3.0001</c:v>
                  </c:pt>
                  <c:pt idx="17">
                    <c:v>4.0001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B!$F$21:$F$994</c:f>
              <c:numCache/>
            </c:numRef>
          </c:xVal>
          <c:yVal>
            <c:numRef>
              <c:f>B!$J$21:$J$994</c:f>
              <c:numCache/>
            </c:numRef>
          </c:yVal>
          <c:smooth val="0"/>
        </c:ser>
        <c:ser>
          <c:idx val="4"/>
          <c:order val="3"/>
          <c:tx>
            <c:strRef>
              <c:f>B!$K$20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B!$F$21:$F$994</c:f>
              <c:numCache/>
            </c:numRef>
          </c:xVal>
          <c:yVal>
            <c:numRef>
              <c:f>B!$K$21:$K$994</c:f>
              <c:numCache/>
            </c:numRef>
          </c:yVal>
          <c:smooth val="0"/>
        </c:ser>
        <c:ser>
          <c:idx val="2"/>
          <c:order val="4"/>
          <c:tx>
            <c:strRef>
              <c:f>B!$L$20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B!$F$21:$F$994</c:f>
              <c:numCache/>
            </c:numRef>
          </c:xVal>
          <c:yVal>
            <c:numRef>
              <c:f>B!$L$21:$L$994</c:f>
              <c:numCache/>
            </c:numRef>
          </c:yVal>
          <c:smooth val="0"/>
        </c:ser>
        <c:ser>
          <c:idx val="5"/>
          <c:order val="5"/>
          <c:tx>
            <c:strRef>
              <c:f>B!$M$20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B!$F$21:$F$994</c:f>
              <c:numCache/>
            </c:numRef>
          </c:xVal>
          <c:yVal>
            <c:numRef>
              <c:f>B!$M$21:$M$994</c:f>
              <c:numCache/>
            </c:numRef>
          </c:yVal>
          <c:smooth val="0"/>
        </c:ser>
        <c:ser>
          <c:idx val="6"/>
          <c:order val="6"/>
          <c:tx>
            <c:strRef>
              <c:f>B!$N$20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B!$F$21:$F$994</c:f>
              <c:numCache/>
            </c:numRef>
          </c:xVal>
          <c:yVal>
            <c:numRef>
              <c:f>B!$N$21:$N$994</c:f>
              <c:numCache/>
            </c:numRef>
          </c:yVal>
          <c:smooth val="0"/>
        </c:ser>
        <c:axId val="32278634"/>
        <c:axId val="22072251"/>
      </c:scatterChart>
      <c:valAx>
        <c:axId val="322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2251"/>
        <c:crosses val="autoZero"/>
        <c:crossBetween val="midCat"/>
        <c:dispUnits/>
        <c:majorUnit val="2000"/>
        <c:minorUnit val="2000"/>
      </c:valAx>
      <c:valAx>
        <c:axId val="22072251"/>
        <c:scaling>
          <c:orientation val="minMax"/>
          <c:max val="1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975"/>
          <c:y val="0.937"/>
          <c:w val="0.70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V731 Her - O-C Diagr.</a:t>
            </a:r>
          </a:p>
        </c:rich>
      </c:tx>
      <c:layout>
        <c:manualLayout>
          <c:xMode val="factor"/>
          <c:yMode val="factor"/>
          <c:x val="0.0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4175"/>
          <c:w val="0.946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C!$H$20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C!$F$21:$F$994</c:f>
              <c:numCache/>
            </c:numRef>
          </c:xVal>
          <c:yVal>
            <c:numRef>
              <c:f>C!$H$21:$H$994</c:f>
              <c:numCache/>
            </c:numRef>
          </c:yVal>
          <c:smooth val="0"/>
        </c:ser>
        <c:ser>
          <c:idx val="1"/>
          <c:order val="1"/>
          <c:tx>
            <c:strRef>
              <c:f>C!$I$20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C!$D$22:$D$45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0.001</c:v>
                  </c:pt>
                  <c:pt idx="9">
                    <c:v>0.0008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C!$F$21:$F$994</c:f>
              <c:numCache/>
            </c:numRef>
          </c:xVal>
          <c:yVal>
            <c:numRef>
              <c:f>C!$I$21:$I$994</c:f>
              <c:numCache/>
            </c:numRef>
          </c:yVal>
          <c:smooth val="0"/>
        </c:ser>
        <c:ser>
          <c:idx val="3"/>
          <c:order val="2"/>
          <c:tx>
            <c:strRef>
              <c:f>C!$J$20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C!$D$21:$D$45</c:f>
                <c:numCache>
                  <c:ptCount val="25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plus>
            <c:minus>
              <c:numRef>
                <c:f>C!$D$21:$D$45</c:f>
                <c:numCache>
                  <c:ptCount val="25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C!$F$21:$F$994</c:f>
              <c:numCache/>
            </c:numRef>
          </c:xVal>
          <c:yVal>
            <c:numRef>
              <c:f>C!$J$21:$J$994</c:f>
              <c:numCache/>
            </c:numRef>
          </c:yVal>
          <c:smooth val="0"/>
        </c:ser>
        <c:ser>
          <c:idx val="4"/>
          <c:order val="3"/>
          <c:tx>
            <c:strRef>
              <c:f>C!$K$20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C!$F$21:$F$994</c:f>
              <c:numCache/>
            </c:numRef>
          </c:xVal>
          <c:yVal>
            <c:numRef>
              <c:f>C!$K$21:$K$994</c:f>
              <c:numCache/>
            </c:numRef>
          </c:yVal>
          <c:smooth val="0"/>
        </c:ser>
        <c:ser>
          <c:idx val="2"/>
          <c:order val="4"/>
          <c:tx>
            <c:strRef>
              <c:f>C!$L$20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C!$F$21:$F$994</c:f>
              <c:numCache/>
            </c:numRef>
          </c:xVal>
          <c:yVal>
            <c:numRef>
              <c:f>C!$L$21:$L$994</c:f>
              <c:numCache/>
            </c:numRef>
          </c:yVal>
          <c:smooth val="0"/>
        </c:ser>
        <c:ser>
          <c:idx val="5"/>
          <c:order val="5"/>
          <c:tx>
            <c:strRef>
              <c:f>C!$M$20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C!$F$21:$F$994</c:f>
              <c:numCache/>
            </c:numRef>
          </c:xVal>
          <c:yVal>
            <c:numRef>
              <c:f>C!$M$21:$M$994</c:f>
              <c:numCache/>
            </c:numRef>
          </c:yVal>
          <c:smooth val="0"/>
        </c:ser>
        <c:ser>
          <c:idx val="6"/>
          <c:order val="6"/>
          <c:tx>
            <c:strRef>
              <c:f>C!$N$20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C!$F$21:$F$994</c:f>
              <c:numCache/>
            </c:numRef>
          </c:xVal>
          <c:yVal>
            <c:numRef>
              <c:f>C!$N$21:$N$994</c:f>
              <c:numCache/>
            </c:numRef>
          </c:yVal>
          <c:smooth val="0"/>
        </c:ser>
        <c:axId val="64432532"/>
        <c:axId val="43021877"/>
      </c:scatterChart>
      <c:valAx>
        <c:axId val="64432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80808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21877"/>
        <c:crosses val="autoZero"/>
        <c:crossBetween val="midCat"/>
        <c:dispUnits/>
        <c:majorUnit val="2000"/>
        <c:minorUnit val="2000"/>
      </c:valAx>
      <c:valAx>
        <c:axId val="43021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1"/>
          <c:y val="0.93775"/>
          <c:w val="0.778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V731 Her - O-C Diagr.</a:t>
            </a:r>
          </a:p>
        </c:rich>
      </c:tx>
      <c:layout>
        <c:manualLayout>
          <c:xMode val="factor"/>
          <c:yMode val="factor"/>
          <c:x val="0.001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4125"/>
          <c:w val="0.95325"/>
          <c:h val="0.86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D!$H$20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D!$F$21:$F$994</c:f>
              <c:numCache/>
            </c:numRef>
          </c:xVal>
          <c:yVal>
            <c:numRef>
              <c:f>D!$H$21:$H$994</c:f>
              <c:numCache/>
            </c:numRef>
          </c:yVal>
          <c:smooth val="0"/>
        </c:ser>
        <c:ser>
          <c:idx val="1"/>
          <c:order val="1"/>
          <c:tx>
            <c:strRef>
              <c:f>D!$I$20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D!$D$22:$D$45</c:f>
                <c:numCache>
                  <c:ptCount val="24"/>
                  <c:pt idx="0">
                    <c:v>0.0015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0.0009</c:v>
                  </c:pt>
                  <c:pt idx="5">
                    <c:v>NaN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0.001</c:v>
                  </c:pt>
                  <c:pt idx="9">
                    <c:v>0.0008</c:v>
                  </c:pt>
                  <c:pt idx="10">
                    <c:v>0.0002</c:v>
                  </c:pt>
                  <c:pt idx="11">
                    <c:v>0.0004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Lit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0.0022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D!$F$21:$F$994</c:f>
              <c:numCache/>
            </c:numRef>
          </c:xVal>
          <c:yVal>
            <c:numRef>
              <c:f>D!$I$21:$I$994</c:f>
              <c:numCache/>
            </c:numRef>
          </c:yVal>
          <c:smooth val="0"/>
        </c:ser>
        <c:ser>
          <c:idx val="3"/>
          <c:order val="2"/>
          <c:tx>
            <c:strRef>
              <c:f>D!$J$20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D!$D$21:$D$45</c:f>
                <c:numCache>
                  <c:ptCount val="25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plus>
            <c:minus>
              <c:numRef>
                <c:f>D!$D$21:$D$45</c:f>
                <c:numCache>
                  <c:ptCount val="25"/>
                  <c:pt idx="0">
                    <c:v>0</c:v>
                  </c:pt>
                  <c:pt idx="1">
                    <c:v>0.0015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0.0009</c:v>
                  </c:pt>
                  <c:pt idx="6">
                    <c:v>NaN</c:v>
                  </c:pt>
                  <c:pt idx="7">
                    <c:v>0.0009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0.0008</c:v>
                  </c:pt>
                  <c:pt idx="11">
                    <c:v>0.0002</c:v>
                  </c:pt>
                  <c:pt idx="12">
                    <c:v>0.0004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D!$F$21:$F$994</c:f>
              <c:numCache/>
            </c:numRef>
          </c:xVal>
          <c:yVal>
            <c:numRef>
              <c:f>D!$J$21:$J$994</c:f>
              <c:numCache/>
            </c:numRef>
          </c:yVal>
          <c:smooth val="0"/>
        </c:ser>
        <c:ser>
          <c:idx val="4"/>
          <c:order val="3"/>
          <c:tx>
            <c:strRef>
              <c:f>D!$K$20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D!$F$21:$F$994</c:f>
              <c:numCache/>
            </c:numRef>
          </c:xVal>
          <c:yVal>
            <c:numRef>
              <c:f>D!$K$21:$K$994</c:f>
              <c:numCache/>
            </c:numRef>
          </c:yVal>
          <c:smooth val="0"/>
        </c:ser>
        <c:ser>
          <c:idx val="2"/>
          <c:order val="4"/>
          <c:tx>
            <c:strRef>
              <c:f>D!$L$20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D!$F$21:$F$994</c:f>
              <c:numCache/>
            </c:numRef>
          </c:xVal>
          <c:yVal>
            <c:numRef>
              <c:f>D!$L$21:$L$994</c:f>
              <c:numCache/>
            </c:numRef>
          </c:yVal>
          <c:smooth val="0"/>
        </c:ser>
        <c:ser>
          <c:idx val="5"/>
          <c:order val="5"/>
          <c:tx>
            <c:strRef>
              <c:f>D!$M$20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D!$F$21:$F$994</c:f>
              <c:numCache/>
            </c:numRef>
          </c:xVal>
          <c:yVal>
            <c:numRef>
              <c:f>D!$M$21:$M$994</c:f>
              <c:numCache/>
            </c:numRef>
          </c:yVal>
          <c:smooth val="0"/>
        </c:ser>
        <c:ser>
          <c:idx val="6"/>
          <c:order val="6"/>
          <c:tx>
            <c:strRef>
              <c:f>D!$N$20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D!$F$21:$F$994</c:f>
              <c:numCache/>
            </c:numRef>
          </c:xVal>
          <c:yVal>
            <c:numRef>
              <c:f>D!$N$21:$N$994</c:f>
              <c:numCache/>
            </c:numRef>
          </c:yVal>
          <c:smooth val="0"/>
        </c:ser>
        <c:axId val="51652574"/>
        <c:axId val="62219983"/>
      </c:scatterChart>
      <c:valAx>
        <c:axId val="5165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9983"/>
        <c:crosses val="autoZero"/>
        <c:crossBetween val="midCat"/>
        <c:dispUnits/>
      </c:valAx>
      <c:valAx>
        <c:axId val="6221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5257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5"/>
          <c:y val="0.938"/>
          <c:w val="0.675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514350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4638675" y="0"/>
        <a:ext cx="6219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180975</xdr:colOff>
      <xdr:row>17</xdr:row>
      <xdr:rowOff>114300</xdr:rowOff>
    </xdr:to>
    <xdr:graphicFrame>
      <xdr:nvGraphicFramePr>
        <xdr:cNvPr id="2" name="Chart 2"/>
        <xdr:cNvGraphicFramePr/>
      </xdr:nvGraphicFramePr>
      <xdr:xfrm>
        <a:off x="10953750" y="0"/>
        <a:ext cx="62293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57150</xdr:rowOff>
    </xdr:from>
    <xdr:to>
      <xdr:col>16</xdr:col>
      <xdr:colOff>371475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057650" y="57150"/>
        <a:ext cx="58674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15</xdr:col>
      <xdr:colOff>638175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695700" y="0"/>
        <a:ext cx="62103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9525</xdr:rowOff>
    </xdr:from>
    <xdr:to>
      <xdr:col>13</xdr:col>
      <xdr:colOff>238125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2867025" y="9525"/>
        <a:ext cx="54102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9525</xdr:rowOff>
    </xdr:from>
    <xdr:to>
      <xdr:col>16</xdr:col>
      <xdr:colOff>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3562350" y="9525"/>
        <a:ext cx="621982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603" TargetMode="External" /><Relationship Id="rId2" Type="http://schemas.openxmlformats.org/officeDocument/2006/relationships/hyperlink" Target="http://www.bav-astro.de/sfs/BAVM_link.php?BAVMnr=173" TargetMode="External" /><Relationship Id="rId3" Type="http://schemas.openxmlformats.org/officeDocument/2006/relationships/hyperlink" Target="http://www.konkoly.hu/cgi-bin/IBVS?5690" TargetMode="External" /><Relationship Id="rId4" Type="http://schemas.openxmlformats.org/officeDocument/2006/relationships/hyperlink" Target="http://www.konkoly.hu/cgi-bin/IBVS?5690" TargetMode="External" /><Relationship Id="rId5" Type="http://schemas.openxmlformats.org/officeDocument/2006/relationships/hyperlink" Target="http://www.konkoly.hu/cgi-bin/IBVS?5690" TargetMode="External" /><Relationship Id="rId6" Type="http://schemas.openxmlformats.org/officeDocument/2006/relationships/hyperlink" Target="http://www.konkoly.hu/cgi-bin/IBVS?5672" TargetMode="External" /><Relationship Id="rId7" Type="http://schemas.openxmlformats.org/officeDocument/2006/relationships/hyperlink" Target="http://www.bav-astro.de/sfs/BAVM_link.php?BAVMnr=178" TargetMode="External" /><Relationship Id="rId8" Type="http://schemas.openxmlformats.org/officeDocument/2006/relationships/hyperlink" Target="http://www.bav-astro.de/sfs/BAVM_link.php?BAVMnr=178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186" TargetMode="External" /><Relationship Id="rId11" Type="http://schemas.openxmlformats.org/officeDocument/2006/relationships/hyperlink" Target="http://www.konkoly.hu/cgi-bin/IBVS?5837" TargetMode="External" /><Relationship Id="rId12" Type="http://schemas.openxmlformats.org/officeDocument/2006/relationships/hyperlink" Target="http://www.bav-astro.de/sfs/BAVM_link.php?BAVMnr=209" TargetMode="External" /><Relationship Id="rId13" Type="http://schemas.openxmlformats.org/officeDocument/2006/relationships/hyperlink" Target="http://www.konkoly.hu/cgi-bin/IBVS?5945" TargetMode="External" /><Relationship Id="rId14" Type="http://schemas.openxmlformats.org/officeDocument/2006/relationships/hyperlink" Target="http://www.bav-astro.de/sfs/BAVM_link.php?BAVMnr=215" TargetMode="External" /><Relationship Id="rId15" Type="http://schemas.openxmlformats.org/officeDocument/2006/relationships/hyperlink" Target="http://www.konkoly.hu/cgi-bin/IBVS?5992" TargetMode="External" /><Relationship Id="rId16" Type="http://schemas.openxmlformats.org/officeDocument/2006/relationships/hyperlink" Target="http://www.bav-astro.de/sfs/BAVM_link.php?BAVMnr=228" TargetMode="External" /><Relationship Id="rId17" Type="http://schemas.openxmlformats.org/officeDocument/2006/relationships/hyperlink" Target="http://www.bav-astro.de/sfs/BAVM_link.php?BAVMnr=228" TargetMode="External" /><Relationship Id="rId18" Type="http://schemas.openxmlformats.org/officeDocument/2006/relationships/hyperlink" Target="http://www.konkoly.hu/cgi-bin/IBVS?6050" TargetMode="External" /><Relationship Id="rId19" Type="http://schemas.openxmlformats.org/officeDocument/2006/relationships/hyperlink" Target="http://www.bav-astro.de/sfs/BAVM_link.php?BAVMnr=228" TargetMode="External" /><Relationship Id="rId20" Type="http://schemas.openxmlformats.org/officeDocument/2006/relationships/hyperlink" Target="http://www.bav-astro.de/sfs/BAVM_link.php?BAVMnr=23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50"/>
  <sheetViews>
    <sheetView tabSelected="1" zoomScalePageLayoutView="0" workbookViewId="0" topLeftCell="A1">
      <pane xSplit="14" ySplit="21" topLeftCell="O34" activePane="bottomRight" state="frozen"/>
      <selection pane="topLeft" activeCell="A1" sqref="A1"/>
      <selection pane="topRight" activeCell="O1" sqref="O1"/>
      <selection pane="bottomLeft" activeCell="A22" sqref="A22"/>
      <selection pane="bottomRight" activeCell="E14" sqref="E14"/>
    </sheetView>
  </sheetViews>
  <sheetFormatPr defaultColWidth="10.28125" defaultRowHeight="12.75"/>
  <cols>
    <col min="1" max="1" width="15.7109375" style="0" customWidth="1"/>
    <col min="2" max="2" width="4.140625" style="0" customWidth="1"/>
    <col min="3" max="3" width="11.8515625" style="10" customWidth="1"/>
    <col min="4" max="4" width="11.00390625" style="10" customWidth="1"/>
    <col min="5" max="5" width="9.8515625" style="12" customWidth="1"/>
    <col min="6" max="6" width="16.8515625" style="0" customWidth="1"/>
    <col min="7" max="7" width="8.140625" style="10" customWidth="1"/>
    <col min="8" max="13" width="8.57421875" style="10" customWidth="1"/>
    <col min="14" max="14" width="8.00390625" style="10" customWidth="1"/>
    <col min="15" max="15" width="7.7109375" style="10" customWidth="1"/>
    <col min="16" max="16" width="10.421875" style="14" customWidth="1"/>
    <col min="17" max="17" width="9.140625" style="13" customWidth="1"/>
    <col min="18" max="18" width="18.7109375" style="13" bestFit="1" customWidth="1"/>
  </cols>
  <sheetData>
    <row r="1" spans="1:18" ht="20.25">
      <c r="A1" s="1" t="s">
        <v>82</v>
      </c>
      <c r="B1" s="1"/>
      <c r="C1" s="17"/>
      <c r="D1"/>
      <c r="E1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 t="s">
        <v>29</v>
      </c>
      <c r="B2" t="s">
        <v>31</v>
      </c>
      <c r="C2"/>
      <c r="D2"/>
      <c r="E2"/>
      <c r="G2"/>
      <c r="H2"/>
      <c r="I2"/>
      <c r="J2"/>
      <c r="K2"/>
      <c r="L2"/>
      <c r="M2"/>
      <c r="N2"/>
      <c r="O2"/>
      <c r="P2"/>
      <c r="Q2"/>
      <c r="R2"/>
    </row>
    <row r="3" spans="3:18" ht="13.5" thickBot="1">
      <c r="C3"/>
      <c r="D3"/>
      <c r="E3"/>
      <c r="G3"/>
      <c r="H3"/>
      <c r="I3"/>
      <c r="J3"/>
      <c r="K3"/>
      <c r="L3"/>
      <c r="M3"/>
      <c r="N3"/>
      <c r="O3"/>
      <c r="P3"/>
      <c r="Q3"/>
      <c r="R3"/>
    </row>
    <row r="4" spans="1:18" ht="14.25" thickBot="1" thickTop="1">
      <c r="A4" s="7" t="s">
        <v>4</v>
      </c>
      <c r="B4" s="7"/>
      <c r="C4" s="2">
        <v>41945.292</v>
      </c>
      <c r="D4" s="3">
        <v>0.542</v>
      </c>
      <c r="E4"/>
      <c r="G4"/>
      <c r="H4"/>
      <c r="I4"/>
      <c r="J4"/>
      <c r="K4"/>
      <c r="L4"/>
      <c r="M4"/>
      <c r="N4"/>
      <c r="O4"/>
      <c r="P4"/>
      <c r="Q4"/>
      <c r="R4"/>
    </row>
    <row r="5" spans="1:18" ht="13.5" thickTop="1">
      <c r="A5" s="42" t="s">
        <v>65</v>
      </c>
      <c r="B5" s="22"/>
      <c r="C5" s="43">
        <v>-9.5</v>
      </c>
      <c r="D5" s="22" t="s">
        <v>66</v>
      </c>
      <c r="E5"/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7" t="s">
        <v>5</v>
      </c>
      <c r="B6" s="7"/>
      <c r="C6" s="17" t="s">
        <v>64</v>
      </c>
      <c r="D6"/>
      <c r="E6"/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 t="s">
        <v>6</v>
      </c>
      <c r="C7" s="10">
        <v>41945.292</v>
      </c>
      <c r="D7" s="38" t="s">
        <v>63</v>
      </c>
      <c r="E7"/>
      <c r="G7"/>
      <c r="H7"/>
      <c r="I7"/>
      <c r="J7"/>
      <c r="K7"/>
      <c r="L7"/>
      <c r="M7"/>
      <c r="N7"/>
      <c r="O7"/>
      <c r="P7"/>
      <c r="Q7"/>
      <c r="R7"/>
    </row>
    <row r="8" spans="1:18" ht="12.75">
      <c r="A8" t="s">
        <v>7</v>
      </c>
      <c r="C8" s="15">
        <v>0.213204</v>
      </c>
      <c r="D8" s="15">
        <v>0.426408</v>
      </c>
      <c r="E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 s="53" t="s">
        <v>71</v>
      </c>
      <c r="B9" s="54">
        <v>45</v>
      </c>
      <c r="C9" s="52" t="str">
        <f>"F"&amp;B9</f>
        <v>F45</v>
      </c>
      <c r="D9" s="18" t="str">
        <f>"G"&amp;B9</f>
        <v>G45</v>
      </c>
      <c r="G9"/>
      <c r="H9"/>
      <c r="I9"/>
      <c r="J9"/>
      <c r="K9"/>
      <c r="L9"/>
      <c r="M9"/>
      <c r="N9"/>
      <c r="O9"/>
      <c r="P9"/>
      <c r="Q9"/>
      <c r="R9"/>
    </row>
    <row r="10" spans="1:18" ht="13.5" thickBot="1">
      <c r="A10" s="22"/>
      <c r="B10" s="22"/>
      <c r="C10" s="6" t="s">
        <v>24</v>
      </c>
      <c r="D10" s="6" t="s">
        <v>25</v>
      </c>
      <c r="E10" s="22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22" t="s">
        <v>20</v>
      </c>
      <c r="B11" s="22"/>
      <c r="C11" s="51">
        <f ca="1">INTERCEPT(INDIRECT($D$9):G990,INDIRECT($C$9):F990)</f>
        <v>0.23467526189315369</v>
      </c>
      <c r="D11" s="5"/>
      <c r="E11" s="22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22" t="s">
        <v>21</v>
      </c>
      <c r="B12" s="22"/>
      <c r="C12" s="51">
        <f ca="1">SLOPE(INDIRECT($D$9):G990,INDIRECT($C$9):F990)</f>
        <v>-3.5729141098746953E-06</v>
      </c>
      <c r="D12" s="5"/>
      <c r="E12" s="2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22" t="s">
        <v>23</v>
      </c>
      <c r="B13" s="22"/>
      <c r="C13" s="5" t="s">
        <v>18</v>
      </c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22"/>
      <c r="B14" s="22"/>
      <c r="C14" s="22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4" t="s">
        <v>22</v>
      </c>
      <c r="B15" s="22"/>
      <c r="C15" s="28">
        <f>(C7+C11)+(C8+C12)*INT(MAX(F21:F3531))</f>
        <v>57462.46695900006</v>
      </c>
      <c r="E15" s="45" t="s">
        <v>74</v>
      </c>
      <c r="F15" s="43">
        <v>1</v>
      </c>
      <c r="G15"/>
      <c r="H15"/>
      <c r="I15"/>
      <c r="J15"/>
      <c r="K15"/>
      <c r="L15"/>
      <c r="M15"/>
      <c r="N15"/>
      <c r="O15"/>
      <c r="R15"/>
    </row>
    <row r="16" spans="1:18" ht="12.75">
      <c r="A16" s="47" t="s">
        <v>8</v>
      </c>
      <c r="B16" s="22"/>
      <c r="C16" s="36">
        <f>+C8+C12</f>
        <v>0.21320042708589013</v>
      </c>
      <c r="E16" s="45" t="s">
        <v>67</v>
      </c>
      <c r="F16" s="46">
        <f ca="1">NOW()+15018.5+$C$5/24</f>
        <v>59900.82505196759</v>
      </c>
      <c r="G16"/>
      <c r="H16"/>
      <c r="I16"/>
      <c r="J16"/>
      <c r="K16"/>
      <c r="L16"/>
      <c r="M16"/>
      <c r="N16"/>
      <c r="O16"/>
      <c r="P16"/>
      <c r="Q16"/>
      <c r="R16"/>
    </row>
    <row r="17" spans="1:18" ht="13.5" thickBot="1">
      <c r="A17" s="45" t="s">
        <v>57</v>
      </c>
      <c r="B17" s="22"/>
      <c r="C17" s="22">
        <f>COUNT(C21:C2189)</f>
        <v>30</v>
      </c>
      <c r="E17" s="45" t="s">
        <v>75</v>
      </c>
      <c r="F17" s="46">
        <f>ROUND(2*(F16-$C$7)/$C$8,0)/2+F15</f>
        <v>84218.5</v>
      </c>
      <c r="G17"/>
      <c r="H17"/>
      <c r="I17"/>
      <c r="J17"/>
      <c r="K17"/>
      <c r="L17"/>
      <c r="M17"/>
      <c r="N17"/>
      <c r="O17"/>
      <c r="P17"/>
      <c r="Q17"/>
      <c r="R17"/>
    </row>
    <row r="18" spans="1:18" ht="14.25" thickBot="1" thickTop="1">
      <c r="A18" s="47" t="s">
        <v>9</v>
      </c>
      <c r="B18" s="22"/>
      <c r="C18" s="49">
        <f>+C15</f>
        <v>57462.46695900006</v>
      </c>
      <c r="D18" s="50">
        <f>+C16</f>
        <v>0.21320042708589013</v>
      </c>
      <c r="E18" s="45" t="s">
        <v>68</v>
      </c>
      <c r="F18" s="18">
        <f>ROUND(2*(F16-$C$15)/$C$16,0)/2+F15</f>
        <v>11438</v>
      </c>
      <c r="G18"/>
      <c r="H18"/>
      <c r="I18"/>
      <c r="J18"/>
      <c r="K18"/>
      <c r="L18"/>
      <c r="M18"/>
      <c r="N18"/>
      <c r="O18"/>
      <c r="P18" t="s">
        <v>59</v>
      </c>
      <c r="Q18" s="10">
        <f>SUM(Q22:Q38)</f>
        <v>0.023962573197564063</v>
      </c>
      <c r="R18"/>
    </row>
    <row r="19" spans="5:18" ht="13.5" thickTop="1">
      <c r="E19" s="45" t="s">
        <v>69</v>
      </c>
      <c r="F19" s="48">
        <f>+$C$15+$C$16*F18-15018.5-$C$5/24</f>
        <v>44882.94927734181</v>
      </c>
      <c r="G19"/>
      <c r="H19"/>
      <c r="I19"/>
      <c r="J19"/>
      <c r="K19"/>
      <c r="L19"/>
      <c r="M19"/>
      <c r="N19"/>
      <c r="O19"/>
      <c r="P19"/>
      <c r="Q19"/>
      <c r="R19"/>
    </row>
    <row r="20" spans="1:21" ht="13.5" thickBot="1">
      <c r="A20" s="6" t="s">
        <v>10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6" t="s">
        <v>15</v>
      </c>
      <c r="H20" s="9" t="s">
        <v>91</v>
      </c>
      <c r="I20" s="9" t="s">
        <v>94</v>
      </c>
      <c r="J20" s="9" t="s">
        <v>88</v>
      </c>
      <c r="K20" s="9" t="s">
        <v>86</v>
      </c>
      <c r="L20" s="9" t="s">
        <v>1</v>
      </c>
      <c r="M20" s="9" t="s">
        <v>2</v>
      </c>
      <c r="N20" s="9" t="s">
        <v>27</v>
      </c>
      <c r="O20" s="8" t="s">
        <v>26</v>
      </c>
      <c r="P20" s="6" t="s">
        <v>19</v>
      </c>
      <c r="Q20" s="23" t="s">
        <v>45</v>
      </c>
      <c r="R20"/>
      <c r="U20" s="90" t="s">
        <v>3</v>
      </c>
    </row>
    <row r="21" spans="1:16" ht="12.75">
      <c r="A21" t="s">
        <v>16</v>
      </c>
      <c r="B21" s="30"/>
      <c r="C21" s="83">
        <v>41945.292</v>
      </c>
      <c r="D21" s="39" t="s">
        <v>18</v>
      </c>
      <c r="E21" s="12">
        <f aca="true" t="shared" si="0" ref="E21:E50">+(C21-C$7)/C$8</f>
        <v>0</v>
      </c>
      <c r="F21">
        <f aca="true" t="shared" si="1" ref="F21:F50">ROUND(2*E21,0)/2</f>
        <v>0</v>
      </c>
      <c r="G21" s="10">
        <f aca="true" t="shared" si="2" ref="G21:G38">+C21-(C$7+F21*C$8)</f>
        <v>0</v>
      </c>
      <c r="I21" s="10">
        <f>+G21</f>
        <v>0</v>
      </c>
      <c r="P21" s="14">
        <f aca="true" t="shared" si="3" ref="P21:P50">+C21-15018.5</f>
        <v>26926.792</v>
      </c>
    </row>
    <row r="22" spans="1:17" ht="12.75">
      <c r="A22" t="s">
        <v>32</v>
      </c>
      <c r="B22" s="30" t="s">
        <v>33</v>
      </c>
      <c r="C22" s="84">
        <v>51243.9885</v>
      </c>
      <c r="D22" s="39">
        <v>0.0015</v>
      </c>
      <c r="E22" s="12">
        <f t="shared" si="0"/>
        <v>43614.08088028366</v>
      </c>
      <c r="F22">
        <f t="shared" si="1"/>
        <v>43614</v>
      </c>
      <c r="G22" s="10">
        <f t="shared" si="2"/>
        <v>0.01724399999511661</v>
      </c>
      <c r="K22" s="19">
        <f>+C22-(C$7+F22*C$8)</f>
        <v>0.01724399999511661</v>
      </c>
      <c r="P22" s="14">
        <f t="shared" si="3"/>
        <v>36225.4885</v>
      </c>
      <c r="Q22" s="10">
        <f aca="true" t="shared" si="4" ref="Q22:Q50">+(N22-G22)^2</f>
        <v>0.00029735553583158165</v>
      </c>
    </row>
    <row r="23" spans="1:17" ht="12.75">
      <c r="A23" t="s">
        <v>35</v>
      </c>
      <c r="B23" s="30" t="s">
        <v>36</v>
      </c>
      <c r="C23" s="83">
        <v>51275.214</v>
      </c>
      <c r="D23" s="39"/>
      <c r="E23" s="12">
        <f t="shared" si="0"/>
        <v>43760.53920189114</v>
      </c>
      <c r="F23">
        <f t="shared" si="1"/>
        <v>43760.5</v>
      </c>
      <c r="G23" s="10">
        <f t="shared" si="2"/>
        <v>0.008357999999134336</v>
      </c>
      <c r="H23" s="10">
        <f>G23</f>
        <v>0.008357999999134336</v>
      </c>
      <c r="N23" s="10">
        <f>+C$11+C$12*F23</f>
        <v>0.07832275398798208</v>
      </c>
      <c r="P23" s="14">
        <f t="shared" si="3"/>
        <v>36256.714</v>
      </c>
      <c r="Q23" s="10">
        <f t="shared" si="4"/>
        <v>0.004895066800719986</v>
      </c>
    </row>
    <row r="24" spans="1:17" ht="12.75">
      <c r="A24" s="26" t="s">
        <v>35</v>
      </c>
      <c r="B24" s="30" t="s">
        <v>34</v>
      </c>
      <c r="C24" s="83">
        <v>51275.756</v>
      </c>
      <c r="D24" s="39"/>
      <c r="E24" s="12">
        <f t="shared" si="0"/>
        <v>43763.081368079394</v>
      </c>
      <c r="F24">
        <f t="shared" si="1"/>
        <v>43763</v>
      </c>
      <c r="G24" s="10">
        <f t="shared" si="2"/>
        <v>0.017348000001220498</v>
      </c>
      <c r="H24" s="10">
        <f>G24</f>
        <v>0.017348000001220498</v>
      </c>
      <c r="N24" s="10">
        <f>+C$11+C$12*F24</f>
        <v>0.0783138217027074</v>
      </c>
      <c r="P24" s="14">
        <f t="shared" si="3"/>
        <v>36257.256</v>
      </c>
      <c r="Q24" s="10">
        <f t="shared" si="4"/>
        <v>0.003716831415737491</v>
      </c>
    </row>
    <row r="25" spans="1:17" ht="12.75">
      <c r="A25" s="26" t="s">
        <v>35</v>
      </c>
      <c r="B25" s="30" t="s">
        <v>33</v>
      </c>
      <c r="C25" s="83">
        <v>51275.9692</v>
      </c>
      <c r="D25" s="39"/>
      <c r="E25" s="12">
        <f t="shared" si="0"/>
        <v>43764.08134931802</v>
      </c>
      <c r="F25">
        <f t="shared" si="1"/>
        <v>43764</v>
      </c>
      <c r="G25" s="10">
        <f t="shared" si="2"/>
        <v>0.017343999999866355</v>
      </c>
      <c r="H25" s="10">
        <f>G25</f>
        <v>0.017343999999866355</v>
      </c>
      <c r="N25" s="10">
        <f>+C$11+C$12*F25</f>
        <v>0.07831024878859752</v>
      </c>
      <c r="P25" s="14">
        <f t="shared" si="3"/>
        <v>36257.4692</v>
      </c>
      <c r="Q25" s="10">
        <f t="shared" si="4"/>
        <v>0.003716883491369464</v>
      </c>
    </row>
    <row r="26" spans="1:17" ht="12.75">
      <c r="A26" s="26" t="s">
        <v>32</v>
      </c>
      <c r="B26" s="30" t="s">
        <v>34</v>
      </c>
      <c r="C26" s="83">
        <v>51310.7184</v>
      </c>
      <c r="D26" s="39">
        <v>0.0009</v>
      </c>
      <c r="E26" s="12">
        <f t="shared" si="0"/>
        <v>43927.06703438958</v>
      </c>
      <c r="F26">
        <f t="shared" si="1"/>
        <v>43927</v>
      </c>
      <c r="G26" s="10">
        <f t="shared" si="2"/>
        <v>0.014291999992565252</v>
      </c>
      <c r="K26" s="10">
        <f>+G26</f>
        <v>0.014291999992565252</v>
      </c>
      <c r="P26" s="14">
        <f t="shared" si="3"/>
        <v>36292.2184</v>
      </c>
      <c r="Q26" s="10">
        <f t="shared" si="4"/>
        <v>0.00020426126378748517</v>
      </c>
    </row>
    <row r="27" spans="1:17" ht="12.75">
      <c r="A27" s="26" t="s">
        <v>35</v>
      </c>
      <c r="B27" s="30" t="s">
        <v>37</v>
      </c>
      <c r="C27" s="83">
        <v>51349.731</v>
      </c>
      <c r="D27" s="39"/>
      <c r="E27" s="12">
        <f t="shared" si="0"/>
        <v>44110.04953002757</v>
      </c>
      <c r="F27">
        <f t="shared" si="1"/>
        <v>44110</v>
      </c>
      <c r="G27" s="10">
        <f t="shared" si="2"/>
        <v>0.010559999995166436</v>
      </c>
      <c r="H27" s="10">
        <f>+G27</f>
        <v>0.010559999995166436</v>
      </c>
      <c r="N27" s="10">
        <f>+C$11+C$12*F27</f>
        <v>0.07707402050658088</v>
      </c>
      <c r="P27" s="14">
        <f t="shared" si="3"/>
        <v>36331.231</v>
      </c>
      <c r="Q27" s="10">
        <f t="shared" si="4"/>
        <v>0.004424114924592861</v>
      </c>
    </row>
    <row r="28" spans="1:17" ht="12.75">
      <c r="A28" s="26" t="s">
        <v>40</v>
      </c>
      <c r="B28" s="30" t="s">
        <v>33</v>
      </c>
      <c r="C28" s="83">
        <v>52426.4162</v>
      </c>
      <c r="D28" s="39">
        <v>0.0009</v>
      </c>
      <c r="E28" s="12">
        <f t="shared" si="0"/>
        <v>49160.07298174517</v>
      </c>
      <c r="F28">
        <f t="shared" si="1"/>
        <v>49160</v>
      </c>
      <c r="G28" s="10">
        <f t="shared" si="2"/>
        <v>0.015559999999823049</v>
      </c>
      <c r="K28" s="10">
        <f>G28</f>
        <v>0.015559999999823049</v>
      </c>
      <c r="P28" s="14">
        <f t="shared" si="3"/>
        <v>37407.9162</v>
      </c>
      <c r="Q28" s="10">
        <f t="shared" si="4"/>
        <v>0.0002421135999944933</v>
      </c>
    </row>
    <row r="29" spans="1:17" ht="12.75">
      <c r="A29" s="29" t="s">
        <v>44</v>
      </c>
      <c r="B29" s="20" t="s">
        <v>34</v>
      </c>
      <c r="C29" s="85">
        <v>53114.852</v>
      </c>
      <c r="D29" s="39">
        <v>0.0007</v>
      </c>
      <c r="E29" s="12">
        <f t="shared" si="0"/>
        <v>52389.07337573403</v>
      </c>
      <c r="F29">
        <f t="shared" si="1"/>
        <v>52389</v>
      </c>
      <c r="G29" s="10">
        <f t="shared" si="2"/>
        <v>0.015643999999156222</v>
      </c>
      <c r="J29" s="10">
        <f>G29</f>
        <v>0.015643999999156222</v>
      </c>
      <c r="K29" s="10">
        <f>+G29</f>
        <v>0.015643999999156222</v>
      </c>
      <c r="P29" s="14">
        <f t="shared" si="3"/>
        <v>38096.352</v>
      </c>
      <c r="Q29" s="10">
        <f t="shared" si="4"/>
        <v>0.00024473473597359986</v>
      </c>
    </row>
    <row r="30" spans="1:17" ht="12.75">
      <c r="A30" s="35" t="s">
        <v>56</v>
      </c>
      <c r="B30" s="20"/>
      <c r="C30" s="83">
        <v>53117.4099</v>
      </c>
      <c r="D30" s="39">
        <v>0.001</v>
      </c>
      <c r="E30" s="12">
        <f t="shared" si="0"/>
        <v>52401.07080542578</v>
      </c>
      <c r="F30">
        <f t="shared" si="1"/>
        <v>52401</v>
      </c>
      <c r="G30" s="10">
        <f t="shared" si="2"/>
        <v>0.015095999995537568</v>
      </c>
      <c r="J30" s="10">
        <f>G30</f>
        <v>0.015095999995537568</v>
      </c>
      <c r="N30" s="10">
        <f>+C$11+C$12*F30</f>
        <v>0.04745098962160979</v>
      </c>
      <c r="P30" s="14">
        <f t="shared" si="3"/>
        <v>38098.9099</v>
      </c>
      <c r="Q30" s="10">
        <f t="shared" si="4"/>
        <v>0.0010468453537032412</v>
      </c>
    </row>
    <row r="31" spans="1:17" ht="12.75">
      <c r="A31" s="31" t="s">
        <v>49</v>
      </c>
      <c r="B31" s="30" t="s">
        <v>33</v>
      </c>
      <c r="C31" s="83">
        <v>53123.3805</v>
      </c>
      <c r="D31" s="39">
        <v>0.0008</v>
      </c>
      <c r="E31" s="12">
        <f t="shared" si="0"/>
        <v>52429.07497045083</v>
      </c>
      <c r="F31">
        <f t="shared" si="1"/>
        <v>52429</v>
      </c>
      <c r="G31" s="10">
        <f t="shared" si="2"/>
        <v>0.015983999997843057</v>
      </c>
      <c r="K31" s="19">
        <f>+C31-(C$7+F31*C$8)</f>
        <v>0.015983999997843057</v>
      </c>
      <c r="P31" s="14">
        <f t="shared" si="3"/>
        <v>38104.8805</v>
      </c>
      <c r="Q31" s="10">
        <f t="shared" si="4"/>
        <v>0.00025548825593104687</v>
      </c>
    </row>
    <row r="32" spans="1:17" ht="12.75">
      <c r="A32" s="27" t="s">
        <v>39</v>
      </c>
      <c r="B32" s="30" t="s">
        <v>34</v>
      </c>
      <c r="C32" s="83">
        <v>53265.59</v>
      </c>
      <c r="D32" s="39">
        <v>0.0002</v>
      </c>
      <c r="E32" s="12">
        <f t="shared" si="0"/>
        <v>53096.08637736626</v>
      </c>
      <c r="F32">
        <f t="shared" si="1"/>
        <v>53096</v>
      </c>
      <c r="G32" s="10">
        <f t="shared" si="2"/>
        <v>0.018415999991702847</v>
      </c>
      <c r="K32" s="19">
        <f>+C32-(C$7+F32*C$8)</f>
        <v>0.018415999991702847</v>
      </c>
      <c r="N32" s="10">
        <f aca="true" t="shared" si="5" ref="N32:N50">+C$11+C$12*F32</f>
        <v>0.04496781431524685</v>
      </c>
      <c r="P32" s="14">
        <f t="shared" si="3"/>
        <v>38247.09</v>
      </c>
      <c r="Q32" s="10">
        <f t="shared" si="4"/>
        <v>0.0007049988438719566</v>
      </c>
    </row>
    <row r="33" spans="1:17" ht="12.75">
      <c r="A33" s="27" t="s">
        <v>39</v>
      </c>
      <c r="B33" s="30" t="s">
        <v>34</v>
      </c>
      <c r="C33" s="83">
        <v>53266.651</v>
      </c>
      <c r="D33" s="41">
        <v>0.0004</v>
      </c>
      <c r="E33" s="12">
        <f t="shared" si="0"/>
        <v>53101.06283184179</v>
      </c>
      <c r="F33">
        <f t="shared" si="1"/>
        <v>53101</v>
      </c>
      <c r="G33" s="10">
        <f t="shared" si="2"/>
        <v>0.013395999994827434</v>
      </c>
      <c r="K33" s="10">
        <f>+G33</f>
        <v>0.013395999994827434</v>
      </c>
      <c r="N33" s="10">
        <f t="shared" si="5"/>
        <v>0.04494994974469749</v>
      </c>
      <c r="P33" s="14">
        <f t="shared" si="3"/>
        <v>38248.151</v>
      </c>
      <c r="Q33" s="10">
        <f t="shared" si="4"/>
        <v>0.0009956517448173243</v>
      </c>
    </row>
    <row r="34" spans="1:17" ht="12.75">
      <c r="A34" s="27" t="s">
        <v>39</v>
      </c>
      <c r="B34" s="30" t="s">
        <v>34</v>
      </c>
      <c r="C34" s="83">
        <v>53269.6381</v>
      </c>
      <c r="D34" s="39"/>
      <c r="E34" s="12">
        <f t="shared" si="0"/>
        <v>53115.07335697264</v>
      </c>
      <c r="F34">
        <f t="shared" si="1"/>
        <v>53115</v>
      </c>
      <c r="G34" s="10">
        <f t="shared" si="2"/>
        <v>0.01563999999780208</v>
      </c>
      <c r="K34" s="19">
        <f>+C34-(C$7+F34*C$8)</f>
        <v>0.01563999999780208</v>
      </c>
      <c r="N34" s="10">
        <f t="shared" si="5"/>
        <v>0.044899928947159246</v>
      </c>
      <c r="P34" s="14">
        <f t="shared" si="3"/>
        <v>38251.1381</v>
      </c>
      <c r="Q34" s="10">
        <f t="shared" si="4"/>
        <v>0.0008561434421214296</v>
      </c>
    </row>
    <row r="35" spans="1:17" ht="12.75">
      <c r="A35" s="32" t="s">
        <v>55</v>
      </c>
      <c r="B35" s="5"/>
      <c r="C35" s="83">
        <v>53499.8972</v>
      </c>
      <c r="D35" s="39"/>
      <c r="E35" s="12">
        <f t="shared" si="0"/>
        <v>54195.06763475356</v>
      </c>
      <c r="F35">
        <f t="shared" si="1"/>
        <v>54195</v>
      </c>
      <c r="G35" s="10">
        <f t="shared" si="2"/>
        <v>0.01441999999951804</v>
      </c>
      <c r="K35" s="19">
        <f>+C35-(C$7+F35*C$8)</f>
        <v>0.01441999999951804</v>
      </c>
      <c r="L35" s="10">
        <f>G35</f>
        <v>0.01441999999951804</v>
      </c>
      <c r="N35" s="10">
        <f t="shared" si="5"/>
        <v>0.04104118170849458</v>
      </c>
      <c r="P35" s="14">
        <f t="shared" si="3"/>
        <v>38481.3972</v>
      </c>
      <c r="Q35" s="10">
        <f t="shared" si="4"/>
        <v>0.000708687315582347</v>
      </c>
    </row>
    <row r="36" spans="1:17" ht="12.75">
      <c r="A36" s="22" t="s">
        <v>58</v>
      </c>
      <c r="B36" s="21"/>
      <c r="C36" s="83">
        <v>53515.4604</v>
      </c>
      <c r="D36" s="39"/>
      <c r="E36" s="12">
        <f t="shared" si="0"/>
        <v>54268.06438903586</v>
      </c>
      <c r="F36">
        <f t="shared" si="1"/>
        <v>54268</v>
      </c>
      <c r="G36" s="10">
        <f t="shared" si="2"/>
        <v>0.013727999998081941</v>
      </c>
      <c r="J36" s="10">
        <f>G36</f>
        <v>0.013727999998081941</v>
      </c>
      <c r="N36" s="10">
        <f t="shared" si="5"/>
        <v>0.04078035897847371</v>
      </c>
      <c r="P36" s="14">
        <f t="shared" si="3"/>
        <v>38496.9604</v>
      </c>
      <c r="Q36" s="10">
        <f t="shared" si="4"/>
        <v>0.000731830126403983</v>
      </c>
    </row>
    <row r="37" spans="1:17" ht="12.75">
      <c r="A37" s="55" t="s">
        <v>58</v>
      </c>
      <c r="B37" s="56"/>
      <c r="C37" s="84">
        <v>53518.4479</v>
      </c>
      <c r="D37" s="40"/>
      <c r="E37" s="12">
        <f t="shared" si="0"/>
        <v>54282.07679030411</v>
      </c>
      <c r="F37">
        <f t="shared" si="1"/>
        <v>54282</v>
      </c>
      <c r="G37" s="10">
        <f t="shared" si="2"/>
        <v>0.016371999998227693</v>
      </c>
      <c r="J37" s="10">
        <f>G37</f>
        <v>0.016371999998227693</v>
      </c>
      <c r="N37" s="10">
        <f t="shared" si="5"/>
        <v>0.040730338180935466</v>
      </c>
      <c r="P37" s="14">
        <f t="shared" si="3"/>
        <v>38499.9479</v>
      </c>
      <c r="Q37" s="10">
        <f t="shared" si="4"/>
        <v>0.0005933286390231594</v>
      </c>
    </row>
    <row r="38" spans="1:17" ht="12.75">
      <c r="A38" s="55" t="s">
        <v>58</v>
      </c>
      <c r="B38" s="56"/>
      <c r="C38" s="84">
        <v>53847.4224</v>
      </c>
      <c r="D38" s="40"/>
      <c r="E38" s="12">
        <f t="shared" si="0"/>
        <v>55825.08020487421</v>
      </c>
      <c r="F38">
        <f t="shared" si="1"/>
        <v>55825</v>
      </c>
      <c r="G38" s="10">
        <f t="shared" si="2"/>
        <v>0.017100000004575122</v>
      </c>
      <c r="J38" s="10">
        <f>G38</f>
        <v>0.017100000004575122</v>
      </c>
      <c r="N38" s="10">
        <f t="shared" si="5"/>
        <v>0.03521733170939881</v>
      </c>
      <c r="P38" s="14">
        <f t="shared" si="3"/>
        <v>38828.9224</v>
      </c>
      <c r="Q38" s="10">
        <f t="shared" si="4"/>
        <v>0.00032823770810260953</v>
      </c>
    </row>
    <row r="39" spans="1:17" ht="12.75">
      <c r="A39" s="29" t="s">
        <v>70</v>
      </c>
      <c r="B39" s="57"/>
      <c r="C39" s="84">
        <v>54222.4375</v>
      </c>
      <c r="D39" s="29">
        <v>0.0035</v>
      </c>
      <c r="E39" s="12">
        <f t="shared" si="0"/>
        <v>57584.02984934616</v>
      </c>
      <c r="F39">
        <f t="shared" si="1"/>
        <v>57584</v>
      </c>
      <c r="J39" s="25">
        <v>0.006364000000758097</v>
      </c>
      <c r="N39" s="10">
        <f t="shared" si="5"/>
        <v>0.028932575790129228</v>
      </c>
      <c r="P39" s="14">
        <f t="shared" si="3"/>
        <v>39203.9375</v>
      </c>
      <c r="Q39" s="10">
        <f t="shared" si="4"/>
        <v>0.0008370939418515719</v>
      </c>
    </row>
    <row r="40" spans="1:17" ht="12.75">
      <c r="A40" s="55" t="s">
        <v>72</v>
      </c>
      <c r="B40" s="58" t="s">
        <v>33</v>
      </c>
      <c r="C40" s="84">
        <v>54297.4938</v>
      </c>
      <c r="D40" s="40"/>
      <c r="E40" s="12">
        <f t="shared" si="0"/>
        <v>57936.06967974332</v>
      </c>
      <c r="F40">
        <f t="shared" si="1"/>
        <v>57936</v>
      </c>
      <c r="G40" s="10">
        <f>+C40-(C$7+F40*C$8)</f>
        <v>0.01485599999432452</v>
      </c>
      <c r="J40" s="10">
        <f>G40</f>
        <v>0.01485599999432452</v>
      </c>
      <c r="N40" s="10">
        <f t="shared" si="5"/>
        <v>0.027674910023453347</v>
      </c>
      <c r="P40" s="14">
        <f t="shared" si="3"/>
        <v>39278.9938</v>
      </c>
      <c r="Q40" s="10">
        <f t="shared" si="4"/>
        <v>0.00016432445433489963</v>
      </c>
    </row>
    <row r="41" spans="1:17" ht="12.75">
      <c r="A41" s="59" t="s">
        <v>76</v>
      </c>
      <c r="B41" s="60" t="s">
        <v>34</v>
      </c>
      <c r="C41" s="86">
        <v>54937.5272</v>
      </c>
      <c r="D41" s="59" t="s">
        <v>77</v>
      </c>
      <c r="E41" s="12">
        <f t="shared" si="0"/>
        <v>60938.04619050297</v>
      </c>
      <c r="F41">
        <f t="shared" si="1"/>
        <v>60938</v>
      </c>
      <c r="G41" s="10">
        <f>+C41-(C$7+F41*C$8)</f>
        <v>0.009847999994235579</v>
      </c>
      <c r="J41" s="10">
        <f>G41</f>
        <v>0.009847999994235579</v>
      </c>
      <c r="N41" s="10">
        <f t="shared" si="5"/>
        <v>0.01694902186560951</v>
      </c>
      <c r="P41" s="14">
        <f t="shared" si="3"/>
        <v>39919.0272</v>
      </c>
      <c r="Q41" s="10">
        <f t="shared" si="4"/>
        <v>5.042451161773092E-05</v>
      </c>
    </row>
    <row r="42" spans="1:21" ht="12.75">
      <c r="A42" s="59" t="s">
        <v>73</v>
      </c>
      <c r="B42" s="60" t="s">
        <v>34</v>
      </c>
      <c r="C42" s="86">
        <v>55312.761</v>
      </c>
      <c r="D42" s="59">
        <v>0.0002</v>
      </c>
      <c r="E42" s="12">
        <f t="shared" si="0"/>
        <v>62698.02161310293</v>
      </c>
      <c r="F42">
        <f t="shared" si="1"/>
        <v>62698</v>
      </c>
      <c r="N42" s="10">
        <f t="shared" si="5"/>
        <v>0.01066069303223005</v>
      </c>
      <c r="P42" s="14">
        <f t="shared" si="3"/>
        <v>40294.261</v>
      </c>
      <c r="Q42" s="10">
        <f t="shared" si="4"/>
        <v>0.00011365037592743836</v>
      </c>
      <c r="U42" s="25">
        <v>0.004607999995641876</v>
      </c>
    </row>
    <row r="43" spans="1:17" ht="12.75">
      <c r="A43" s="61" t="s">
        <v>83</v>
      </c>
      <c r="B43" s="61"/>
      <c r="C43" s="87">
        <v>55388.4487</v>
      </c>
      <c r="D43" s="62">
        <v>0.0023</v>
      </c>
      <c r="E43" s="12">
        <f t="shared" si="0"/>
        <v>63053.02292639913</v>
      </c>
      <c r="F43">
        <f t="shared" si="1"/>
        <v>63053</v>
      </c>
      <c r="G43" s="10">
        <f aca="true" t="shared" si="6" ref="G43:G50">+C43-(C$7+F43*C$8)</f>
        <v>0.004888000003120396</v>
      </c>
      <c r="J43" s="10">
        <f>G43</f>
        <v>0.004888000003120396</v>
      </c>
      <c r="N43" s="10">
        <f t="shared" si="5"/>
        <v>0.009392308523224535</v>
      </c>
      <c r="P43" s="14">
        <f t="shared" si="3"/>
        <v>40369.9487</v>
      </c>
      <c r="Q43" s="10">
        <f t="shared" si="4"/>
        <v>2.0288795244282738E-05</v>
      </c>
    </row>
    <row r="44" spans="1:17" ht="12.75">
      <c r="A44" s="59" t="s">
        <v>78</v>
      </c>
      <c r="B44" s="60" t="s">
        <v>34</v>
      </c>
      <c r="C44" s="86">
        <v>55726.7976</v>
      </c>
      <c r="D44" s="59">
        <v>0.0007</v>
      </c>
      <c r="E44" s="12">
        <f t="shared" si="0"/>
        <v>64639.9954972702</v>
      </c>
      <c r="F44">
        <f t="shared" si="1"/>
        <v>64640</v>
      </c>
      <c r="G44" s="10">
        <f t="shared" si="6"/>
        <v>-0.0009600000048521906</v>
      </c>
      <c r="K44" s="19">
        <f>+C44-(C$7+F44*C$8)</f>
        <v>-0.0009600000048521906</v>
      </c>
      <c r="N44" s="10">
        <f t="shared" si="5"/>
        <v>0.003722093830853368</v>
      </c>
      <c r="P44" s="14">
        <f t="shared" si="3"/>
        <v>40708.2976</v>
      </c>
      <c r="Q44" s="10">
        <f t="shared" si="4"/>
        <v>2.192200268635199E-05</v>
      </c>
    </row>
    <row r="45" spans="1:17" ht="12.75">
      <c r="A45" s="76" t="s">
        <v>80</v>
      </c>
      <c r="B45" s="30" t="s">
        <v>34</v>
      </c>
      <c r="C45" s="88">
        <v>56001.6202</v>
      </c>
      <c r="D45" s="77">
        <v>0.0016</v>
      </c>
      <c r="E45" s="12">
        <f t="shared" si="0"/>
        <v>65929.00789853848</v>
      </c>
      <c r="F45">
        <f t="shared" si="1"/>
        <v>65929</v>
      </c>
      <c r="G45" s="10">
        <f t="shared" si="6"/>
        <v>0.0016839999952935614</v>
      </c>
      <c r="J45" s="10">
        <f>G45</f>
        <v>0.0016839999952935614</v>
      </c>
      <c r="N45" s="10">
        <f t="shared" si="5"/>
        <v>-0.0008833924567751006</v>
      </c>
      <c r="P45" s="14">
        <f t="shared" si="3"/>
        <v>40983.1202</v>
      </c>
      <c r="Q45" s="10">
        <f t="shared" si="4"/>
        <v>6.591504002939137E-06</v>
      </c>
    </row>
    <row r="46" spans="1:17" ht="12.75">
      <c r="A46" s="76" t="s">
        <v>80</v>
      </c>
      <c r="B46" s="30" t="s">
        <v>34</v>
      </c>
      <c r="C46" s="88">
        <v>56006.5255</v>
      </c>
      <c r="D46" s="77">
        <v>0.0019</v>
      </c>
      <c r="E46" s="12">
        <f t="shared" si="0"/>
        <v>65952.01544061088</v>
      </c>
      <c r="F46">
        <f t="shared" si="1"/>
        <v>65952</v>
      </c>
      <c r="G46" s="10">
        <f t="shared" si="6"/>
        <v>0.0032920000012381934</v>
      </c>
      <c r="J46" s="10">
        <f>G46</f>
        <v>0.0032920000012381934</v>
      </c>
      <c r="N46" s="10">
        <f t="shared" si="5"/>
        <v>-0.0009655694813022198</v>
      </c>
      <c r="P46" s="14">
        <f t="shared" si="3"/>
        <v>40988.0255</v>
      </c>
      <c r="Q46" s="10">
        <f t="shared" si="4"/>
        <v>1.8126897898659442E-05</v>
      </c>
    </row>
    <row r="47" spans="1:17" ht="12.75">
      <c r="A47" s="78" t="s">
        <v>79</v>
      </c>
      <c r="B47" s="26"/>
      <c r="C47" s="88">
        <v>56024.85286363837</v>
      </c>
      <c r="D47" s="79">
        <v>0.0003</v>
      </c>
      <c r="E47" s="12">
        <f t="shared" si="0"/>
        <v>66037.9770719047</v>
      </c>
      <c r="F47">
        <f t="shared" si="1"/>
        <v>66038</v>
      </c>
      <c r="G47" s="10">
        <f t="shared" si="6"/>
        <v>-0.004888361632765736</v>
      </c>
      <c r="K47" s="10">
        <f>+G47</f>
        <v>-0.004888361632765736</v>
      </c>
      <c r="L47" s="10">
        <f>G47</f>
        <v>-0.004888361632765736</v>
      </c>
      <c r="N47" s="10">
        <f t="shared" si="5"/>
        <v>-0.001272840094751454</v>
      </c>
      <c r="P47" s="14">
        <f t="shared" si="3"/>
        <v>41006.35286363837</v>
      </c>
      <c r="Q47" s="10">
        <f t="shared" si="4"/>
        <v>1.3071995991845162E-05</v>
      </c>
    </row>
    <row r="48" spans="1:17" ht="12.75">
      <c r="A48" s="76" t="s">
        <v>80</v>
      </c>
      <c r="B48" s="30" t="s">
        <v>33</v>
      </c>
      <c r="C48" s="88">
        <v>56055.5548</v>
      </c>
      <c r="D48" s="77">
        <v>0.0014</v>
      </c>
      <c r="E48" s="12">
        <f t="shared" si="0"/>
        <v>66181.97970019323</v>
      </c>
      <c r="F48">
        <f t="shared" si="1"/>
        <v>66182</v>
      </c>
      <c r="G48" s="10">
        <f t="shared" si="6"/>
        <v>-0.004328000002715271</v>
      </c>
      <c r="J48" s="10">
        <f>G48</f>
        <v>-0.004328000002715271</v>
      </c>
      <c r="N48" s="10">
        <f t="shared" si="5"/>
        <v>-0.0017873397265734114</v>
      </c>
      <c r="P48" s="14">
        <f t="shared" si="3"/>
        <v>41037.0548</v>
      </c>
      <c r="Q48" s="10">
        <f t="shared" si="4"/>
        <v>6.45495463876523E-06</v>
      </c>
    </row>
    <row r="49" spans="1:17" ht="12.75">
      <c r="A49" s="77" t="s">
        <v>81</v>
      </c>
      <c r="B49" s="30" t="s">
        <v>34</v>
      </c>
      <c r="C49" s="88">
        <v>56489.419</v>
      </c>
      <c r="D49" s="77">
        <v>0.0009</v>
      </c>
      <c r="E49" s="12">
        <f t="shared" si="0"/>
        <v>68216.95183955273</v>
      </c>
      <c r="F49">
        <f t="shared" si="1"/>
        <v>68217</v>
      </c>
      <c r="G49" s="10">
        <f t="shared" si="6"/>
        <v>-0.010267999998177402</v>
      </c>
      <c r="J49" s="10">
        <f>G49</f>
        <v>-0.010267999998177402</v>
      </c>
      <c r="N49" s="10">
        <f t="shared" si="5"/>
        <v>-0.009058219940168394</v>
      </c>
      <c r="P49" s="14">
        <f t="shared" si="3"/>
        <v>41470.919</v>
      </c>
      <c r="Q49" s="10">
        <f t="shared" si="4"/>
        <v>1.4635677887562785E-06</v>
      </c>
    </row>
    <row r="50" spans="1:17" ht="12.75">
      <c r="A50" s="80" t="s">
        <v>0</v>
      </c>
      <c r="B50" s="81" t="s">
        <v>34</v>
      </c>
      <c r="C50" s="89">
        <v>57462.4675</v>
      </c>
      <c r="D50" s="82">
        <v>0.0003</v>
      </c>
      <c r="E50" s="12">
        <f t="shared" si="0"/>
        <v>72780.88356691242</v>
      </c>
      <c r="F50">
        <f t="shared" si="1"/>
        <v>72781</v>
      </c>
      <c r="G50" s="10">
        <f t="shared" si="6"/>
        <v>-0.02482400000008056</v>
      </c>
      <c r="J50" s="10">
        <f>G50</f>
        <v>-0.02482400000008056</v>
      </c>
      <c r="N50" s="10">
        <f t="shared" si="5"/>
        <v>-0.025364999937636523</v>
      </c>
      <c r="P50" s="14">
        <f t="shared" si="3"/>
        <v>42443.9675</v>
      </c>
      <c r="Q50" s="10">
        <f t="shared" si="4"/>
        <v>2.9268093243555667E-07</v>
      </c>
    </row>
  </sheetData>
  <sheetProtection/>
  <hyperlinks>
    <hyperlink ref="H196" r:id="rId1" display="http://vsolj.cetus-net.org/bulletin.html"/>
    <hyperlink ref="H189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PageLayoutView="0" workbookViewId="0" topLeftCell="A1">
      <selection activeCell="A4" sqref="A4"/>
    </sheetView>
  </sheetViews>
  <sheetFormatPr defaultColWidth="10.28125" defaultRowHeight="12.75"/>
  <cols>
    <col min="1" max="1" width="15.7109375" style="0" customWidth="1"/>
    <col min="2" max="2" width="4.140625" style="0" customWidth="1"/>
    <col min="3" max="3" width="11.8515625" style="10" customWidth="1"/>
    <col min="4" max="4" width="9.421875" style="10" customWidth="1"/>
    <col min="5" max="5" width="9.140625" style="12" customWidth="1"/>
    <col min="6" max="6" width="9.140625" style="0" customWidth="1"/>
    <col min="7" max="7" width="8.140625" style="10" customWidth="1"/>
    <col min="8" max="14" width="8.57421875" style="10" customWidth="1"/>
    <col min="15" max="15" width="8.00390625" style="10" customWidth="1"/>
    <col min="16" max="16" width="7.7109375" style="10" customWidth="1"/>
    <col min="17" max="17" width="10.421875" style="14" customWidth="1"/>
    <col min="18" max="18" width="9.140625" style="13" customWidth="1"/>
    <col min="19" max="19" width="18.7109375" style="13" bestFit="1" customWidth="1"/>
  </cols>
  <sheetData>
    <row r="1" spans="1:19" ht="20.25">
      <c r="A1" s="1" t="s">
        <v>62</v>
      </c>
      <c r="B1" s="1"/>
      <c r="D1"/>
      <c r="E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2.75">
      <c r="A2" t="s">
        <v>29</v>
      </c>
      <c r="B2" t="s">
        <v>31</v>
      </c>
      <c r="C2"/>
      <c r="D2"/>
      <c r="E2" t="s">
        <v>60</v>
      </c>
      <c r="F2" t="s">
        <v>61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3:19" ht="13.5" thickBot="1">
      <c r="C3" s="17" t="s">
        <v>54</v>
      </c>
      <c r="D3"/>
      <c r="E3"/>
      <c r="G3"/>
      <c r="H3"/>
      <c r="I3"/>
      <c r="J3"/>
      <c r="K3"/>
      <c r="L3"/>
      <c r="M3"/>
      <c r="N3"/>
      <c r="O3"/>
      <c r="P3"/>
      <c r="Q3"/>
      <c r="R3"/>
      <c r="S3"/>
    </row>
    <row r="4" spans="1:19" ht="14.25" thickBot="1" thickTop="1">
      <c r="A4" s="7" t="s">
        <v>4</v>
      </c>
      <c r="B4" s="7"/>
      <c r="C4" s="2">
        <v>41945.292</v>
      </c>
      <c r="D4" s="3">
        <v>0.542</v>
      </c>
      <c r="E4"/>
      <c r="G4"/>
      <c r="H4"/>
      <c r="I4"/>
      <c r="J4"/>
      <c r="K4"/>
      <c r="L4"/>
      <c r="M4"/>
      <c r="N4"/>
      <c r="O4"/>
      <c r="P4"/>
      <c r="Q4"/>
      <c r="R4"/>
      <c r="S4"/>
    </row>
    <row r="5" spans="3:19" ht="13.5" thickTop="1">
      <c r="C5"/>
      <c r="D5"/>
      <c r="E5"/>
      <c r="G5"/>
      <c r="H5"/>
      <c r="I5"/>
      <c r="J5"/>
      <c r="K5"/>
      <c r="L5"/>
      <c r="M5"/>
      <c r="N5"/>
      <c r="O5"/>
      <c r="P5"/>
      <c r="Q5"/>
      <c r="R5"/>
      <c r="S5"/>
    </row>
    <row r="6" spans="1:19" ht="12.75">
      <c r="A6" s="7" t="s">
        <v>5</v>
      </c>
      <c r="B6" s="7"/>
      <c r="C6"/>
      <c r="D6"/>
      <c r="E6"/>
      <c r="G6"/>
      <c r="H6"/>
      <c r="I6"/>
      <c r="J6"/>
      <c r="K6"/>
      <c r="L6"/>
      <c r="M6"/>
      <c r="N6"/>
      <c r="O6"/>
      <c r="P6"/>
      <c r="Q6"/>
      <c r="R6"/>
      <c r="S6"/>
    </row>
    <row r="7" spans="1:19" ht="12.75">
      <c r="A7" t="s">
        <v>6</v>
      </c>
      <c r="C7" s="10">
        <v>41945.292</v>
      </c>
      <c r="D7"/>
      <c r="E7"/>
      <c r="G7"/>
      <c r="H7"/>
      <c r="I7"/>
      <c r="J7"/>
      <c r="K7"/>
      <c r="L7"/>
      <c r="M7"/>
      <c r="N7"/>
      <c r="O7"/>
      <c r="P7"/>
      <c r="Q7"/>
      <c r="R7"/>
      <c r="S7"/>
    </row>
    <row r="8" spans="1:19" ht="12.75">
      <c r="A8" t="s">
        <v>7</v>
      </c>
      <c r="C8" s="15">
        <v>0.54199609</v>
      </c>
      <c r="D8"/>
      <c r="E8"/>
      <c r="G8"/>
      <c r="H8"/>
      <c r="I8"/>
      <c r="J8"/>
      <c r="K8"/>
      <c r="L8"/>
      <c r="M8"/>
      <c r="N8"/>
      <c r="O8"/>
      <c r="P8"/>
      <c r="Q8"/>
      <c r="R8"/>
      <c r="S8"/>
    </row>
    <row r="9" spans="1:19" ht="12.75">
      <c r="A9" s="24" t="s">
        <v>46</v>
      </c>
      <c r="C9" s="25">
        <f>SUM(R22:R33)</f>
        <v>0.039533276616432224</v>
      </c>
      <c r="E9" s="10" t="s">
        <v>52</v>
      </c>
      <c r="F9" s="10">
        <f>SQRT(C9)/COUNT(R21:R34)</f>
        <v>0.015294597533335081</v>
      </c>
      <c r="G9" t="s">
        <v>53</v>
      </c>
      <c r="H9"/>
      <c r="I9"/>
      <c r="J9"/>
      <c r="K9"/>
      <c r="L9"/>
      <c r="M9"/>
      <c r="N9"/>
      <c r="O9"/>
      <c r="P9"/>
      <c r="Q9"/>
      <c r="R9"/>
      <c r="S9"/>
    </row>
    <row r="10" spans="3:19" ht="13.5" thickBot="1">
      <c r="C10" s="6" t="s">
        <v>24</v>
      </c>
      <c r="D10" s="6" t="s">
        <v>25</v>
      </c>
      <c r="E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>
      <c r="A11" t="s">
        <v>20</v>
      </c>
      <c r="C11">
        <f>INTERCEPT(G21:G992,F21:F992)</f>
        <v>0.025281185712279677</v>
      </c>
      <c r="D11" s="5"/>
      <c r="E11"/>
      <c r="G11"/>
      <c r="H11"/>
      <c r="I11"/>
      <c r="J11"/>
      <c r="K11"/>
      <c r="L11"/>
      <c r="M11"/>
      <c r="N11"/>
      <c r="O11"/>
      <c r="P11"/>
      <c r="Q11"/>
      <c r="R11"/>
      <c r="S11"/>
    </row>
    <row r="12" spans="1:19" ht="12.75">
      <c r="A12" t="s">
        <v>21</v>
      </c>
      <c r="C12">
        <f>SLOPE(G21:G992,F21:F992)</f>
        <v>-3.2729594049732184E-06</v>
      </c>
      <c r="D12" s="5"/>
      <c r="E12"/>
      <c r="G12"/>
      <c r="H12"/>
      <c r="I12"/>
      <c r="J12"/>
      <c r="K12"/>
      <c r="L12"/>
      <c r="M12"/>
      <c r="N12"/>
      <c r="O12"/>
      <c r="P12"/>
      <c r="Q12"/>
      <c r="R12"/>
      <c r="S12"/>
    </row>
    <row r="13" spans="1:19" ht="12.75">
      <c r="A13" t="s">
        <v>23</v>
      </c>
      <c r="C13" s="5" t="s">
        <v>18</v>
      </c>
      <c r="D13" s="5"/>
      <c r="E13"/>
      <c r="G13"/>
      <c r="H13"/>
      <c r="I13"/>
      <c r="J13"/>
      <c r="K13"/>
      <c r="L13"/>
      <c r="M13"/>
      <c r="N13"/>
      <c r="O13"/>
      <c r="P13"/>
      <c r="Q13"/>
      <c r="R13"/>
      <c r="S13"/>
    </row>
    <row r="14" spans="1:19" ht="12.75">
      <c r="A14" t="s">
        <v>28</v>
      </c>
      <c r="C14"/>
      <c r="D14"/>
      <c r="E14"/>
      <c r="G14"/>
      <c r="H14"/>
      <c r="I14"/>
      <c r="J14"/>
      <c r="K14"/>
      <c r="L14"/>
      <c r="M14"/>
      <c r="N14"/>
      <c r="O14"/>
      <c r="P14"/>
      <c r="Q14"/>
      <c r="R14"/>
      <c r="S14"/>
    </row>
    <row r="15" spans="1:19" ht="12.75">
      <c r="A15" s="4" t="s">
        <v>22</v>
      </c>
      <c r="B15" s="4"/>
      <c r="C15" s="28">
        <f>(C7+C11)+(C8+C12)*INT(MAX(F21:F3533))</f>
        <v>53847.47954339718</v>
      </c>
      <c r="D15">
        <f>MAX(C21:C43)</f>
        <v>53847.4224</v>
      </c>
      <c r="E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:19" ht="12.75">
      <c r="A16" s="7" t="s">
        <v>8</v>
      </c>
      <c r="B16" s="7"/>
      <c r="C16" s="36">
        <f>+C8+C12</f>
        <v>0.5419928170405951</v>
      </c>
      <c r="D16">
        <f>+C$8+D$12+2*D$13*MAX(G21:G43)</f>
        <v>0.54199609</v>
      </c>
      <c r="E16"/>
      <c r="G16"/>
      <c r="H16"/>
      <c r="I16"/>
      <c r="J16"/>
      <c r="K16"/>
      <c r="L16"/>
      <c r="M16"/>
      <c r="N16"/>
      <c r="O16"/>
      <c r="P16"/>
      <c r="Q16"/>
      <c r="R16"/>
      <c r="S16"/>
    </row>
    <row r="17" spans="1:19" ht="13.5" thickBot="1">
      <c r="A17" s="37" t="s">
        <v>57</v>
      </c>
      <c r="C17">
        <f>COUNT(C21:C2191)</f>
        <v>18</v>
      </c>
      <c r="D17"/>
      <c r="E17"/>
      <c r="G17"/>
      <c r="H17"/>
      <c r="I17"/>
      <c r="J17"/>
      <c r="K17"/>
      <c r="L17"/>
      <c r="M17"/>
      <c r="N17"/>
      <c r="O17"/>
      <c r="P17"/>
      <c r="Q17"/>
      <c r="R17"/>
      <c r="S17"/>
    </row>
    <row r="18" spans="1:19" ht="14.25" thickBot="1" thickTop="1">
      <c r="A18" s="7" t="s">
        <v>9</v>
      </c>
      <c r="B18" s="7"/>
      <c r="C18" s="2">
        <f>+C15</f>
        <v>53847.47954339718</v>
      </c>
      <c r="D18" s="3">
        <f>+C16</f>
        <v>0.5419928170405951</v>
      </c>
      <c r="E18"/>
      <c r="G18"/>
      <c r="H18"/>
      <c r="I18"/>
      <c r="J18"/>
      <c r="K18"/>
      <c r="L18"/>
      <c r="M18"/>
      <c r="N18"/>
      <c r="O18"/>
      <c r="P18"/>
      <c r="Q18" t="s">
        <v>59</v>
      </c>
      <c r="R18" s="10">
        <f>SUM(R22:R38)</f>
        <v>0.06411016417524315</v>
      </c>
      <c r="S18"/>
    </row>
    <row r="19" spans="3:19" ht="13.5" thickTop="1">
      <c r="C19"/>
      <c r="D19"/>
      <c r="E19"/>
      <c r="G19"/>
      <c r="H19"/>
      <c r="I19"/>
      <c r="J19"/>
      <c r="K19"/>
      <c r="L19"/>
      <c r="M19"/>
      <c r="N19"/>
      <c r="O19"/>
      <c r="P19"/>
      <c r="Q19"/>
      <c r="R19"/>
      <c r="S19"/>
    </row>
    <row r="20" spans="1:19" ht="13.5" thickBot="1">
      <c r="A20" s="6" t="s">
        <v>10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6" t="s">
        <v>15</v>
      </c>
      <c r="H20" s="9" t="s">
        <v>16</v>
      </c>
      <c r="I20" s="9" t="s">
        <v>35</v>
      </c>
      <c r="J20" s="9" t="s">
        <v>38</v>
      </c>
      <c r="K20" s="9" t="s">
        <v>39</v>
      </c>
      <c r="L20" s="9" t="s">
        <v>50</v>
      </c>
      <c r="M20" s="9" t="s">
        <v>51</v>
      </c>
      <c r="N20" s="9" t="s">
        <v>42</v>
      </c>
      <c r="O20" s="9" t="s">
        <v>27</v>
      </c>
      <c r="P20" s="8" t="s">
        <v>26</v>
      </c>
      <c r="Q20" s="6" t="s">
        <v>19</v>
      </c>
      <c r="R20" s="23" t="s">
        <v>45</v>
      </c>
      <c r="S20"/>
    </row>
    <row r="21" spans="1:17" ht="12.75">
      <c r="A21" t="s">
        <v>16</v>
      </c>
      <c r="B21" s="30"/>
      <c r="C21" s="10">
        <f>+C4</f>
        <v>41945.292</v>
      </c>
      <c r="D21" s="11" t="s">
        <v>18</v>
      </c>
      <c r="E21" s="12">
        <f>+(C21-C$7)/C$8</f>
        <v>0</v>
      </c>
      <c r="F21">
        <f>ROUND(2*E21,0)/2</f>
        <v>0</v>
      </c>
      <c r="G21" s="10">
        <f>+C21-(C$7+F21*C$8)</f>
        <v>0</v>
      </c>
      <c r="H21" s="10">
        <f>+G21</f>
        <v>0</v>
      </c>
      <c r="O21" s="10">
        <f>+C$11+C$12*F21</f>
        <v>0.025281185712279677</v>
      </c>
      <c r="Q21" s="14">
        <f>+C21-15018.5</f>
        <v>26926.792</v>
      </c>
    </row>
    <row r="22" spans="1:18" ht="12.75">
      <c r="A22" t="s">
        <v>32</v>
      </c>
      <c r="B22" s="30" t="s">
        <v>33</v>
      </c>
      <c r="C22" s="34">
        <v>51243.9885</v>
      </c>
      <c r="D22" s="11">
        <v>0.0015</v>
      </c>
      <c r="E22" s="12">
        <f aca="true" t="shared" si="0" ref="E22:E38">+(C22-C$7)/C$8</f>
        <v>17156.390371746034</v>
      </c>
      <c r="F22">
        <f aca="true" t="shared" si="1" ref="F22:F38">ROUND(2*E22,0)/2</f>
        <v>17156.5</v>
      </c>
      <c r="J22" s="10">
        <f>+C22-(C$7+F22*C$8)</f>
        <v>-0.059418085002107546</v>
      </c>
      <c r="O22" s="10">
        <f aca="true" t="shared" si="2" ref="O22:O38">+C$11+C$12*F22</f>
        <v>-0.030871342319143347</v>
      </c>
      <c r="Q22" s="14">
        <f aca="true" t="shared" si="3" ref="Q22:Q38">+C22-15018.5</f>
        <v>36225.4885</v>
      </c>
      <c r="R22" s="10">
        <f aca="true" t="shared" si="4" ref="R22:R38">+(O22-G22)^2</f>
        <v>0.0009530397765857309</v>
      </c>
    </row>
    <row r="23" spans="1:19" ht="12.75">
      <c r="A23" t="s">
        <v>35</v>
      </c>
      <c r="B23" s="30" t="s">
        <v>36</v>
      </c>
      <c r="C23" s="10">
        <v>51275.214</v>
      </c>
      <c r="D23" s="11"/>
      <c r="E23" s="12">
        <f t="shared" si="0"/>
        <v>17214.0024109768</v>
      </c>
      <c r="F23">
        <f t="shared" si="1"/>
        <v>17214</v>
      </c>
      <c r="G23" s="10">
        <f aca="true" t="shared" si="5" ref="G23:G38">+C23-(C$7+F23*C$8)</f>
        <v>0.0013067399995634332</v>
      </c>
      <c r="I23" s="10">
        <f>+G23</f>
        <v>0.0013067399995634332</v>
      </c>
      <c r="O23" s="10">
        <f t="shared" si="2"/>
        <v>-0.031059537484929303</v>
      </c>
      <c r="Q23" s="14">
        <f t="shared" si="3"/>
        <v>36256.714</v>
      </c>
      <c r="R23" s="10">
        <f t="shared" si="4"/>
        <v>0.0010475759182031815</v>
      </c>
      <c r="S23" s="16"/>
    </row>
    <row r="24" spans="1:18" ht="12.75">
      <c r="A24" s="26" t="s">
        <v>35</v>
      </c>
      <c r="B24" s="30" t="s">
        <v>34</v>
      </c>
      <c r="C24" s="10">
        <v>51275.756</v>
      </c>
      <c r="D24" s="11"/>
      <c r="E24" s="12">
        <f t="shared" si="0"/>
        <v>17215.002418190874</v>
      </c>
      <c r="F24">
        <f t="shared" si="1"/>
        <v>17215</v>
      </c>
      <c r="G24" s="10">
        <f t="shared" si="5"/>
        <v>0.0013106499973218888</v>
      </c>
      <c r="I24" s="10">
        <f>G24</f>
        <v>0.0013106499973218888</v>
      </c>
      <c r="O24" s="10">
        <f t="shared" si="2"/>
        <v>-0.031062810444334274</v>
      </c>
      <c r="Q24" s="14">
        <f t="shared" si="3"/>
        <v>36257.256</v>
      </c>
      <c r="R24" s="10">
        <f t="shared" si="4"/>
        <v>0.0010480409409674763</v>
      </c>
    </row>
    <row r="25" spans="1:18" ht="12.75">
      <c r="A25" s="26" t="s">
        <v>35</v>
      </c>
      <c r="B25" s="30" t="s">
        <v>33</v>
      </c>
      <c r="C25" s="10">
        <v>51275.9692</v>
      </c>
      <c r="D25" s="11"/>
      <c r="E25" s="12">
        <f t="shared" si="0"/>
        <v>17215.395778962164</v>
      </c>
      <c r="F25">
        <f t="shared" si="1"/>
        <v>17215.5</v>
      </c>
      <c r="G25" s="10">
        <f t="shared" si="5"/>
        <v>-0.05648739499883959</v>
      </c>
      <c r="I25" s="10">
        <f>G25</f>
        <v>-0.05648739499883959</v>
      </c>
      <c r="O25" s="10">
        <f t="shared" si="2"/>
        <v>-0.031064446924036766</v>
      </c>
      <c r="Q25" s="14">
        <f t="shared" si="3"/>
        <v>36257.4692</v>
      </c>
      <c r="R25" s="10">
        <f t="shared" si="4"/>
        <v>0.0006463262888141206</v>
      </c>
    </row>
    <row r="26" spans="1:19" ht="12.75">
      <c r="A26" s="26" t="s">
        <v>32</v>
      </c>
      <c r="B26" s="30" t="s">
        <v>34</v>
      </c>
      <c r="C26" s="10">
        <v>51310.7184</v>
      </c>
      <c r="D26" s="11">
        <v>0.0009</v>
      </c>
      <c r="E26" s="12">
        <f t="shared" si="0"/>
        <v>17279.50915660664</v>
      </c>
      <c r="F26">
        <f t="shared" si="1"/>
        <v>17279.5</v>
      </c>
      <c r="G26" s="10">
        <f t="shared" si="5"/>
        <v>0.004962844992405735</v>
      </c>
      <c r="J26" s="10">
        <f>+G26</f>
        <v>0.004962844992405735</v>
      </c>
      <c r="O26" s="10">
        <f t="shared" si="2"/>
        <v>-0.031273916325955047</v>
      </c>
      <c r="Q26" s="14">
        <f t="shared" si="3"/>
        <v>36292.2184</v>
      </c>
      <c r="R26" s="10">
        <f t="shared" si="4"/>
        <v>0.0013131028708438482</v>
      </c>
      <c r="S26" s="16"/>
    </row>
    <row r="27" spans="1:19" ht="12.75">
      <c r="A27" s="26" t="s">
        <v>35</v>
      </c>
      <c r="B27" s="30" t="s">
        <v>37</v>
      </c>
      <c r="C27" s="10">
        <v>51349.731</v>
      </c>
      <c r="D27" s="11"/>
      <c r="E27" s="12">
        <f t="shared" si="0"/>
        <v>17351.488642657918</v>
      </c>
      <c r="F27">
        <f t="shared" si="1"/>
        <v>17351.5</v>
      </c>
      <c r="G27" s="10">
        <f t="shared" si="5"/>
        <v>-0.00615563500468852</v>
      </c>
      <c r="I27" s="10">
        <f>+G27</f>
        <v>-0.00615563500468852</v>
      </c>
      <c r="O27" s="10">
        <f t="shared" si="2"/>
        <v>-0.03150956940311312</v>
      </c>
      <c r="Q27" s="14">
        <f t="shared" si="3"/>
        <v>36331.231</v>
      </c>
      <c r="R27" s="10">
        <f t="shared" si="4"/>
        <v>0.0006428219894796182</v>
      </c>
      <c r="S27" s="16"/>
    </row>
    <row r="28" spans="1:18" ht="12.75">
      <c r="A28" s="26" t="s">
        <v>40</v>
      </c>
      <c r="B28" s="30" t="s">
        <v>33</v>
      </c>
      <c r="C28" s="10">
        <v>52426.4162</v>
      </c>
      <c r="D28" s="11"/>
      <c r="E28" s="12">
        <f t="shared" si="0"/>
        <v>19338.00703248615</v>
      </c>
      <c r="F28">
        <f t="shared" si="1"/>
        <v>19338</v>
      </c>
      <c r="G28" s="10">
        <f t="shared" si="5"/>
        <v>0.003811579998000525</v>
      </c>
      <c r="K28" s="10">
        <f>G28</f>
        <v>0.003811579998000525</v>
      </c>
      <c r="O28" s="10">
        <f t="shared" si="2"/>
        <v>-0.03801130326109242</v>
      </c>
      <c r="Q28" s="14">
        <f t="shared" si="3"/>
        <v>37407.9162</v>
      </c>
      <c r="R28" s="10">
        <f t="shared" si="4"/>
        <v>0.0017491535641037171</v>
      </c>
    </row>
    <row r="29" spans="1:18" ht="12.75">
      <c r="A29" s="29" t="s">
        <v>44</v>
      </c>
      <c r="B29" s="20" t="s">
        <v>34</v>
      </c>
      <c r="C29" s="21">
        <v>53114.852</v>
      </c>
      <c r="D29" s="22">
        <v>0.0004</v>
      </c>
      <c r="E29" s="12">
        <f t="shared" si="0"/>
        <v>20608.192948402997</v>
      </c>
      <c r="F29">
        <f t="shared" si="1"/>
        <v>20608</v>
      </c>
      <c r="G29" s="10">
        <f t="shared" si="5"/>
        <v>0.10457727999892086</v>
      </c>
      <c r="J29" s="10">
        <f>G29</f>
        <v>0.10457727999892086</v>
      </c>
      <c r="O29" s="10">
        <f t="shared" si="2"/>
        <v>-0.0421679617054084</v>
      </c>
      <c r="Q29" s="14">
        <f t="shared" si="3"/>
        <v>38096.352</v>
      </c>
      <c r="R29" s="10">
        <f t="shared" si="4"/>
        <v>0.021534165962862017</v>
      </c>
    </row>
    <row r="30" spans="1:18" ht="12.75">
      <c r="A30" s="35" t="s">
        <v>56</v>
      </c>
      <c r="B30" s="20"/>
      <c r="C30" s="31">
        <v>53117.4099</v>
      </c>
      <c r="D30" s="31">
        <v>0.0018</v>
      </c>
      <c r="E30" s="12">
        <f t="shared" si="0"/>
        <v>20612.91235514263</v>
      </c>
      <c r="F30">
        <f t="shared" si="1"/>
        <v>20613</v>
      </c>
      <c r="G30" s="10">
        <f t="shared" si="5"/>
        <v>-0.04750317000434734</v>
      </c>
      <c r="J30" s="10">
        <f>G30</f>
        <v>-0.04750317000434734</v>
      </c>
      <c r="O30" s="10">
        <f t="shared" si="2"/>
        <v>-0.04218432650243327</v>
      </c>
      <c r="Q30" s="14">
        <f t="shared" si="3"/>
        <v>38098.9099</v>
      </c>
      <c r="R30" s="10">
        <f t="shared" si="4"/>
        <v>2.829009619785352E-05</v>
      </c>
    </row>
    <row r="31" spans="1:19" ht="12.75">
      <c r="A31" s="31" t="s">
        <v>49</v>
      </c>
      <c r="B31" s="30" t="s">
        <v>33</v>
      </c>
      <c r="C31" s="10">
        <v>53123.3805</v>
      </c>
      <c r="D31" s="11">
        <v>0.0007</v>
      </c>
      <c r="E31" s="12">
        <f t="shared" si="0"/>
        <v>20623.928301770586</v>
      </c>
      <c r="F31">
        <f t="shared" si="1"/>
        <v>20624</v>
      </c>
      <c r="G31" s="10">
        <f t="shared" si="5"/>
        <v>-0.03886015999887604</v>
      </c>
      <c r="K31" s="10">
        <f>G31</f>
        <v>-0.03886015999887604</v>
      </c>
      <c r="O31" s="10">
        <f t="shared" si="2"/>
        <v>-0.042220329055887976</v>
      </c>
      <c r="Q31" s="14">
        <f t="shared" si="3"/>
        <v>38104.8805</v>
      </c>
      <c r="R31" s="10">
        <f t="shared" si="4"/>
        <v>1.1290736091700463E-05</v>
      </c>
      <c r="S31" s="16"/>
    </row>
    <row r="32" spans="1:18" ht="12.75">
      <c r="A32" s="27" t="s">
        <v>39</v>
      </c>
      <c r="B32" s="30" t="s">
        <v>34</v>
      </c>
      <c r="C32" s="10">
        <v>53265.59</v>
      </c>
      <c r="D32" s="11"/>
      <c r="E32" s="12">
        <f t="shared" si="0"/>
        <v>20886.309345884754</v>
      </c>
      <c r="F32">
        <f t="shared" si="1"/>
        <v>20886.5</v>
      </c>
      <c r="G32" s="10">
        <f t="shared" si="5"/>
        <v>-0.103333785009454</v>
      </c>
      <c r="K32" s="10">
        <f>G32</f>
        <v>-0.103333785009454</v>
      </c>
      <c r="O32" s="10">
        <f t="shared" si="2"/>
        <v>-0.04307948089969345</v>
      </c>
      <c r="Q32" s="14">
        <f t="shared" si="3"/>
        <v>38247.09</v>
      </c>
      <c r="R32" s="10">
        <f t="shared" si="4"/>
        <v>0.003630581163751508</v>
      </c>
    </row>
    <row r="33" spans="1:18" ht="12.75">
      <c r="A33" s="27" t="s">
        <v>39</v>
      </c>
      <c r="B33" s="30" t="s">
        <v>34</v>
      </c>
      <c r="C33" s="10">
        <v>53266.651</v>
      </c>
      <c r="D33" s="11"/>
      <c r="E33" s="12">
        <f t="shared" si="0"/>
        <v>20888.266924582418</v>
      </c>
      <c r="F33">
        <f t="shared" si="1"/>
        <v>20888.5</v>
      </c>
      <c r="G33" s="10">
        <f t="shared" si="5"/>
        <v>-0.12632596500043292</v>
      </c>
      <c r="K33" s="10">
        <f>G33</f>
        <v>-0.12632596500043292</v>
      </c>
      <c r="O33" s="10">
        <f t="shared" si="2"/>
        <v>-0.04308602681850339</v>
      </c>
      <c r="Q33" s="14">
        <f t="shared" si="3"/>
        <v>38248.151</v>
      </c>
      <c r="R33" s="10">
        <f t="shared" si="4"/>
        <v>0.006928887308531449</v>
      </c>
    </row>
    <row r="34" spans="1:18" ht="12.75">
      <c r="A34" s="27" t="s">
        <v>39</v>
      </c>
      <c r="B34" s="30" t="s">
        <v>34</v>
      </c>
      <c r="C34" s="10">
        <v>53269.6381</v>
      </c>
      <c r="D34" s="11"/>
      <c r="E34" s="12">
        <f t="shared" si="0"/>
        <v>20893.77821895356</v>
      </c>
      <c r="F34">
        <f t="shared" si="1"/>
        <v>20894</v>
      </c>
      <c r="G34" s="10">
        <f t="shared" si="5"/>
        <v>-0.1202044600067893</v>
      </c>
      <c r="K34" s="10">
        <f>G34</f>
        <v>-0.1202044600067893</v>
      </c>
      <c r="O34" s="10">
        <f t="shared" si="2"/>
        <v>-0.04310402809523074</v>
      </c>
      <c r="Q34" s="14">
        <f t="shared" si="3"/>
        <v>38251.1381</v>
      </c>
      <c r="R34" s="10">
        <f t="shared" si="4"/>
        <v>0.005944476600948878</v>
      </c>
    </row>
    <row r="35" spans="1:18" ht="12.75">
      <c r="A35" s="32" t="s">
        <v>55</v>
      </c>
      <c r="B35" s="5"/>
      <c r="C35" s="10">
        <v>53499.8972</v>
      </c>
      <c r="D35" s="11">
        <v>0.0001</v>
      </c>
      <c r="E35" s="12">
        <f t="shared" si="0"/>
        <v>21318.613571548085</v>
      </c>
      <c r="F35">
        <f t="shared" si="1"/>
        <v>21318.5</v>
      </c>
      <c r="G35" s="10">
        <f t="shared" si="5"/>
        <v>0.06155533499986632</v>
      </c>
      <c r="L35" s="10">
        <f>G35</f>
        <v>0.06155533499986632</v>
      </c>
      <c r="O35" s="10">
        <f t="shared" si="2"/>
        <v>-0.04449339936264188</v>
      </c>
      <c r="Q35" s="14">
        <f t="shared" si="3"/>
        <v>38481.3972</v>
      </c>
      <c r="R35" s="10">
        <f t="shared" si="4"/>
        <v>0.011246334059889826</v>
      </c>
    </row>
    <row r="36" spans="1:18" ht="12.75">
      <c r="A36" s="22" t="s">
        <v>58</v>
      </c>
      <c r="B36" s="21"/>
      <c r="C36" s="31">
        <v>53515.4604</v>
      </c>
      <c r="D36" s="31">
        <v>0.0016</v>
      </c>
      <c r="E36" s="12">
        <f t="shared" si="0"/>
        <v>21347.32816983975</v>
      </c>
      <c r="F36">
        <f t="shared" si="1"/>
        <v>21347.5</v>
      </c>
      <c r="G36" s="10">
        <f t="shared" si="5"/>
        <v>-0.09313127499626717</v>
      </c>
      <c r="J36" s="10">
        <f>G36</f>
        <v>-0.09313127499626717</v>
      </c>
      <c r="O36" s="10">
        <f t="shared" si="2"/>
        <v>-0.0445883151853861</v>
      </c>
      <c r="Q36" s="14">
        <f t="shared" si="3"/>
        <v>38496.9604</v>
      </c>
      <c r="R36" s="10">
        <f t="shared" si="4"/>
        <v>0.0023564189472008146</v>
      </c>
    </row>
    <row r="37" spans="1:18" ht="12.75">
      <c r="A37" s="22" t="s">
        <v>58</v>
      </c>
      <c r="B37" s="21"/>
      <c r="C37" s="31">
        <v>53518.4479</v>
      </c>
      <c r="D37" s="31">
        <v>0.0016</v>
      </c>
      <c r="E37" s="12">
        <f t="shared" si="0"/>
        <v>21352.840202223593</v>
      </c>
      <c r="F37">
        <f t="shared" si="1"/>
        <v>21353</v>
      </c>
      <c r="G37" s="10">
        <f t="shared" si="5"/>
        <v>-0.08660977000545245</v>
      </c>
      <c r="J37" s="10">
        <f>G37</f>
        <v>-0.08660977000545245</v>
      </c>
      <c r="O37" s="10">
        <f t="shared" si="2"/>
        <v>-0.04460631646211345</v>
      </c>
      <c r="Q37" s="14">
        <f t="shared" si="3"/>
        <v>38499.9479</v>
      </c>
      <c r="R37" s="10">
        <f t="shared" si="4"/>
        <v>0.0017642901095674371</v>
      </c>
    </row>
    <row r="38" spans="1:18" ht="12.75">
      <c r="A38" s="22" t="s">
        <v>58</v>
      </c>
      <c r="B38" s="21"/>
      <c r="C38" s="31">
        <v>53847.4224</v>
      </c>
      <c r="D38" s="31">
        <v>0.0018</v>
      </c>
      <c r="E38" s="12">
        <f t="shared" si="0"/>
        <v>21959.808603047302</v>
      </c>
      <c r="F38">
        <f t="shared" si="1"/>
        <v>21960</v>
      </c>
      <c r="G38" s="10">
        <f t="shared" si="5"/>
        <v>-0.10373640000034356</v>
      </c>
      <c r="J38" s="10">
        <f>G38</f>
        <v>-0.10373640000034356</v>
      </c>
      <c r="O38" s="10">
        <f t="shared" si="2"/>
        <v>-0.04659300282093219</v>
      </c>
      <c r="Q38" s="14">
        <f t="shared" si="3"/>
        <v>38828.9224</v>
      </c>
      <c r="R38" s="10">
        <f t="shared" si="4"/>
        <v>0.0032653678412039597</v>
      </c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P18" sqref="P18:Q18"/>
    </sheetView>
  </sheetViews>
  <sheetFormatPr defaultColWidth="10.28125" defaultRowHeight="12.75"/>
  <cols>
    <col min="1" max="1" width="15.7109375" style="0" customWidth="1"/>
    <col min="2" max="2" width="4.140625" style="0" customWidth="1"/>
    <col min="3" max="3" width="11.8515625" style="10" customWidth="1"/>
    <col min="4" max="4" width="11.00390625" style="10" customWidth="1"/>
    <col min="5" max="5" width="11.8515625" style="12" customWidth="1"/>
    <col min="6" max="6" width="9.140625" style="0" customWidth="1"/>
    <col min="7" max="7" width="8.140625" style="10" customWidth="1"/>
    <col min="8" max="13" width="8.57421875" style="10" customWidth="1"/>
    <col min="14" max="14" width="8.00390625" style="10" customWidth="1"/>
    <col min="15" max="15" width="7.7109375" style="10" customWidth="1"/>
    <col min="16" max="16" width="10.421875" style="14" customWidth="1"/>
    <col min="17" max="17" width="9.140625" style="13" customWidth="1"/>
    <col min="18" max="18" width="18.7109375" style="13" bestFit="1" customWidth="1"/>
  </cols>
  <sheetData>
    <row r="1" spans="1:18" ht="20.25">
      <c r="A1" s="1" t="s">
        <v>30</v>
      </c>
      <c r="B1" s="1"/>
      <c r="C1" s="17" t="s">
        <v>43</v>
      </c>
      <c r="D1"/>
      <c r="E1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 t="s">
        <v>29</v>
      </c>
      <c r="B2" t="s">
        <v>31</v>
      </c>
      <c r="C2"/>
      <c r="D2"/>
      <c r="E2"/>
      <c r="G2"/>
      <c r="H2"/>
      <c r="I2"/>
      <c r="J2"/>
      <c r="K2"/>
      <c r="L2"/>
      <c r="M2"/>
      <c r="N2"/>
      <c r="O2"/>
      <c r="P2"/>
      <c r="Q2"/>
      <c r="R2"/>
    </row>
    <row r="3" spans="3:18" ht="13.5" thickBot="1">
      <c r="C3"/>
      <c r="D3"/>
      <c r="E3"/>
      <c r="G3"/>
      <c r="H3"/>
      <c r="I3"/>
      <c r="J3"/>
      <c r="K3"/>
      <c r="L3"/>
      <c r="M3"/>
      <c r="N3"/>
      <c r="O3"/>
      <c r="P3"/>
      <c r="Q3"/>
      <c r="R3"/>
    </row>
    <row r="4" spans="1:18" ht="14.25" thickBot="1" thickTop="1">
      <c r="A4" s="7" t="s">
        <v>4</v>
      </c>
      <c r="B4" s="7"/>
      <c r="C4" s="2">
        <v>41945.292</v>
      </c>
      <c r="D4" s="3">
        <v>0.542</v>
      </c>
      <c r="E4"/>
      <c r="G4"/>
      <c r="H4"/>
      <c r="I4"/>
      <c r="J4"/>
      <c r="K4"/>
      <c r="L4"/>
      <c r="M4"/>
      <c r="N4"/>
      <c r="O4"/>
      <c r="P4"/>
      <c r="Q4"/>
      <c r="R4"/>
    </row>
    <row r="5" spans="3:18" ht="13.5" thickTop="1">
      <c r="C5"/>
      <c r="D5"/>
      <c r="E5"/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7" t="s">
        <v>5</v>
      </c>
      <c r="B6" s="7"/>
      <c r="C6"/>
      <c r="D6"/>
      <c r="E6"/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 t="s">
        <v>6</v>
      </c>
      <c r="C7" s="10">
        <v>41945.292</v>
      </c>
      <c r="D7" s="17" t="s">
        <v>47</v>
      </c>
      <c r="G7"/>
      <c r="H7"/>
      <c r="I7"/>
      <c r="J7"/>
      <c r="K7"/>
      <c r="L7"/>
      <c r="M7"/>
      <c r="N7"/>
      <c r="O7"/>
      <c r="P7">
        <v>41945.292</v>
      </c>
      <c r="Q7">
        <v>41945.292</v>
      </c>
      <c r="R7"/>
    </row>
    <row r="8" spans="1:18" ht="12.75">
      <c r="A8" t="s">
        <v>7</v>
      </c>
      <c r="C8" s="15">
        <v>0.499979</v>
      </c>
      <c r="D8" s="17" t="s">
        <v>48</v>
      </c>
      <c r="E8" s="15"/>
      <c r="G8"/>
      <c r="H8"/>
      <c r="I8"/>
      <c r="J8"/>
      <c r="K8"/>
      <c r="L8"/>
      <c r="M8"/>
      <c r="N8"/>
      <c r="O8"/>
      <c r="P8">
        <v>0.503582</v>
      </c>
      <c r="Q8">
        <v>0.499979</v>
      </c>
      <c r="R8"/>
    </row>
    <row r="9" spans="1:18" ht="12.75">
      <c r="A9" s="24" t="s">
        <v>46</v>
      </c>
      <c r="C9" s="25">
        <f>SUM(Q22:Q33)</f>
        <v>0.11694093283352452</v>
      </c>
      <c r="E9" s="10" t="s">
        <v>52</v>
      </c>
      <c r="F9" s="10">
        <f>SQRT(C9)/COUNT(Q21:Q34)</f>
        <v>0.02630509803150125</v>
      </c>
      <c r="G9" t="s">
        <v>53</v>
      </c>
      <c r="H9"/>
      <c r="I9"/>
      <c r="J9"/>
      <c r="K9"/>
      <c r="L9"/>
      <c r="M9"/>
      <c r="N9"/>
      <c r="O9"/>
      <c r="P9">
        <v>0.07214945108618916</v>
      </c>
      <c r="Q9">
        <v>0.07316981367637114</v>
      </c>
      <c r="R9"/>
    </row>
    <row r="10" spans="3:18" ht="13.5" thickBot="1">
      <c r="C10" s="6" t="s">
        <v>24</v>
      </c>
      <c r="D10" s="6" t="s">
        <v>25</v>
      </c>
      <c r="E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t="s">
        <v>20</v>
      </c>
      <c r="C11">
        <f>INTERCEPT(G22:G994,F22:F994)</f>
        <v>1.4322943218333182</v>
      </c>
      <c r="D11" s="5"/>
      <c r="E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t="s">
        <v>21</v>
      </c>
      <c r="C12">
        <f>SLOPE(G22:G994,F22:F994)</f>
        <v>-7.109237240522431E-05</v>
      </c>
      <c r="D12" s="5"/>
      <c r="E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t="s">
        <v>23</v>
      </c>
      <c r="C13" s="5" t="s">
        <v>18</v>
      </c>
      <c r="D13" s="5"/>
      <c r="E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t="s">
        <v>28</v>
      </c>
      <c r="C14"/>
      <c r="D14"/>
      <c r="E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" t="s">
        <v>22</v>
      </c>
      <c r="B15" s="4"/>
      <c r="C15">
        <f>+D15+C8/2</f>
        <v>53123.6304895</v>
      </c>
      <c r="D15" s="10">
        <v>53123.3805</v>
      </c>
      <c r="E15"/>
      <c r="G15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7" t="s">
        <v>8</v>
      </c>
      <c r="B16" s="7"/>
      <c r="C16">
        <f>+C8+C12</f>
        <v>0.4999079076275948</v>
      </c>
      <c r="D16">
        <f>+C$8+D$12+2*D$13*MAX(G21:G45)</f>
        <v>0.499979</v>
      </c>
      <c r="E16"/>
      <c r="G16"/>
      <c r="H16"/>
      <c r="I16"/>
      <c r="J16"/>
      <c r="K16"/>
      <c r="L16"/>
      <c r="M16"/>
      <c r="N16"/>
      <c r="O16"/>
      <c r="P16"/>
      <c r="Q16"/>
      <c r="R16"/>
    </row>
    <row r="17" spans="3:18" ht="13.5" thickBot="1">
      <c r="C17"/>
      <c r="D17"/>
      <c r="E17"/>
      <c r="G17"/>
      <c r="H17"/>
      <c r="I17"/>
      <c r="J17"/>
      <c r="K17"/>
      <c r="L17"/>
      <c r="M17"/>
      <c r="N17"/>
      <c r="O17"/>
      <c r="P17"/>
      <c r="Q17"/>
      <c r="R17"/>
    </row>
    <row r="18" spans="1:18" ht="14.25" thickBot="1" thickTop="1">
      <c r="A18" s="7" t="s">
        <v>9</v>
      </c>
      <c r="B18" s="7"/>
      <c r="C18" s="2">
        <f>+C15</f>
        <v>53123.6304895</v>
      </c>
      <c r="D18" s="3">
        <f>+C16</f>
        <v>0.4999079076275948</v>
      </c>
      <c r="E18"/>
      <c r="G18"/>
      <c r="H18"/>
      <c r="I18"/>
      <c r="J18"/>
      <c r="K18"/>
      <c r="L18"/>
      <c r="M18"/>
      <c r="N18"/>
      <c r="O18"/>
      <c r="P18" t="s">
        <v>59</v>
      </c>
      <c r="Q18" s="10">
        <f>SUM(Q22:Q38)</f>
        <v>0.17009095112127293</v>
      </c>
      <c r="R18"/>
    </row>
    <row r="19" spans="3:18" ht="13.5" thickTop="1">
      <c r="C19"/>
      <c r="D19"/>
      <c r="E19"/>
      <c r="G19"/>
      <c r="H19"/>
      <c r="I19"/>
      <c r="J19"/>
      <c r="K19"/>
      <c r="L19"/>
      <c r="M19"/>
      <c r="N19"/>
      <c r="O19"/>
      <c r="P19"/>
      <c r="Q19"/>
      <c r="R19"/>
    </row>
    <row r="20" spans="1:18" ht="13.5" thickBot="1">
      <c r="A20" s="6" t="s">
        <v>10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6" t="s">
        <v>15</v>
      </c>
      <c r="H20" s="9" t="s">
        <v>16</v>
      </c>
      <c r="I20" s="9" t="s">
        <v>35</v>
      </c>
      <c r="J20" s="9" t="s">
        <v>38</v>
      </c>
      <c r="K20" s="9" t="s">
        <v>39</v>
      </c>
      <c r="L20" s="9" t="s">
        <v>50</v>
      </c>
      <c r="M20" s="9" t="s">
        <v>42</v>
      </c>
      <c r="N20" s="9" t="s">
        <v>27</v>
      </c>
      <c r="O20" s="8" t="s">
        <v>26</v>
      </c>
      <c r="P20" s="6" t="s">
        <v>19</v>
      </c>
      <c r="Q20" s="23" t="s">
        <v>45</v>
      </c>
      <c r="R20"/>
    </row>
    <row r="21" spans="1:16" ht="12.75">
      <c r="A21" t="s">
        <v>16</v>
      </c>
      <c r="B21" s="30"/>
      <c r="C21" s="10">
        <f>+C4</f>
        <v>41945.292</v>
      </c>
      <c r="D21" s="11" t="s">
        <v>18</v>
      </c>
      <c r="E21" s="12">
        <f aca="true" t="shared" si="0" ref="E21:E38">+(C21-C$7)/C$8</f>
        <v>0</v>
      </c>
      <c r="F21" s="18">
        <v>-2</v>
      </c>
      <c r="G21" s="10">
        <f aca="true" t="shared" si="1" ref="G21:G38">+C21-(C$7+F21*C$8)</f>
        <v>0.9999580000003334</v>
      </c>
      <c r="H21" s="10">
        <f>+G21</f>
        <v>0.9999580000003334</v>
      </c>
      <c r="N21" s="10">
        <f aca="true" t="shared" si="2" ref="N21:N38">+C$11+C$12*F21</f>
        <v>1.4324365065781286</v>
      </c>
      <c r="P21" s="14">
        <f aca="true" t="shared" si="3" ref="P21:P38">+C21-15018.5</f>
        <v>26926.792</v>
      </c>
    </row>
    <row r="22" spans="1:17" ht="12.75">
      <c r="A22" t="s">
        <v>32</v>
      </c>
      <c r="B22" s="30" t="s">
        <v>33</v>
      </c>
      <c r="C22" s="34">
        <v>51243.9885</v>
      </c>
      <c r="D22" s="11">
        <v>0.0015</v>
      </c>
      <c r="E22" s="12">
        <f t="shared" si="0"/>
        <v>18598.174123313176</v>
      </c>
      <c r="F22">
        <f aca="true" t="shared" si="4" ref="F22:F30">ROUND(2*E22,0)/2</f>
        <v>18598</v>
      </c>
      <c r="G22" s="10">
        <f t="shared" si="1"/>
        <v>0.08705799999734154</v>
      </c>
      <c r="J22" s="19">
        <f>+C22-(C$7+F22*C$8)</f>
        <v>0.08705799999734154</v>
      </c>
      <c r="N22" s="10">
        <f t="shared" si="2"/>
        <v>0.1101183798409564</v>
      </c>
      <c r="P22" s="14">
        <f t="shared" si="3"/>
        <v>36225.4885</v>
      </c>
      <c r="Q22" s="10">
        <f aca="true" t="shared" si="5" ref="Q22:Q38">+(N22-G22)^2</f>
        <v>0.0005317811185317987</v>
      </c>
    </row>
    <row r="23" spans="1:18" ht="12.75">
      <c r="A23" t="s">
        <v>35</v>
      </c>
      <c r="B23" s="30" t="s">
        <v>36</v>
      </c>
      <c r="C23" s="10">
        <v>51275.214</v>
      </c>
      <c r="D23" s="11"/>
      <c r="E23" s="12">
        <f t="shared" si="0"/>
        <v>18660.627746365346</v>
      </c>
      <c r="F23">
        <f t="shared" si="4"/>
        <v>18660.5</v>
      </c>
      <c r="G23" s="10">
        <f t="shared" si="1"/>
        <v>0.06387049999466399</v>
      </c>
      <c r="I23" s="10">
        <f>+G23</f>
        <v>0.06387049999466399</v>
      </c>
      <c r="N23" s="10">
        <f t="shared" si="2"/>
        <v>0.10567510656562984</v>
      </c>
      <c r="P23" s="14">
        <f t="shared" si="3"/>
        <v>36256.714</v>
      </c>
      <c r="Q23" s="10">
        <f t="shared" si="5"/>
        <v>0.0017476251305532412</v>
      </c>
      <c r="R23" s="16"/>
    </row>
    <row r="24" spans="1:17" ht="12.75">
      <c r="A24" s="26" t="s">
        <v>35</v>
      </c>
      <c r="B24" s="30" t="s">
        <v>34</v>
      </c>
      <c r="C24" s="10">
        <v>51275.756</v>
      </c>
      <c r="D24" s="11"/>
      <c r="E24" s="12">
        <f t="shared" si="0"/>
        <v>18661.71179189526</v>
      </c>
      <c r="F24">
        <f t="shared" si="4"/>
        <v>18661.5</v>
      </c>
      <c r="G24" s="10">
        <f t="shared" si="1"/>
        <v>0.10589149999577785</v>
      </c>
      <c r="I24" s="10">
        <f>G24</f>
        <v>0.10589149999577785</v>
      </c>
      <c r="N24" s="10">
        <f t="shared" si="2"/>
        <v>0.10560401419322463</v>
      </c>
      <c r="P24" s="14">
        <f t="shared" si="3"/>
        <v>36257.256</v>
      </c>
      <c r="Q24" s="10">
        <f t="shared" si="5"/>
        <v>8.264808666967033E-08</v>
      </c>
    </row>
    <row r="25" spans="1:17" ht="12.75">
      <c r="A25" s="26" t="s">
        <v>35</v>
      </c>
      <c r="B25" s="30" t="s">
        <v>33</v>
      </c>
      <c r="C25" s="10">
        <v>51275.9692</v>
      </c>
      <c r="D25" s="11"/>
      <c r="E25" s="12">
        <f t="shared" si="0"/>
        <v>18662.13820980481</v>
      </c>
      <c r="F25">
        <f t="shared" si="4"/>
        <v>18662</v>
      </c>
      <c r="G25" s="10">
        <f t="shared" si="1"/>
        <v>0.06910200000129407</v>
      </c>
      <c r="I25" s="10">
        <f>G25</f>
        <v>0.06910200000129407</v>
      </c>
      <c r="N25" s="10">
        <f t="shared" si="2"/>
        <v>0.10556846800702213</v>
      </c>
      <c r="P25" s="14">
        <f t="shared" si="3"/>
        <v>36257.4692</v>
      </c>
      <c r="Q25" s="10">
        <f t="shared" si="5"/>
        <v>0.0013298032888127882</v>
      </c>
    </row>
    <row r="26" spans="1:18" ht="12.75">
      <c r="A26" s="26" t="s">
        <v>32</v>
      </c>
      <c r="B26" s="30" t="s">
        <v>34</v>
      </c>
      <c r="C26" s="10">
        <v>51310.7184</v>
      </c>
      <c r="D26" s="11">
        <v>0.0009</v>
      </c>
      <c r="E26" s="12">
        <f t="shared" si="0"/>
        <v>18731.639528860203</v>
      </c>
      <c r="F26">
        <f t="shared" si="4"/>
        <v>18731.5</v>
      </c>
      <c r="G26" s="10">
        <f t="shared" si="1"/>
        <v>0.06976149999536574</v>
      </c>
      <c r="J26" s="10">
        <f>+G26</f>
        <v>0.06976149999536574</v>
      </c>
      <c r="N26" s="10">
        <f t="shared" si="2"/>
        <v>0.10062754812485908</v>
      </c>
      <c r="P26" s="14">
        <f t="shared" si="3"/>
        <v>36292.2184</v>
      </c>
      <c r="Q26" s="10">
        <f t="shared" si="5"/>
        <v>0.0009527129271321993</v>
      </c>
      <c r="R26" s="16"/>
    </row>
    <row r="27" spans="1:18" ht="12.75">
      <c r="A27" s="26" t="s">
        <v>35</v>
      </c>
      <c r="B27" s="30" t="s">
        <v>37</v>
      </c>
      <c r="C27" s="10">
        <v>51349.731</v>
      </c>
      <c r="D27" s="11"/>
      <c r="E27" s="12">
        <f t="shared" si="0"/>
        <v>18809.66800605625</v>
      </c>
      <c r="F27">
        <f t="shared" si="4"/>
        <v>18809.5</v>
      </c>
      <c r="G27" s="10">
        <f t="shared" si="1"/>
        <v>0.08399949999875389</v>
      </c>
      <c r="I27" s="10">
        <f>+G27</f>
        <v>0.08399949999875389</v>
      </c>
      <c r="N27" s="10">
        <f t="shared" si="2"/>
        <v>0.09508234307725161</v>
      </c>
      <c r="P27" s="14">
        <f t="shared" si="3"/>
        <v>36331.231</v>
      </c>
      <c r="Q27" s="10">
        <f t="shared" si="5"/>
        <v>0.00012282941070260476</v>
      </c>
      <c r="R27" s="16"/>
    </row>
    <row r="28" spans="1:17" ht="12.75">
      <c r="A28" s="26" t="s">
        <v>40</v>
      </c>
      <c r="B28" s="30" t="s">
        <v>33</v>
      </c>
      <c r="C28" s="10">
        <v>52426.4162</v>
      </c>
      <c r="D28" s="11">
        <v>0.0009</v>
      </c>
      <c r="E28" s="12">
        <f t="shared" si="0"/>
        <v>20963.128851411755</v>
      </c>
      <c r="F28">
        <f t="shared" si="4"/>
        <v>20963</v>
      </c>
      <c r="G28" s="10">
        <f t="shared" si="1"/>
        <v>0.06442299999616807</v>
      </c>
      <c r="M28" s="10">
        <f>G28</f>
        <v>0.06442299999616807</v>
      </c>
      <c r="N28" s="10">
        <f t="shared" si="2"/>
        <v>-0.05801508089739893</v>
      </c>
      <c r="P28" s="14">
        <f t="shared" si="3"/>
        <v>37407.9162</v>
      </c>
      <c r="Q28" s="10">
        <f t="shared" si="5"/>
        <v>0.014991083652899657</v>
      </c>
    </row>
    <row r="29" spans="1:18" ht="12.75">
      <c r="A29" s="29" t="s">
        <v>44</v>
      </c>
      <c r="B29" s="20" t="s">
        <v>34</v>
      </c>
      <c r="C29" s="21">
        <v>53114.852</v>
      </c>
      <c r="D29" s="11">
        <v>0.0007</v>
      </c>
      <c r="E29" s="12">
        <f t="shared" si="0"/>
        <v>22340.05828244786</v>
      </c>
      <c r="F29">
        <f t="shared" si="4"/>
        <v>22340</v>
      </c>
      <c r="G29" s="10">
        <f t="shared" si="1"/>
        <v>0.0291399999987334</v>
      </c>
      <c r="J29" s="10">
        <f>G29</f>
        <v>0.0291399999987334</v>
      </c>
      <c r="N29" s="10">
        <f t="shared" si="2"/>
        <v>-0.1559092776993929</v>
      </c>
      <c r="P29" s="14">
        <f t="shared" si="3"/>
        <v>38096.352</v>
      </c>
      <c r="Q29" s="10">
        <f t="shared" si="5"/>
        <v>0.03424323517659826</v>
      </c>
      <c r="R29" s="16"/>
    </row>
    <row r="30" spans="1:17" ht="12.75">
      <c r="A30" s="35" t="s">
        <v>56</v>
      </c>
      <c r="B30" s="20"/>
      <c r="C30" s="31">
        <v>53117.4099</v>
      </c>
      <c r="D30" s="11">
        <v>0.001</v>
      </c>
      <c r="E30" s="12">
        <f t="shared" si="0"/>
        <v>22345.174297320482</v>
      </c>
      <c r="F30">
        <f t="shared" si="4"/>
        <v>22345</v>
      </c>
      <c r="G30" s="10">
        <f t="shared" si="1"/>
        <v>0.08714499999769032</v>
      </c>
      <c r="J30" s="10">
        <f>G30</f>
        <v>0.08714499999769032</v>
      </c>
      <c r="N30" s="10">
        <f t="shared" si="2"/>
        <v>-0.15626473956141895</v>
      </c>
      <c r="P30" s="14">
        <f t="shared" si="3"/>
        <v>38098.9099</v>
      </c>
      <c r="Q30" s="10">
        <f t="shared" si="5"/>
        <v>0.05924830131223341</v>
      </c>
    </row>
    <row r="31" spans="1:17" ht="12.75">
      <c r="A31" s="31" t="s">
        <v>49</v>
      </c>
      <c r="B31" s="30" t="s">
        <v>33</v>
      </c>
      <c r="C31" s="10">
        <v>53123.3805</v>
      </c>
      <c r="D31" s="11">
        <v>0.0008</v>
      </c>
      <c r="E31" s="12">
        <f t="shared" si="0"/>
        <v>22357.11599887195</v>
      </c>
      <c r="F31" s="18">
        <f aca="true" t="shared" si="6" ref="F31:F38">ROUND(2*E31,0)/2+0.5</f>
        <v>22357.5</v>
      </c>
      <c r="G31" s="10">
        <f t="shared" si="1"/>
        <v>-0.19199250000383472</v>
      </c>
      <c r="K31" s="10">
        <f>G31</f>
        <v>-0.19199250000383472</v>
      </c>
      <c r="N31" s="10">
        <f t="shared" si="2"/>
        <v>-0.15715339421648444</v>
      </c>
      <c r="P31" s="14">
        <f t="shared" si="3"/>
        <v>38104.8805</v>
      </c>
      <c r="Q31" s="10">
        <f t="shared" si="5"/>
        <v>0.0012137632920621835</v>
      </c>
    </row>
    <row r="32" spans="1:17" ht="12.75">
      <c r="A32" s="27" t="s">
        <v>39</v>
      </c>
      <c r="B32" s="30" t="s">
        <v>34</v>
      </c>
      <c r="C32" s="10">
        <v>53265.59</v>
      </c>
      <c r="D32" s="11">
        <v>0.0002</v>
      </c>
      <c r="E32" s="12">
        <f t="shared" si="0"/>
        <v>22641.54694497168</v>
      </c>
      <c r="F32" s="18">
        <f t="shared" si="6"/>
        <v>22642</v>
      </c>
      <c r="G32" s="10">
        <f t="shared" si="1"/>
        <v>-0.22651800000312505</v>
      </c>
      <c r="K32" s="10">
        <f>G32</f>
        <v>-0.22651800000312505</v>
      </c>
      <c r="N32" s="10">
        <f t="shared" si="2"/>
        <v>-0.17737917416577065</v>
      </c>
      <c r="P32" s="14">
        <f t="shared" si="3"/>
        <v>38247.09</v>
      </c>
      <c r="Q32" s="10">
        <f t="shared" si="5"/>
        <v>0.002414624204673849</v>
      </c>
    </row>
    <row r="33" spans="1:17" ht="12.75">
      <c r="A33" s="27" t="s">
        <v>39</v>
      </c>
      <c r="B33" s="30" t="s">
        <v>34</v>
      </c>
      <c r="C33" s="10">
        <v>53266.651</v>
      </c>
      <c r="D33" s="33">
        <v>0.0004</v>
      </c>
      <c r="E33" s="12">
        <f t="shared" si="0"/>
        <v>22643.669034099425</v>
      </c>
      <c r="F33" s="18">
        <f t="shared" si="6"/>
        <v>22644</v>
      </c>
      <c r="G33" s="10">
        <f t="shared" si="1"/>
        <v>-0.16547600000194507</v>
      </c>
      <c r="K33" s="10">
        <f>G33</f>
        <v>-0.16547600000194507</v>
      </c>
      <c r="N33" s="10">
        <f t="shared" si="2"/>
        <v>-0.17752135891058107</v>
      </c>
      <c r="P33" s="14">
        <f t="shared" si="3"/>
        <v>38248.151</v>
      </c>
      <c r="Q33" s="10">
        <f t="shared" si="5"/>
        <v>0.00014509067123785678</v>
      </c>
    </row>
    <row r="34" spans="1:17" ht="12.75">
      <c r="A34" s="27" t="s">
        <v>39</v>
      </c>
      <c r="B34" s="30" t="s">
        <v>34</v>
      </c>
      <c r="C34" s="10">
        <v>53269.6381</v>
      </c>
      <c r="D34" s="11">
        <v>0.0001</v>
      </c>
      <c r="E34" s="12">
        <f t="shared" si="0"/>
        <v>22649.64348502636</v>
      </c>
      <c r="F34" s="18">
        <f t="shared" si="6"/>
        <v>22650</v>
      </c>
      <c r="G34" s="10">
        <f t="shared" si="1"/>
        <v>-0.178250000004482</v>
      </c>
      <c r="K34" s="10">
        <f>G34</f>
        <v>-0.178250000004482</v>
      </c>
      <c r="N34" s="10">
        <f t="shared" si="2"/>
        <v>-0.17794791314501235</v>
      </c>
      <c r="P34" s="14">
        <f t="shared" si="3"/>
        <v>38251.1381</v>
      </c>
      <c r="Q34" s="10">
        <f t="shared" si="5"/>
        <v>9.125647066423081E-08</v>
      </c>
    </row>
    <row r="35" spans="1:17" ht="12.75">
      <c r="A35" s="32" t="s">
        <v>55</v>
      </c>
      <c r="B35" s="5"/>
      <c r="C35" s="10">
        <v>53499.8972</v>
      </c>
      <c r="D35" s="11">
        <v>1.0001</v>
      </c>
      <c r="E35" s="12">
        <f t="shared" si="0"/>
        <v>23110.181027603154</v>
      </c>
      <c r="F35" s="18">
        <f t="shared" si="6"/>
        <v>23110.5</v>
      </c>
      <c r="G35" s="10">
        <f t="shared" si="1"/>
        <v>-0.15947950000554556</v>
      </c>
      <c r="L35" s="10">
        <f>G35</f>
        <v>-0.15947950000554556</v>
      </c>
      <c r="N35" s="10">
        <f t="shared" si="2"/>
        <v>-0.2106859506376182</v>
      </c>
      <c r="P35" s="14">
        <f t="shared" si="3"/>
        <v>38481.3972</v>
      </c>
      <c r="Q35" s="10">
        <f t="shared" si="5"/>
        <v>0.0026221005863348917</v>
      </c>
    </row>
    <row r="36" spans="1:17" ht="12.75">
      <c r="A36" s="22" t="s">
        <v>58</v>
      </c>
      <c r="B36" s="21"/>
      <c r="C36" s="31">
        <v>53515.4604</v>
      </c>
      <c r="D36" s="11">
        <v>2.0001</v>
      </c>
      <c r="E36" s="12">
        <f t="shared" si="0"/>
        <v>23141.30873496687</v>
      </c>
      <c r="F36" s="18">
        <f t="shared" si="6"/>
        <v>23142</v>
      </c>
      <c r="G36" s="10">
        <f t="shared" si="1"/>
        <v>-0.3456179999993765</v>
      </c>
      <c r="J36" s="10">
        <f>G36</f>
        <v>-0.3456179999993765</v>
      </c>
      <c r="N36" s="10">
        <f t="shared" si="2"/>
        <v>-0.21292536036838272</v>
      </c>
      <c r="P36" s="14">
        <f t="shared" si="3"/>
        <v>38496.9604</v>
      </c>
      <c r="Q36" s="10">
        <f t="shared" si="5"/>
        <v>0.017607336612240777</v>
      </c>
    </row>
    <row r="37" spans="1:17" ht="12.75">
      <c r="A37" s="22" t="s">
        <v>58</v>
      </c>
      <c r="B37" s="21"/>
      <c r="C37" s="31">
        <v>53518.4479</v>
      </c>
      <c r="D37" s="11">
        <v>3.0001</v>
      </c>
      <c r="E37" s="12">
        <f t="shared" si="0"/>
        <v>23147.283985927403</v>
      </c>
      <c r="F37" s="18">
        <f t="shared" si="6"/>
        <v>23148</v>
      </c>
      <c r="G37" s="10">
        <f t="shared" si="1"/>
        <v>-0.3579920000047423</v>
      </c>
      <c r="J37" s="10">
        <f>G37</f>
        <v>-0.3579920000047423</v>
      </c>
      <c r="N37" s="10">
        <f t="shared" si="2"/>
        <v>-0.21335191460281422</v>
      </c>
      <c r="P37" s="14">
        <f t="shared" si="3"/>
        <v>38499.9479</v>
      </c>
      <c r="Q37" s="10">
        <f t="shared" si="5"/>
        <v>0.020920754305077047</v>
      </c>
    </row>
    <row r="38" spans="1:17" ht="12.75">
      <c r="A38" s="22" t="s">
        <v>58</v>
      </c>
      <c r="B38" s="21"/>
      <c r="C38" s="31">
        <v>53847.4224</v>
      </c>
      <c r="D38" s="11">
        <v>4.0001</v>
      </c>
      <c r="E38" s="12">
        <f t="shared" si="0"/>
        <v>23805.260620946083</v>
      </c>
      <c r="F38" s="18">
        <f t="shared" si="6"/>
        <v>23806</v>
      </c>
      <c r="G38" s="10">
        <f t="shared" si="1"/>
        <v>-0.3696739999941201</v>
      </c>
      <c r="J38" s="10">
        <f>G38</f>
        <v>-0.3696739999941201</v>
      </c>
      <c r="N38" s="10">
        <f t="shared" si="2"/>
        <v>-0.26013069564545166</v>
      </c>
      <c r="P38" s="14">
        <f t="shared" si="3"/>
        <v>38828.9224</v>
      </c>
      <c r="Q38" s="10">
        <f t="shared" si="5"/>
        <v>0.011999735527625</v>
      </c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P18" sqref="P18:Q18"/>
    </sheetView>
  </sheetViews>
  <sheetFormatPr defaultColWidth="10.28125" defaultRowHeight="12.75"/>
  <cols>
    <col min="1" max="1" width="15.7109375" style="0" customWidth="1"/>
    <col min="2" max="2" width="4.140625" style="0" customWidth="1"/>
    <col min="3" max="3" width="11.8515625" style="10" customWidth="1"/>
    <col min="4" max="4" width="11.00390625" style="10" customWidth="1"/>
    <col min="5" max="5" width="9.140625" style="12" customWidth="1"/>
    <col min="6" max="6" width="9.140625" style="0" customWidth="1"/>
    <col min="7" max="7" width="8.140625" style="10" customWidth="1"/>
    <col min="8" max="13" width="8.57421875" style="10" customWidth="1"/>
    <col min="14" max="14" width="8.00390625" style="10" customWidth="1"/>
    <col min="15" max="15" width="7.7109375" style="10" customWidth="1"/>
    <col min="16" max="16" width="10.421875" style="14" customWidth="1"/>
    <col min="17" max="17" width="9.140625" style="13" customWidth="1"/>
    <col min="18" max="18" width="18.7109375" style="13" bestFit="1" customWidth="1"/>
  </cols>
  <sheetData>
    <row r="1" spans="1:18" ht="20.25">
      <c r="A1" s="1" t="s">
        <v>30</v>
      </c>
      <c r="B1" s="1"/>
      <c r="C1" s="17" t="s">
        <v>43</v>
      </c>
      <c r="D1"/>
      <c r="E1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 t="s">
        <v>29</v>
      </c>
      <c r="B2" t="s">
        <v>31</v>
      </c>
      <c r="C2"/>
      <c r="D2"/>
      <c r="E2"/>
      <c r="G2"/>
      <c r="H2"/>
      <c r="I2"/>
      <c r="J2"/>
      <c r="K2"/>
      <c r="L2"/>
      <c r="M2"/>
      <c r="N2"/>
      <c r="O2"/>
      <c r="P2"/>
      <c r="Q2"/>
      <c r="R2"/>
    </row>
    <row r="3" spans="3:18" ht="13.5" thickBot="1">
      <c r="C3"/>
      <c r="D3"/>
      <c r="E3"/>
      <c r="G3"/>
      <c r="H3"/>
      <c r="I3"/>
      <c r="J3"/>
      <c r="K3"/>
      <c r="L3"/>
      <c r="M3"/>
      <c r="N3"/>
      <c r="O3"/>
      <c r="P3"/>
      <c r="Q3"/>
      <c r="R3"/>
    </row>
    <row r="4" spans="1:18" ht="14.25" thickBot="1" thickTop="1">
      <c r="A4" s="7" t="s">
        <v>4</v>
      </c>
      <c r="B4" s="7"/>
      <c r="C4" s="2">
        <v>41945.292</v>
      </c>
      <c r="D4" s="3">
        <v>0.542</v>
      </c>
      <c r="E4"/>
      <c r="G4"/>
      <c r="H4"/>
      <c r="I4"/>
      <c r="J4"/>
      <c r="K4"/>
      <c r="L4"/>
      <c r="M4"/>
      <c r="N4"/>
      <c r="O4"/>
      <c r="P4"/>
      <c r="Q4"/>
      <c r="R4"/>
    </row>
    <row r="5" spans="3:18" ht="13.5" thickTop="1">
      <c r="C5"/>
      <c r="D5"/>
      <c r="E5"/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7" t="s">
        <v>5</v>
      </c>
      <c r="B6" s="7"/>
      <c r="C6"/>
      <c r="D6"/>
      <c r="E6"/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 t="s">
        <v>6</v>
      </c>
      <c r="C7" s="10">
        <v>41945.292</v>
      </c>
      <c r="D7" s="17" t="s">
        <v>47</v>
      </c>
      <c r="E7"/>
      <c r="G7"/>
      <c r="H7"/>
      <c r="I7"/>
      <c r="J7"/>
      <c r="K7"/>
      <c r="L7"/>
      <c r="M7"/>
      <c r="N7"/>
      <c r="O7"/>
      <c r="P7"/>
      <c r="Q7"/>
      <c r="R7"/>
    </row>
    <row r="8" spans="1:18" ht="12.75">
      <c r="A8" t="s">
        <v>7</v>
      </c>
      <c r="C8" s="15">
        <v>0.499961</v>
      </c>
      <c r="D8" s="17" t="s">
        <v>48</v>
      </c>
      <c r="E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 s="24" t="s">
        <v>46</v>
      </c>
      <c r="C9" s="25">
        <f>SUM(Q22:Q33)</f>
        <v>0.08332138793420776</v>
      </c>
      <c r="E9"/>
      <c r="G9"/>
      <c r="H9"/>
      <c r="I9"/>
      <c r="J9"/>
      <c r="K9"/>
      <c r="L9"/>
      <c r="M9"/>
      <c r="N9"/>
      <c r="O9"/>
      <c r="P9"/>
      <c r="Q9"/>
      <c r="R9"/>
    </row>
    <row r="10" spans="3:18" ht="13.5" thickBot="1">
      <c r="C10" s="6" t="s">
        <v>24</v>
      </c>
      <c r="D10" s="6" t="s">
        <v>25</v>
      </c>
      <c r="E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t="s">
        <v>20</v>
      </c>
      <c r="C11">
        <f>INTERCEPT(G22:G994,F22:F994)</f>
        <v>0.467171046474893</v>
      </c>
      <c r="D11" s="5"/>
      <c r="E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t="s">
        <v>21</v>
      </c>
      <c r="C12">
        <f>SLOPE(G22:G994,F22:F994)</f>
        <v>-2.9126563793800357E-05</v>
      </c>
      <c r="D12" s="5"/>
      <c r="E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t="s">
        <v>23</v>
      </c>
      <c r="C13" s="5" t="s">
        <v>18</v>
      </c>
      <c r="D13" s="5"/>
      <c r="E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t="s">
        <v>28</v>
      </c>
      <c r="C14"/>
      <c r="D14"/>
      <c r="E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" t="s">
        <v>22</v>
      </c>
      <c r="B15" s="4"/>
      <c r="C15">
        <f>+D15+C8/2</f>
        <v>53123.630480499996</v>
      </c>
      <c r="D15" s="10">
        <v>53123.3805</v>
      </c>
      <c r="E15"/>
      <c r="G15"/>
      <c r="H15"/>
      <c r="I15"/>
      <c r="J15"/>
      <c r="K15"/>
      <c r="L15"/>
      <c r="M15"/>
      <c r="N15"/>
      <c r="O15"/>
      <c r="R15"/>
    </row>
    <row r="16" spans="1:18" ht="12.75">
      <c r="A16" s="7" t="s">
        <v>8</v>
      </c>
      <c r="B16" s="7"/>
      <c r="C16">
        <f>+C8+C12</f>
        <v>0.4999318734362062</v>
      </c>
      <c r="D16">
        <f>+C$8+D$12+2*D$13*MAX(G21:G45)</f>
        <v>0.499961</v>
      </c>
      <c r="E16"/>
      <c r="G16"/>
      <c r="H16"/>
      <c r="I16"/>
      <c r="J16"/>
      <c r="K16"/>
      <c r="L16"/>
      <c r="M16"/>
      <c r="N16"/>
      <c r="O16"/>
      <c r="P16"/>
      <c r="Q16"/>
      <c r="R16"/>
    </row>
    <row r="17" spans="3:18" ht="13.5" thickBot="1">
      <c r="C17"/>
      <c r="D17"/>
      <c r="E17"/>
      <c r="G17"/>
      <c r="H17"/>
      <c r="I17"/>
      <c r="J17"/>
      <c r="K17"/>
      <c r="L17"/>
      <c r="M17"/>
      <c r="N17"/>
      <c r="O17"/>
      <c r="P17"/>
      <c r="Q17"/>
      <c r="R17"/>
    </row>
    <row r="18" spans="1:18" ht="14.25" thickBot="1" thickTop="1">
      <c r="A18" s="7" t="s">
        <v>9</v>
      </c>
      <c r="B18" s="7"/>
      <c r="C18" s="2">
        <f>+C15</f>
        <v>53123.630480499996</v>
      </c>
      <c r="D18" s="3">
        <f>+C16</f>
        <v>0.4999318734362062</v>
      </c>
      <c r="E18"/>
      <c r="G18"/>
      <c r="H18"/>
      <c r="I18"/>
      <c r="J18"/>
      <c r="K18"/>
      <c r="L18"/>
      <c r="M18"/>
      <c r="N18"/>
      <c r="O18"/>
      <c r="P18" t="s">
        <v>59</v>
      </c>
      <c r="Q18" s="10">
        <f>SUM(Q22:Q38)</f>
        <v>0.0930536652587021</v>
      </c>
      <c r="R18"/>
    </row>
    <row r="19" spans="3:18" ht="13.5" thickTop="1">
      <c r="C19"/>
      <c r="D19"/>
      <c r="E19"/>
      <c r="G19"/>
      <c r="H19"/>
      <c r="I19"/>
      <c r="J19"/>
      <c r="K19"/>
      <c r="L19"/>
      <c r="M19"/>
      <c r="N19"/>
      <c r="O19"/>
      <c r="P19"/>
      <c r="Q19"/>
      <c r="R19"/>
    </row>
    <row r="20" spans="1:18" ht="13.5" thickBot="1">
      <c r="A20" s="6" t="s">
        <v>10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6" t="s">
        <v>15</v>
      </c>
      <c r="H20" s="9" t="s">
        <v>16</v>
      </c>
      <c r="I20" s="9" t="s">
        <v>35</v>
      </c>
      <c r="J20" s="9" t="s">
        <v>38</v>
      </c>
      <c r="K20" s="9" t="s">
        <v>39</v>
      </c>
      <c r="L20" s="9" t="s">
        <v>41</v>
      </c>
      <c r="M20" s="9" t="s">
        <v>42</v>
      </c>
      <c r="N20" s="9" t="s">
        <v>27</v>
      </c>
      <c r="O20" s="8" t="s">
        <v>26</v>
      </c>
      <c r="P20" s="6" t="s">
        <v>19</v>
      </c>
      <c r="Q20" s="23" t="s">
        <v>45</v>
      </c>
      <c r="R20"/>
    </row>
    <row r="21" spans="1:16" ht="12.75">
      <c r="A21" t="s">
        <v>16</v>
      </c>
      <c r="B21" s="30"/>
      <c r="C21" s="10">
        <f>+C4</f>
        <v>41945.292</v>
      </c>
      <c r="D21" s="11" t="s">
        <v>18</v>
      </c>
      <c r="E21" s="12">
        <f aca="true" t="shared" si="0" ref="E21:E38">+(C21-C$7)/C$8</f>
        <v>0</v>
      </c>
      <c r="F21">
        <f aca="true" t="shared" si="1" ref="F21:F30">ROUND(2*E21,0)/2</f>
        <v>0</v>
      </c>
      <c r="G21" s="10">
        <f aca="true" t="shared" si="2" ref="G21:G38">+C21-(C$7+F21*C$8)</f>
        <v>0</v>
      </c>
      <c r="H21" s="10">
        <f>+G21</f>
        <v>0</v>
      </c>
      <c r="P21" s="14">
        <f aca="true" t="shared" si="3" ref="P21:P38">+C21-15018.5</f>
        <v>26926.792</v>
      </c>
    </row>
    <row r="22" spans="1:17" ht="12.75">
      <c r="A22" t="s">
        <v>32</v>
      </c>
      <c r="B22" s="30" t="s">
        <v>33</v>
      </c>
      <c r="C22" s="34">
        <v>51243.9885</v>
      </c>
      <c r="D22" s="11">
        <v>0.0015</v>
      </c>
      <c r="E22" s="12">
        <f t="shared" si="0"/>
        <v>18598.843709809364</v>
      </c>
      <c r="F22">
        <f t="shared" si="1"/>
        <v>18599</v>
      </c>
      <c r="G22" s="10">
        <f t="shared" si="2"/>
        <v>-0.07813899999746354</v>
      </c>
      <c r="J22" s="19">
        <f>+C22-(C$7+F22*C$8)</f>
        <v>-0.07813899999746354</v>
      </c>
      <c r="N22" s="10">
        <f aca="true" t="shared" si="4" ref="N22:N38">+C$11+C$12*F22</f>
        <v>-0.07455391352599988</v>
      </c>
      <c r="P22" s="14">
        <f t="shared" si="3"/>
        <v>36225.4885</v>
      </c>
      <c r="Q22" s="10">
        <f aca="true" t="shared" si="5" ref="Q22:Q33">+(N22-G22)^2</f>
        <v>1.2852845007871763E-05</v>
      </c>
    </row>
    <row r="23" spans="1:18" ht="12.75">
      <c r="A23" t="s">
        <v>35</v>
      </c>
      <c r="B23" s="30" t="s">
        <v>36</v>
      </c>
      <c r="C23" s="10">
        <v>51275.214</v>
      </c>
      <c r="D23" s="11"/>
      <c r="E23" s="12">
        <f t="shared" si="0"/>
        <v>18661.299581367344</v>
      </c>
      <c r="F23">
        <f t="shared" si="1"/>
        <v>18661.5</v>
      </c>
      <c r="G23" s="10">
        <f t="shared" si="2"/>
        <v>-0.10020150000491412</v>
      </c>
      <c r="I23" s="10">
        <f>+G23</f>
        <v>-0.10020150000491412</v>
      </c>
      <c r="N23" s="10">
        <f t="shared" si="4"/>
        <v>-0.07637432376311243</v>
      </c>
      <c r="P23" s="14">
        <f t="shared" si="3"/>
        <v>36256.714</v>
      </c>
      <c r="Q23" s="10">
        <f t="shared" si="5"/>
        <v>0.0005677343276578792</v>
      </c>
      <c r="R23" s="16"/>
    </row>
    <row r="24" spans="1:17" ht="12.75">
      <c r="A24" s="26" t="s">
        <v>35</v>
      </c>
      <c r="B24" s="30" t="s">
        <v>34</v>
      </c>
      <c r="C24" s="10">
        <v>51275.756</v>
      </c>
      <c r="D24" s="11"/>
      <c r="E24" s="12">
        <f t="shared" si="0"/>
        <v>18662.383665925943</v>
      </c>
      <c r="F24">
        <f t="shared" si="1"/>
        <v>18662.5</v>
      </c>
      <c r="G24" s="10">
        <f t="shared" si="2"/>
        <v>-0.05816249999770662</v>
      </c>
      <c r="I24" s="10">
        <f>G24</f>
        <v>-0.05816249999770662</v>
      </c>
      <c r="N24" s="10">
        <f t="shared" si="4"/>
        <v>-0.07640345032690615</v>
      </c>
      <c r="P24" s="14">
        <f t="shared" si="3"/>
        <v>36257.256</v>
      </c>
      <c r="Q24" s="10">
        <f t="shared" si="5"/>
        <v>0.0003327322689123246</v>
      </c>
    </row>
    <row r="25" spans="1:17" ht="12.75">
      <c r="A25" s="26" t="s">
        <v>35</v>
      </c>
      <c r="B25" s="30" t="s">
        <v>33</v>
      </c>
      <c r="C25" s="10">
        <v>51275.9692</v>
      </c>
      <c r="D25" s="11"/>
      <c r="E25" s="12">
        <f t="shared" si="0"/>
        <v>18662.810099187733</v>
      </c>
      <c r="F25">
        <f t="shared" si="1"/>
        <v>18663</v>
      </c>
      <c r="G25" s="10">
        <f t="shared" si="2"/>
        <v>-0.09494300000369549</v>
      </c>
      <c r="I25" s="10">
        <f>G25</f>
        <v>-0.09494300000369549</v>
      </c>
      <c r="N25" s="10">
        <f t="shared" si="4"/>
        <v>-0.07641801360880313</v>
      </c>
      <c r="P25" s="14">
        <f t="shared" si="3"/>
        <v>36257.4692</v>
      </c>
      <c r="Q25" s="10">
        <f t="shared" si="5"/>
        <v>0.0003431751209309471</v>
      </c>
    </row>
    <row r="26" spans="1:18" ht="12.75">
      <c r="A26" s="26" t="s">
        <v>32</v>
      </c>
      <c r="B26" s="30" t="s">
        <v>34</v>
      </c>
      <c r="C26" s="10">
        <v>51310.7184</v>
      </c>
      <c r="D26" s="11">
        <v>0.0009</v>
      </c>
      <c r="E26" s="12">
        <f t="shared" si="0"/>
        <v>18732.31392048579</v>
      </c>
      <c r="F26">
        <f t="shared" si="1"/>
        <v>18732.5</v>
      </c>
      <c r="G26" s="10">
        <f t="shared" si="2"/>
        <v>-0.09303250000084518</v>
      </c>
      <c r="J26" s="10">
        <f>+G26</f>
        <v>-0.09303250000084518</v>
      </c>
      <c r="N26" s="10">
        <f t="shared" si="4"/>
        <v>-0.07844230979247219</v>
      </c>
      <c r="P26" s="14">
        <f t="shared" si="3"/>
        <v>36292.2184</v>
      </c>
      <c r="Q26" s="10">
        <f t="shared" si="5"/>
        <v>0.00021287365031650302</v>
      </c>
      <c r="R26" s="16"/>
    </row>
    <row r="27" spans="1:18" ht="12.75">
      <c r="A27" s="26" t="s">
        <v>35</v>
      </c>
      <c r="B27" s="30" t="s">
        <v>37</v>
      </c>
      <c r="C27" s="10">
        <v>51349.731</v>
      </c>
      <c r="D27" s="11"/>
      <c r="E27" s="12">
        <f t="shared" si="0"/>
        <v>18810.345206926137</v>
      </c>
      <c r="F27">
        <f t="shared" si="1"/>
        <v>18810.5</v>
      </c>
      <c r="G27" s="10">
        <f t="shared" si="2"/>
        <v>-0.07739050000236603</v>
      </c>
      <c r="I27" s="10">
        <f>+G27</f>
        <v>-0.07739050000236603</v>
      </c>
      <c r="N27" s="10">
        <f t="shared" si="4"/>
        <v>-0.08071418176838868</v>
      </c>
      <c r="P27" s="14">
        <f t="shared" si="3"/>
        <v>36331.231</v>
      </c>
      <c r="Q27" s="10">
        <f t="shared" si="5"/>
        <v>1.1046860481791488E-05</v>
      </c>
      <c r="R27" s="16"/>
    </row>
    <row r="28" spans="1:17" ht="12.75">
      <c r="A28" s="26" t="s">
        <v>40</v>
      </c>
      <c r="B28" s="30" t="s">
        <v>33</v>
      </c>
      <c r="C28" s="10">
        <v>52426.4162</v>
      </c>
      <c r="D28" s="11">
        <v>0.0009</v>
      </c>
      <c r="E28" s="12">
        <f t="shared" si="0"/>
        <v>20963.883582919465</v>
      </c>
      <c r="F28">
        <f t="shared" si="1"/>
        <v>20964</v>
      </c>
      <c r="G28" s="10">
        <f t="shared" si="2"/>
        <v>-0.058204000000841916</v>
      </c>
      <c r="M28" s="10">
        <f>G28</f>
        <v>-0.058204000000841916</v>
      </c>
      <c r="N28" s="10">
        <f t="shared" si="4"/>
        <v>-0.14343823689833773</v>
      </c>
      <c r="P28" s="14">
        <f t="shared" si="3"/>
        <v>37407.9162</v>
      </c>
      <c r="Q28" s="10">
        <f t="shared" si="5"/>
        <v>0.007264875139498438</v>
      </c>
    </row>
    <row r="29" spans="1:18" ht="12.75">
      <c r="A29" s="29" t="s">
        <v>44</v>
      </c>
      <c r="B29" s="20" t="s">
        <v>34</v>
      </c>
      <c r="C29" s="21">
        <v>53114.852</v>
      </c>
      <c r="D29" s="11">
        <v>0.0007</v>
      </c>
      <c r="E29" s="12">
        <f t="shared" si="0"/>
        <v>22340.862587281805</v>
      </c>
      <c r="F29">
        <f t="shared" si="1"/>
        <v>22341</v>
      </c>
      <c r="G29" s="10">
        <f t="shared" si="2"/>
        <v>-0.06870100000378443</v>
      </c>
      <c r="J29" s="10">
        <f>G29</f>
        <v>-0.06870100000378443</v>
      </c>
      <c r="N29" s="10">
        <f t="shared" si="4"/>
        <v>-0.18354551524240076</v>
      </c>
      <c r="P29" s="14">
        <f t="shared" si="3"/>
        <v>38096.352</v>
      </c>
      <c r="Q29" s="10">
        <f t="shared" si="5"/>
        <v>0.013189262680392779</v>
      </c>
      <c r="R29" s="16"/>
    </row>
    <row r="30" spans="1:17" ht="12.75">
      <c r="A30" s="35" t="s">
        <v>56</v>
      </c>
      <c r="B30" s="20"/>
      <c r="C30" s="31">
        <v>53117.4099</v>
      </c>
      <c r="D30" s="11">
        <v>0.001</v>
      </c>
      <c r="E30" s="12">
        <f t="shared" si="0"/>
        <v>22345.97878634533</v>
      </c>
      <c r="F30">
        <f t="shared" si="1"/>
        <v>22346</v>
      </c>
      <c r="G30" s="10">
        <f t="shared" si="2"/>
        <v>-0.010606000003463123</v>
      </c>
      <c r="J30" s="10">
        <f>G30</f>
        <v>-0.010606000003463123</v>
      </c>
      <c r="N30" s="10">
        <f t="shared" si="4"/>
        <v>-0.18369114806136982</v>
      </c>
      <c r="P30" s="14">
        <f t="shared" si="3"/>
        <v>38098.9099</v>
      </c>
      <c r="Q30" s="10">
        <f t="shared" si="5"/>
        <v>0.029958468478227484</v>
      </c>
    </row>
    <row r="31" spans="1:17" ht="12.75">
      <c r="A31" s="31" t="s">
        <v>49</v>
      </c>
      <c r="B31" s="30" t="s">
        <v>33</v>
      </c>
      <c r="C31" s="10">
        <v>53123.3805</v>
      </c>
      <c r="D31" s="11">
        <v>0.0008</v>
      </c>
      <c r="E31" s="12">
        <f t="shared" si="0"/>
        <v>22357.920917831587</v>
      </c>
      <c r="F31" s="18">
        <f aca="true" t="shared" si="6" ref="F31:F38">ROUND(2*E31,0)/2+0.5</f>
        <v>22358.5</v>
      </c>
      <c r="G31" s="10">
        <f t="shared" si="2"/>
        <v>-0.2895185000015772</v>
      </c>
      <c r="K31" s="10">
        <f>G31</f>
        <v>-0.2895185000015772</v>
      </c>
      <c r="N31" s="10">
        <f t="shared" si="4"/>
        <v>-0.18405523010879227</v>
      </c>
      <c r="P31" s="14">
        <f t="shared" si="3"/>
        <v>38104.8805</v>
      </c>
      <c r="Q31" s="10">
        <f t="shared" si="5"/>
        <v>0.011122501296478396</v>
      </c>
    </row>
    <row r="32" spans="1:17" ht="12.75">
      <c r="A32" s="27" t="s">
        <v>39</v>
      </c>
      <c r="B32" s="30" t="s">
        <v>34</v>
      </c>
      <c r="C32" s="10">
        <v>53265.59</v>
      </c>
      <c r="D32" s="11">
        <v>0.0002</v>
      </c>
      <c r="E32" s="12">
        <f t="shared" si="0"/>
        <v>22642.362104244123</v>
      </c>
      <c r="F32" s="18">
        <f t="shared" si="6"/>
        <v>22643</v>
      </c>
      <c r="G32" s="10">
        <f t="shared" si="2"/>
        <v>-0.3189230000061798</v>
      </c>
      <c r="K32" s="10">
        <f>G32</f>
        <v>-0.3189230000061798</v>
      </c>
      <c r="N32" s="10">
        <f t="shared" si="4"/>
        <v>-0.1923417375081285</v>
      </c>
      <c r="P32" s="14">
        <f t="shared" si="3"/>
        <v>38247.09</v>
      </c>
      <c r="Q32" s="10">
        <f t="shared" si="5"/>
        <v>0.016022816015600568</v>
      </c>
    </row>
    <row r="33" spans="1:17" ht="12.75">
      <c r="A33" s="27" t="s">
        <v>39</v>
      </c>
      <c r="B33" s="30" t="s">
        <v>34</v>
      </c>
      <c r="C33" s="10">
        <v>53266.651</v>
      </c>
      <c r="D33" s="22">
        <v>0.0004</v>
      </c>
      <c r="E33" s="12">
        <f t="shared" si="0"/>
        <v>22644.484269773035</v>
      </c>
      <c r="F33" s="18">
        <f t="shared" si="6"/>
        <v>22645</v>
      </c>
      <c r="G33" s="10">
        <f t="shared" si="2"/>
        <v>-0.2578450000000885</v>
      </c>
      <c r="K33" s="10">
        <f>G33</f>
        <v>-0.2578450000000885</v>
      </c>
      <c r="N33" s="10">
        <f t="shared" si="4"/>
        <v>-0.19239999063571606</v>
      </c>
      <c r="P33" s="14">
        <f t="shared" si="3"/>
        <v>38248.151</v>
      </c>
      <c r="Q33" s="10">
        <f t="shared" si="5"/>
        <v>0.004283049250702793</v>
      </c>
    </row>
    <row r="34" spans="1:17" ht="12.75">
      <c r="A34" s="27" t="s">
        <v>39</v>
      </c>
      <c r="B34" s="30" t="s">
        <v>34</v>
      </c>
      <c r="C34" s="10">
        <v>53269.6381</v>
      </c>
      <c r="D34" s="11"/>
      <c r="E34" s="12">
        <f t="shared" si="0"/>
        <v>22650.45893579698</v>
      </c>
      <c r="F34" s="18">
        <f t="shared" si="6"/>
        <v>22651</v>
      </c>
      <c r="G34" s="10">
        <f t="shared" si="2"/>
        <v>-0.2705110000024433</v>
      </c>
      <c r="K34" s="10">
        <f>G34</f>
        <v>-0.2705110000024433</v>
      </c>
      <c r="N34" s="10">
        <f t="shared" si="4"/>
        <v>-0.19257475001847896</v>
      </c>
      <c r="P34" s="14">
        <f t="shared" si="3"/>
        <v>38251.1381</v>
      </c>
      <c r="Q34" s="10">
        <f>+(N34-G34)^2</f>
        <v>0.006074059061562986</v>
      </c>
    </row>
    <row r="35" spans="1:17" ht="12.75">
      <c r="A35" s="32" t="s">
        <v>55</v>
      </c>
      <c r="B35" s="5"/>
      <c r="C35" s="10">
        <v>53499.8972</v>
      </c>
      <c r="D35" s="11"/>
      <c r="E35" s="12">
        <f t="shared" si="0"/>
        <v>23111.0130590186</v>
      </c>
      <c r="F35" s="18">
        <f t="shared" si="6"/>
        <v>23111.5</v>
      </c>
      <c r="G35" s="10">
        <f t="shared" si="2"/>
        <v>-0.2434514999986277</v>
      </c>
      <c r="J35" s="10">
        <f>G35</f>
        <v>-0.2434514999986277</v>
      </c>
      <c r="N35" s="10">
        <f t="shared" si="4"/>
        <v>-0.205987532645524</v>
      </c>
      <c r="P35" s="14">
        <f t="shared" si="3"/>
        <v>38481.3972</v>
      </c>
      <c r="Q35" s="10">
        <f>+(N35-G35)^2</f>
        <v>0.0014035488498344198</v>
      </c>
    </row>
    <row r="36" spans="1:17" ht="12.75">
      <c r="A36" s="22" t="s">
        <v>58</v>
      </c>
      <c r="B36" s="21"/>
      <c r="C36" s="31">
        <v>53515.4604</v>
      </c>
      <c r="D36" s="11"/>
      <c r="E36" s="12">
        <f t="shared" si="0"/>
        <v>23142.141887067195</v>
      </c>
      <c r="F36" s="18">
        <f t="shared" si="6"/>
        <v>23142.5</v>
      </c>
      <c r="G36" s="10">
        <f t="shared" si="2"/>
        <v>-0.17904249999992317</v>
      </c>
      <c r="J36" s="10">
        <f>G36</f>
        <v>-0.17904249999992317</v>
      </c>
      <c r="N36" s="10">
        <f t="shared" si="4"/>
        <v>-0.20689045612313178</v>
      </c>
      <c r="P36" s="14">
        <f t="shared" si="3"/>
        <v>38496.9604</v>
      </c>
      <c r="Q36" s="10">
        <f>+(N36-G36)^2</f>
        <v>0.0007755086602401523</v>
      </c>
    </row>
    <row r="37" spans="1:17" ht="12.75">
      <c r="A37" s="22" t="s">
        <v>58</v>
      </c>
      <c r="B37" s="21"/>
      <c r="C37" s="31">
        <v>53518.4479</v>
      </c>
      <c r="D37" s="11"/>
      <c r="E37" s="12">
        <f t="shared" si="0"/>
        <v>23148.117353153542</v>
      </c>
      <c r="F37" s="18">
        <f t="shared" si="6"/>
        <v>23148.5</v>
      </c>
      <c r="G37" s="10">
        <f t="shared" si="2"/>
        <v>-0.19130849999783095</v>
      </c>
      <c r="J37" s="10">
        <f>G37</f>
        <v>-0.19130849999783095</v>
      </c>
      <c r="N37" s="10">
        <f t="shared" si="4"/>
        <v>-0.20706521550589457</v>
      </c>
      <c r="P37" s="14">
        <f t="shared" si="3"/>
        <v>38499.9479</v>
      </c>
      <c r="Q37" s="10">
        <f>+(N37-G37)^2</f>
        <v>0.0002482740836020527</v>
      </c>
    </row>
    <row r="38" spans="1:17" ht="12.75">
      <c r="A38" s="22" t="s">
        <v>58</v>
      </c>
      <c r="B38" s="21"/>
      <c r="C38" s="31">
        <v>53847.4224</v>
      </c>
      <c r="D38" s="11"/>
      <c r="E38" s="12">
        <f t="shared" si="0"/>
        <v>23806.117677178823</v>
      </c>
      <c r="F38" s="18">
        <f t="shared" si="6"/>
        <v>23806.5</v>
      </c>
      <c r="G38" s="10">
        <f t="shared" si="2"/>
        <v>-0.19114649999391986</v>
      </c>
      <c r="J38" s="10">
        <f>G38</f>
        <v>-0.19114649999391986</v>
      </c>
      <c r="N38" s="10">
        <f t="shared" si="4"/>
        <v>-0.22623049448221516</v>
      </c>
      <c r="P38" s="14">
        <f t="shared" si="3"/>
        <v>38828.9224</v>
      </c>
      <c r="Q38" s="10">
        <f>+(N38-G38)^2</f>
        <v>0.001230886669254735</v>
      </c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5.7109375" style="0" customWidth="1"/>
    <col min="2" max="2" width="4.140625" style="0" customWidth="1"/>
    <col min="3" max="3" width="11.8515625" style="10" customWidth="1"/>
    <col min="4" max="4" width="11.00390625" style="10" customWidth="1"/>
    <col min="5" max="5" width="9.140625" style="12" customWidth="1"/>
    <col min="6" max="6" width="9.140625" style="0" customWidth="1"/>
    <col min="7" max="7" width="8.140625" style="10" customWidth="1"/>
    <col min="8" max="13" width="8.57421875" style="10" customWidth="1"/>
    <col min="14" max="14" width="8.00390625" style="10" customWidth="1"/>
    <col min="15" max="15" width="7.7109375" style="10" customWidth="1"/>
    <col min="16" max="16" width="10.421875" style="14" customWidth="1"/>
    <col min="17" max="17" width="9.140625" style="13" customWidth="1"/>
    <col min="18" max="18" width="18.7109375" style="13" bestFit="1" customWidth="1"/>
  </cols>
  <sheetData>
    <row r="1" spans="1:18" ht="20.25">
      <c r="A1" s="1" t="s">
        <v>30</v>
      </c>
      <c r="B1" s="1"/>
      <c r="C1" s="17" t="s">
        <v>43</v>
      </c>
      <c r="D1"/>
      <c r="E1"/>
      <c r="G1"/>
      <c r="H1"/>
      <c r="I1"/>
      <c r="J1"/>
      <c r="K1"/>
      <c r="L1"/>
      <c r="M1"/>
      <c r="N1"/>
      <c r="O1"/>
      <c r="P1"/>
      <c r="Q1"/>
      <c r="R1"/>
    </row>
    <row r="2" spans="1:18" ht="12.75">
      <c r="A2" t="s">
        <v>29</v>
      </c>
      <c r="B2" t="s">
        <v>31</v>
      </c>
      <c r="C2"/>
      <c r="D2"/>
      <c r="E2"/>
      <c r="G2"/>
      <c r="H2"/>
      <c r="I2"/>
      <c r="J2"/>
      <c r="K2"/>
      <c r="L2"/>
      <c r="M2"/>
      <c r="N2"/>
      <c r="O2"/>
      <c r="P2"/>
      <c r="Q2"/>
      <c r="R2"/>
    </row>
    <row r="3" spans="3:18" ht="13.5" thickBot="1">
      <c r="C3"/>
      <c r="D3"/>
      <c r="E3"/>
      <c r="G3"/>
      <c r="H3"/>
      <c r="I3"/>
      <c r="J3"/>
      <c r="K3"/>
      <c r="L3"/>
      <c r="M3"/>
      <c r="N3"/>
      <c r="O3"/>
      <c r="P3"/>
      <c r="Q3"/>
      <c r="R3"/>
    </row>
    <row r="4" spans="1:18" ht="14.25" thickBot="1" thickTop="1">
      <c r="A4" s="7" t="s">
        <v>4</v>
      </c>
      <c r="B4" s="7"/>
      <c r="C4" s="2">
        <v>41945.292</v>
      </c>
      <c r="D4" s="3">
        <v>0.542</v>
      </c>
      <c r="E4"/>
      <c r="G4"/>
      <c r="H4"/>
      <c r="I4"/>
      <c r="J4"/>
      <c r="K4"/>
      <c r="L4"/>
      <c r="M4"/>
      <c r="N4"/>
      <c r="O4"/>
      <c r="P4"/>
      <c r="Q4"/>
      <c r="R4"/>
    </row>
    <row r="5" spans="3:18" ht="13.5" thickTop="1">
      <c r="C5"/>
      <c r="D5"/>
      <c r="E5"/>
      <c r="G5"/>
      <c r="H5"/>
      <c r="I5"/>
      <c r="J5"/>
      <c r="K5"/>
      <c r="L5"/>
      <c r="M5"/>
      <c r="N5"/>
      <c r="O5"/>
      <c r="P5"/>
      <c r="Q5"/>
      <c r="R5"/>
    </row>
    <row r="6" spans="1:18" ht="12.75">
      <c r="A6" s="7" t="s">
        <v>5</v>
      </c>
      <c r="B6" s="7"/>
      <c r="C6"/>
      <c r="D6"/>
      <c r="E6"/>
      <c r="G6"/>
      <c r="H6"/>
      <c r="I6"/>
      <c r="J6"/>
      <c r="K6"/>
      <c r="L6"/>
      <c r="M6"/>
      <c r="N6"/>
      <c r="O6"/>
      <c r="P6"/>
      <c r="Q6"/>
      <c r="R6"/>
    </row>
    <row r="7" spans="1:18" ht="12.75">
      <c r="A7" t="s">
        <v>6</v>
      </c>
      <c r="C7" s="10">
        <v>41945.292</v>
      </c>
      <c r="D7" s="17"/>
      <c r="E7"/>
      <c r="G7"/>
      <c r="H7"/>
      <c r="I7"/>
      <c r="J7"/>
      <c r="K7"/>
      <c r="L7"/>
      <c r="M7"/>
      <c r="N7"/>
      <c r="O7"/>
      <c r="P7"/>
      <c r="Q7"/>
      <c r="R7"/>
    </row>
    <row r="8" spans="1:18" ht="12.75">
      <c r="A8" t="s">
        <v>7</v>
      </c>
      <c r="C8" s="15">
        <v>0.426408</v>
      </c>
      <c r="D8" s="38" t="s">
        <v>63</v>
      </c>
      <c r="E8"/>
      <c r="G8"/>
      <c r="H8"/>
      <c r="I8"/>
      <c r="J8"/>
      <c r="K8"/>
      <c r="L8"/>
      <c r="M8"/>
      <c r="N8"/>
      <c r="O8"/>
      <c r="P8"/>
      <c r="Q8"/>
      <c r="R8"/>
    </row>
    <row r="9" spans="1:18" ht="12.75">
      <c r="A9" s="24" t="s">
        <v>46</v>
      </c>
      <c r="C9" s="25"/>
      <c r="E9"/>
      <c r="G9"/>
      <c r="H9"/>
      <c r="I9"/>
      <c r="J9"/>
      <c r="K9"/>
      <c r="L9"/>
      <c r="M9"/>
      <c r="N9"/>
      <c r="O9"/>
      <c r="P9"/>
      <c r="Q9"/>
      <c r="R9"/>
    </row>
    <row r="10" spans="3:18" ht="13.5" thickBot="1">
      <c r="C10" s="6" t="s">
        <v>24</v>
      </c>
      <c r="D10" s="6" t="s">
        <v>25</v>
      </c>
      <c r="E10"/>
      <c r="G10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t="s">
        <v>20</v>
      </c>
      <c r="C11">
        <f>INTERCEPT(G22:G994,F22:F994)</f>
        <v>0.014481584973394128</v>
      </c>
      <c r="D11" s="5"/>
      <c r="E11"/>
      <c r="G1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t="s">
        <v>21</v>
      </c>
      <c r="C12">
        <f>SLOPE(G22:G994,F22:F994)</f>
        <v>4.092069313718688E-08</v>
      </c>
      <c r="D12" s="5"/>
      <c r="E12"/>
      <c r="G12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t="s">
        <v>23</v>
      </c>
      <c r="C13" s="5" t="s">
        <v>18</v>
      </c>
      <c r="D13" s="5"/>
      <c r="E13"/>
      <c r="G13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t="s">
        <v>28</v>
      </c>
      <c r="C14"/>
      <c r="D14"/>
      <c r="E14"/>
      <c r="G14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4" t="s">
        <v>22</v>
      </c>
      <c r="B15" s="4"/>
      <c r="C15">
        <f>+D15+C8/2</f>
        <v>53123.593704</v>
      </c>
      <c r="D15" s="10">
        <v>53123.3805</v>
      </c>
      <c r="E15"/>
      <c r="G15"/>
      <c r="H15"/>
      <c r="I15"/>
      <c r="J15"/>
      <c r="K15"/>
      <c r="L15"/>
      <c r="M15"/>
      <c r="N15"/>
      <c r="O15"/>
      <c r="R15"/>
    </row>
    <row r="16" spans="1:18" ht="12.75">
      <c r="A16" s="7" t="s">
        <v>8</v>
      </c>
      <c r="B16" s="7"/>
      <c r="C16">
        <f>+C8+C12</f>
        <v>0.4264080409206931</v>
      </c>
      <c r="D16">
        <f>+C$8+D$12+2*D$13*MAX(G21:G45)</f>
        <v>0.426408</v>
      </c>
      <c r="E16"/>
      <c r="G16"/>
      <c r="H16"/>
      <c r="I16"/>
      <c r="J16"/>
      <c r="K16"/>
      <c r="L16"/>
      <c r="M16"/>
      <c r="N16"/>
      <c r="O16"/>
      <c r="P16"/>
      <c r="Q16"/>
      <c r="R16"/>
    </row>
    <row r="17" spans="3:18" ht="13.5" thickBot="1">
      <c r="C17"/>
      <c r="D17"/>
      <c r="E17"/>
      <c r="G17"/>
      <c r="H17"/>
      <c r="I17"/>
      <c r="J17"/>
      <c r="K17"/>
      <c r="L17"/>
      <c r="M17"/>
      <c r="N17"/>
      <c r="O17"/>
      <c r="P17"/>
      <c r="Q17"/>
      <c r="R17"/>
    </row>
    <row r="18" spans="1:18" ht="14.25" thickBot="1" thickTop="1">
      <c r="A18" s="7" t="s">
        <v>9</v>
      </c>
      <c r="B18" s="7"/>
      <c r="C18" s="2">
        <f>+C15</f>
        <v>53123.593704</v>
      </c>
      <c r="D18" s="3">
        <f>+C16</f>
        <v>0.4264080409206931</v>
      </c>
      <c r="E18"/>
      <c r="G18"/>
      <c r="H18"/>
      <c r="I18"/>
      <c r="J18"/>
      <c r="K18"/>
      <c r="L18"/>
      <c r="M18"/>
      <c r="N18"/>
      <c r="O18"/>
      <c r="P18" t="s">
        <v>59</v>
      </c>
      <c r="Q18" s="10">
        <f>SUM(Q22:Q38)</f>
        <v>0.00029303135985406643</v>
      </c>
      <c r="R18"/>
    </row>
    <row r="19" spans="3:18" ht="13.5" thickTop="1">
      <c r="C19"/>
      <c r="D19"/>
      <c r="E19"/>
      <c r="G19"/>
      <c r="H19"/>
      <c r="I19"/>
      <c r="J19"/>
      <c r="K19"/>
      <c r="L19"/>
      <c r="M19"/>
      <c r="N19"/>
      <c r="O19"/>
      <c r="P19"/>
      <c r="Q19"/>
      <c r="R19"/>
    </row>
    <row r="20" spans="1:18" ht="13.5" thickBot="1">
      <c r="A20" s="6" t="s">
        <v>10</v>
      </c>
      <c r="B20" s="6" t="s">
        <v>11</v>
      </c>
      <c r="C20" s="6" t="s">
        <v>12</v>
      </c>
      <c r="D20" s="6" t="s">
        <v>17</v>
      </c>
      <c r="E20" s="6" t="s">
        <v>13</v>
      </c>
      <c r="F20" s="6" t="s">
        <v>14</v>
      </c>
      <c r="G20" s="6" t="s">
        <v>15</v>
      </c>
      <c r="H20" s="9" t="s">
        <v>16</v>
      </c>
      <c r="I20" s="9" t="s">
        <v>35</v>
      </c>
      <c r="J20" s="9" t="s">
        <v>38</v>
      </c>
      <c r="K20" s="9" t="s">
        <v>39</v>
      </c>
      <c r="L20" s="9" t="s">
        <v>41</v>
      </c>
      <c r="M20" s="9" t="s">
        <v>42</v>
      </c>
      <c r="N20" s="9" t="s">
        <v>27</v>
      </c>
      <c r="O20" s="8" t="s">
        <v>26</v>
      </c>
      <c r="P20" s="6" t="s">
        <v>19</v>
      </c>
      <c r="Q20" s="23" t="s">
        <v>45</v>
      </c>
      <c r="R20"/>
    </row>
    <row r="21" spans="1:16" ht="12.75">
      <c r="A21" t="s">
        <v>16</v>
      </c>
      <c r="B21" s="30"/>
      <c r="C21" s="10">
        <f>+C4</f>
        <v>41945.292</v>
      </c>
      <c r="D21" s="11" t="s">
        <v>18</v>
      </c>
      <c r="E21" s="12">
        <f aca="true" t="shared" si="0" ref="E21:E38">+(C21-C$7)/C$8</f>
        <v>0</v>
      </c>
      <c r="F21">
        <f aca="true" t="shared" si="1" ref="F21:F38">ROUND(2*E21,0)/2</f>
        <v>0</v>
      </c>
      <c r="G21" s="10">
        <f aca="true" t="shared" si="2" ref="G21:G38">+C21-(C$7+F21*C$8)</f>
        <v>0</v>
      </c>
      <c r="H21" s="10">
        <f>+G21</f>
        <v>0</v>
      </c>
      <c r="P21" s="14">
        <f aca="true" t="shared" si="3" ref="P21:P38">+C21-15018.5</f>
        <v>26926.792</v>
      </c>
    </row>
    <row r="22" spans="1:17" ht="12.75">
      <c r="A22" t="s">
        <v>32</v>
      </c>
      <c r="B22" s="30" t="s">
        <v>33</v>
      </c>
      <c r="C22" s="34">
        <v>51243.9885</v>
      </c>
      <c r="D22" s="11">
        <v>0.0015</v>
      </c>
      <c r="E22" s="12">
        <f t="shared" si="0"/>
        <v>21807.04044014183</v>
      </c>
      <c r="F22">
        <f t="shared" si="1"/>
        <v>21807</v>
      </c>
      <c r="G22" s="10">
        <f t="shared" si="2"/>
        <v>0.01724399999511661</v>
      </c>
      <c r="J22" s="19">
        <f>+C22-(C$7+F22*C$8)</f>
        <v>0.01724399999511661</v>
      </c>
      <c r="N22" s="10">
        <f aca="true" t="shared" si="4" ref="N22:N38">+C$11+C$12*F22</f>
        <v>0.015373942528636763</v>
      </c>
      <c r="P22" s="14">
        <f t="shared" si="3"/>
        <v>36225.4885</v>
      </c>
      <c r="Q22" s="10">
        <f aca="true" t="shared" si="5" ref="Q22:Q38">+(N22-G22)^2</f>
        <v>3.4971149279370255E-06</v>
      </c>
    </row>
    <row r="23" spans="1:18" ht="12.75">
      <c r="A23" t="s">
        <v>35</v>
      </c>
      <c r="B23" s="30" t="s">
        <v>36</v>
      </c>
      <c r="C23" s="10">
        <v>51275.214</v>
      </c>
      <c r="D23" s="11"/>
      <c r="E23" s="12">
        <f t="shared" si="0"/>
        <v>21880.26960094557</v>
      </c>
      <c r="F23">
        <f t="shared" si="1"/>
        <v>21880.5</v>
      </c>
      <c r="I23" s="10">
        <v>-0.09824400000070455</v>
      </c>
      <c r="N23" s="10">
        <f t="shared" si="4"/>
        <v>0.015376950199582346</v>
      </c>
      <c r="P23" s="14">
        <f t="shared" si="3"/>
        <v>36256.714</v>
      </c>
      <c r="Q23" s="10">
        <f t="shared" si="5"/>
        <v>0.00023645059744043553</v>
      </c>
      <c r="R23" s="16"/>
    </row>
    <row r="24" spans="1:17" ht="12.75">
      <c r="A24" s="26" t="s">
        <v>35</v>
      </c>
      <c r="B24" s="30" t="s">
        <v>34</v>
      </c>
      <c r="C24" s="10">
        <v>51275.756</v>
      </c>
      <c r="D24" s="11"/>
      <c r="E24" s="12">
        <f t="shared" si="0"/>
        <v>21881.540684039697</v>
      </c>
      <c r="F24">
        <f t="shared" si="1"/>
        <v>21881.5</v>
      </c>
      <c r="G24" s="10">
        <f t="shared" si="2"/>
        <v>0.017348000001220498</v>
      </c>
      <c r="I24" s="10">
        <f>G24</f>
        <v>0.017348000001220498</v>
      </c>
      <c r="N24" s="10">
        <f t="shared" si="4"/>
        <v>0.015376991120275484</v>
      </c>
      <c r="P24" s="14">
        <f t="shared" si="3"/>
        <v>36257.256</v>
      </c>
      <c r="Q24" s="10">
        <f t="shared" si="5"/>
        <v>3.884876008764119E-06</v>
      </c>
    </row>
    <row r="25" spans="1:17" ht="12.75">
      <c r="A25" s="26" t="s">
        <v>35</v>
      </c>
      <c r="B25" s="30" t="s">
        <v>33</v>
      </c>
      <c r="C25" s="10">
        <v>51275.9692</v>
      </c>
      <c r="D25" s="11"/>
      <c r="E25" s="12">
        <f t="shared" si="0"/>
        <v>21882.04067465901</v>
      </c>
      <c r="F25">
        <f t="shared" si="1"/>
        <v>21882</v>
      </c>
      <c r="G25" s="10">
        <f t="shared" si="2"/>
        <v>0.017343999999866355</v>
      </c>
      <c r="I25" s="10">
        <f>G25</f>
        <v>0.017343999999866355</v>
      </c>
      <c r="N25" s="10">
        <f t="shared" si="4"/>
        <v>0.015377011580622052</v>
      </c>
      <c r="P25" s="14">
        <f t="shared" si="3"/>
        <v>36257.4692</v>
      </c>
      <c r="Q25" s="10">
        <f t="shared" si="5"/>
        <v>3.869043441441204E-06</v>
      </c>
    </row>
    <row r="26" spans="1:18" ht="12.75">
      <c r="A26" s="26" t="s">
        <v>32</v>
      </c>
      <c r="B26" s="30" t="s">
        <v>34</v>
      </c>
      <c r="C26" s="10">
        <v>51310.7184</v>
      </c>
      <c r="D26" s="11">
        <v>0.0009</v>
      </c>
      <c r="E26" s="12">
        <f t="shared" si="0"/>
        <v>21963.53351719479</v>
      </c>
      <c r="F26">
        <f t="shared" si="1"/>
        <v>21963.5</v>
      </c>
      <c r="G26" s="10">
        <f t="shared" si="2"/>
        <v>0.014291999992565252</v>
      </c>
      <c r="J26" s="10">
        <f>+G26</f>
        <v>0.014291999992565252</v>
      </c>
      <c r="N26" s="10">
        <f t="shared" si="4"/>
        <v>0.015380346617112732</v>
      </c>
      <c r="P26" s="14">
        <f t="shared" si="3"/>
        <v>36292.2184</v>
      </c>
      <c r="Q26" s="10">
        <f t="shared" si="5"/>
        <v>1.1844983751638937E-06</v>
      </c>
      <c r="R26" s="16"/>
    </row>
    <row r="27" spans="1:18" ht="12.75">
      <c r="A27" s="26" t="s">
        <v>35</v>
      </c>
      <c r="B27" s="30" t="s">
        <v>37</v>
      </c>
      <c r="C27" s="10">
        <v>51349.731</v>
      </c>
      <c r="D27" s="11"/>
      <c r="E27" s="12">
        <f t="shared" si="0"/>
        <v>22055.024765013786</v>
      </c>
      <c r="F27">
        <f t="shared" si="1"/>
        <v>22055</v>
      </c>
      <c r="G27" s="10">
        <f t="shared" si="2"/>
        <v>0.010559999995166436</v>
      </c>
      <c r="I27" s="10">
        <f>+G27</f>
        <v>0.010559999995166436</v>
      </c>
      <c r="N27" s="10">
        <f t="shared" si="4"/>
        <v>0.015384090860534785</v>
      </c>
      <c r="P27" s="14">
        <f t="shared" si="3"/>
        <v>36331.231</v>
      </c>
      <c r="Q27" s="10">
        <f t="shared" si="5"/>
        <v>2.3271852677330352E-05</v>
      </c>
      <c r="R27" s="16"/>
    </row>
    <row r="28" spans="1:17" ht="12.75">
      <c r="A28" s="26" t="s">
        <v>40</v>
      </c>
      <c r="B28" s="30" t="s">
        <v>33</v>
      </c>
      <c r="C28" s="10">
        <v>52426.4162</v>
      </c>
      <c r="D28" s="11">
        <v>0.0009</v>
      </c>
      <c r="E28" s="12">
        <f t="shared" si="0"/>
        <v>24580.036490872586</v>
      </c>
      <c r="F28">
        <f t="shared" si="1"/>
        <v>24580</v>
      </c>
      <c r="G28" s="10">
        <f t="shared" si="2"/>
        <v>0.015559999999823049</v>
      </c>
      <c r="M28" s="10">
        <f>G28</f>
        <v>0.015559999999823049</v>
      </c>
      <c r="N28" s="10">
        <f t="shared" si="4"/>
        <v>0.015487415610706181</v>
      </c>
      <c r="P28" s="14">
        <f t="shared" si="3"/>
        <v>37407.9162</v>
      </c>
      <c r="Q28" s="10">
        <f t="shared" si="5"/>
        <v>5.268493543468868E-09</v>
      </c>
    </row>
    <row r="29" spans="1:18" ht="12.75">
      <c r="A29" s="29" t="s">
        <v>44</v>
      </c>
      <c r="B29" s="20" t="s">
        <v>34</v>
      </c>
      <c r="C29" s="21">
        <v>53114.852</v>
      </c>
      <c r="D29" s="11">
        <v>0.0007</v>
      </c>
      <c r="E29" s="12">
        <f t="shared" si="0"/>
        <v>26194.536687867014</v>
      </c>
      <c r="F29">
        <f t="shared" si="1"/>
        <v>26194.5</v>
      </c>
      <c r="G29" s="10">
        <f t="shared" si="2"/>
        <v>0.015643999999156222</v>
      </c>
      <c r="J29" s="10">
        <f>G29</f>
        <v>0.015643999999156222</v>
      </c>
      <c r="N29" s="10">
        <f t="shared" si="4"/>
        <v>0.01555348206977617</v>
      </c>
      <c r="P29" s="14">
        <f t="shared" si="3"/>
        <v>38096.352</v>
      </c>
      <c r="Q29" s="10">
        <f t="shared" si="5"/>
        <v>8.1934955392521E-09</v>
      </c>
      <c r="R29" s="16"/>
    </row>
    <row r="30" spans="1:17" ht="12.75">
      <c r="A30" s="35" t="s">
        <v>56</v>
      </c>
      <c r="B30" s="20"/>
      <c r="C30" s="31">
        <v>53117.4099</v>
      </c>
      <c r="D30" s="11">
        <v>0.001</v>
      </c>
      <c r="E30" s="12">
        <f t="shared" si="0"/>
        <v>26200.53540271289</v>
      </c>
      <c r="F30">
        <f t="shared" si="1"/>
        <v>26200.5</v>
      </c>
      <c r="G30" s="10">
        <f t="shared" si="2"/>
        <v>0.015095999995537568</v>
      </c>
      <c r="J30" s="10">
        <f>G30</f>
        <v>0.015095999995537568</v>
      </c>
      <c r="N30" s="10">
        <f t="shared" si="4"/>
        <v>0.015553727593934993</v>
      </c>
      <c r="P30" s="14">
        <f t="shared" si="3"/>
        <v>38098.9099</v>
      </c>
      <c r="Q30" s="10">
        <f t="shared" si="5"/>
        <v>2.0951455433467453E-07</v>
      </c>
    </row>
    <row r="31" spans="1:17" ht="12.75">
      <c r="A31" s="31" t="s">
        <v>49</v>
      </c>
      <c r="B31" s="30" t="s">
        <v>33</v>
      </c>
      <c r="C31" s="10">
        <v>53123.3805</v>
      </c>
      <c r="D31" s="11">
        <v>0.0008</v>
      </c>
      <c r="E31" s="12">
        <f t="shared" si="0"/>
        <v>26214.537485225414</v>
      </c>
      <c r="F31">
        <f t="shared" si="1"/>
        <v>26214.5</v>
      </c>
      <c r="G31" s="10">
        <f t="shared" si="2"/>
        <v>0.015983999997843057</v>
      </c>
      <c r="K31" s="10">
        <f>G31</f>
        <v>0.015983999997843057</v>
      </c>
      <c r="N31" s="10">
        <f t="shared" si="4"/>
        <v>0.015554300483638914</v>
      </c>
      <c r="P31" s="14">
        <f t="shared" si="3"/>
        <v>38104.8805</v>
      </c>
      <c r="Q31" s="10">
        <f t="shared" si="5"/>
        <v>1.8464167250727667E-07</v>
      </c>
    </row>
    <row r="32" spans="1:17" ht="12.75">
      <c r="A32" s="27" t="s">
        <v>39</v>
      </c>
      <c r="B32" s="30" t="s">
        <v>34</v>
      </c>
      <c r="C32" s="10">
        <v>53265.59</v>
      </c>
      <c r="D32" s="11">
        <v>0.0002</v>
      </c>
      <c r="E32" s="12">
        <f t="shared" si="0"/>
        <v>26548.04318868313</v>
      </c>
      <c r="F32">
        <f t="shared" si="1"/>
        <v>26548</v>
      </c>
      <c r="G32" s="10">
        <f t="shared" si="2"/>
        <v>0.018415999991702847</v>
      </c>
      <c r="K32" s="10">
        <f>G32</f>
        <v>0.018415999991702847</v>
      </c>
      <c r="N32" s="10">
        <f t="shared" si="4"/>
        <v>0.015567947534800165</v>
      </c>
      <c r="P32" s="14">
        <f t="shared" si="3"/>
        <v>38247.09</v>
      </c>
      <c r="Q32" s="10">
        <f t="shared" si="5"/>
        <v>8.111402797269406E-06</v>
      </c>
    </row>
    <row r="33" spans="1:17" ht="12.75">
      <c r="A33" s="27" t="s">
        <v>39</v>
      </c>
      <c r="B33" s="30" t="s">
        <v>34</v>
      </c>
      <c r="C33" s="10">
        <v>53266.651</v>
      </c>
      <c r="D33" s="22">
        <v>0.0004</v>
      </c>
      <c r="E33" s="12">
        <f t="shared" si="0"/>
        <v>26550.531415920894</v>
      </c>
      <c r="F33">
        <f t="shared" si="1"/>
        <v>26550.5</v>
      </c>
      <c r="G33" s="10">
        <f t="shared" si="2"/>
        <v>0.013395999994827434</v>
      </c>
      <c r="K33" s="10">
        <f>G33</f>
        <v>0.013395999994827434</v>
      </c>
      <c r="N33" s="10">
        <f t="shared" si="4"/>
        <v>0.015568049836533008</v>
      </c>
      <c r="P33" s="14">
        <f t="shared" si="3"/>
        <v>38248.151</v>
      </c>
      <c r="Q33" s="10">
        <f t="shared" si="5"/>
        <v>4.717800514853209E-06</v>
      </c>
    </row>
    <row r="34" spans="1:17" ht="12.75">
      <c r="A34" s="27" t="s">
        <v>39</v>
      </c>
      <c r="B34" s="30" t="s">
        <v>34</v>
      </c>
      <c r="C34" s="10">
        <v>53269.6381</v>
      </c>
      <c r="D34" s="11"/>
      <c r="E34" s="12">
        <f t="shared" si="0"/>
        <v>26557.53667848632</v>
      </c>
      <c r="F34">
        <f t="shared" si="1"/>
        <v>26557.5</v>
      </c>
      <c r="G34" s="10">
        <f t="shared" si="2"/>
        <v>0.01563999999780208</v>
      </c>
      <c r="K34" s="10">
        <f>G34</f>
        <v>0.01563999999780208</v>
      </c>
      <c r="N34" s="10">
        <f t="shared" si="4"/>
        <v>0.01556833628138497</v>
      </c>
      <c r="P34" s="14">
        <f t="shared" si="3"/>
        <v>38251.1381</v>
      </c>
      <c r="Q34" s="10">
        <f t="shared" si="5"/>
        <v>5.135688250711854E-09</v>
      </c>
    </row>
    <row r="35" spans="1:17" ht="12.75">
      <c r="A35" s="32" t="s">
        <v>55</v>
      </c>
      <c r="B35" s="5"/>
      <c r="C35" s="10">
        <v>53499.8972</v>
      </c>
      <c r="D35" s="11"/>
      <c r="E35" s="12">
        <f t="shared" si="0"/>
        <v>27097.53381737678</v>
      </c>
      <c r="F35">
        <f t="shared" si="1"/>
        <v>27097.5</v>
      </c>
      <c r="G35" s="10">
        <f t="shared" si="2"/>
        <v>0.01441999999951804</v>
      </c>
      <c r="J35" s="10">
        <f>G35</f>
        <v>0.01441999999951804</v>
      </c>
      <c r="N35" s="10">
        <f t="shared" si="4"/>
        <v>0.015590433455679049</v>
      </c>
      <c r="P35" s="14">
        <f t="shared" si="3"/>
        <v>38481.3972</v>
      </c>
      <c r="Q35" s="10">
        <f t="shared" si="5"/>
        <v>1.3699144753010034E-06</v>
      </c>
    </row>
    <row r="36" spans="1:17" ht="12.75">
      <c r="A36" s="22" t="s">
        <v>58</v>
      </c>
      <c r="B36" s="21"/>
      <c r="C36" s="31">
        <v>53515.4604</v>
      </c>
      <c r="D36" s="11"/>
      <c r="E36" s="12">
        <f t="shared" si="0"/>
        <v>27134.03219451793</v>
      </c>
      <c r="F36">
        <f t="shared" si="1"/>
        <v>27134</v>
      </c>
      <c r="G36" s="10">
        <f t="shared" si="2"/>
        <v>0.013727999998081941</v>
      </c>
      <c r="J36" s="10">
        <f>G36</f>
        <v>0.013727999998081941</v>
      </c>
      <c r="N36" s="10">
        <f t="shared" si="4"/>
        <v>0.015591927060978557</v>
      </c>
      <c r="P36" s="14">
        <f t="shared" si="3"/>
        <v>38496.9604</v>
      </c>
      <c r="Q36" s="10">
        <f t="shared" si="5"/>
        <v>3.474224095798407E-06</v>
      </c>
    </row>
    <row r="37" spans="1:17" ht="12.75">
      <c r="A37" s="22" t="s">
        <v>58</v>
      </c>
      <c r="B37" s="21"/>
      <c r="C37" s="31">
        <v>53518.4479</v>
      </c>
      <c r="D37" s="11"/>
      <c r="E37" s="12">
        <f t="shared" si="0"/>
        <v>27141.038395152056</v>
      </c>
      <c r="F37">
        <f t="shared" si="1"/>
        <v>27141</v>
      </c>
      <c r="G37" s="10">
        <f t="shared" si="2"/>
        <v>0.016371999998227693</v>
      </c>
      <c r="J37" s="10">
        <f>G37</f>
        <v>0.016371999998227693</v>
      </c>
      <c r="N37" s="10">
        <f t="shared" si="4"/>
        <v>0.015592213505830517</v>
      </c>
      <c r="P37" s="14">
        <f t="shared" si="3"/>
        <v>38499.9479</v>
      </c>
      <c r="Q37" s="10">
        <f t="shared" si="5"/>
        <v>6.080669737250913E-07</v>
      </c>
    </row>
    <row r="38" spans="1:17" ht="12.75">
      <c r="A38" s="22" t="s">
        <v>58</v>
      </c>
      <c r="B38" s="21"/>
      <c r="C38" s="31">
        <v>53847.4224</v>
      </c>
      <c r="D38" s="11"/>
      <c r="E38" s="12">
        <f t="shared" si="0"/>
        <v>27912.540102437106</v>
      </c>
      <c r="F38">
        <f t="shared" si="1"/>
        <v>27912.5</v>
      </c>
      <c r="G38" s="10">
        <f t="shared" si="2"/>
        <v>0.017100000004575122</v>
      </c>
      <c r="J38" s="10">
        <f>G38</f>
        <v>0.017100000004575122</v>
      </c>
      <c r="N38" s="10">
        <f t="shared" si="4"/>
        <v>0.015623783820585857</v>
      </c>
      <c r="P38" s="14">
        <f t="shared" si="3"/>
        <v>38828.9224</v>
      </c>
      <c r="Q38" s="10">
        <f t="shared" si="5"/>
        <v>2.179214221871829E-06</v>
      </c>
    </row>
    <row r="39" ht="12.75">
      <c r="D39" s="11"/>
    </row>
    <row r="40" ht="12.75">
      <c r="D40" s="11"/>
    </row>
    <row r="41" ht="12.75">
      <c r="D41" s="11"/>
    </row>
    <row r="42" ht="12.75">
      <c r="D42" s="11"/>
    </row>
    <row r="43" ht="12.75">
      <c r="D43" s="11"/>
    </row>
    <row r="44" ht="12.75">
      <c r="D44" s="11"/>
    </row>
    <row r="45" ht="12.75">
      <c r="D45" s="11"/>
    </row>
    <row r="46" ht="12.75">
      <c r="D46" s="11"/>
    </row>
    <row r="47" ht="12.75">
      <c r="D47" s="11"/>
    </row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8">
      <selection activeCell="A31" sqref="A31:D31"/>
    </sheetView>
  </sheetViews>
  <sheetFormatPr defaultColWidth="9.140625" defaultRowHeight="12.75"/>
  <cols>
    <col min="1" max="1" width="19.7109375" style="31" customWidth="1"/>
    <col min="2" max="2" width="4.421875" style="22" customWidth="1"/>
    <col min="3" max="3" width="12.7109375" style="31" customWidth="1"/>
    <col min="4" max="4" width="5.421875" style="22" customWidth="1"/>
    <col min="5" max="5" width="14.8515625" style="22" customWidth="1"/>
    <col min="6" max="6" width="9.140625" style="22" customWidth="1"/>
    <col min="7" max="7" width="12.00390625" style="22" customWidth="1"/>
    <col min="8" max="8" width="14.140625" style="31" customWidth="1"/>
    <col min="9" max="9" width="22.57421875" style="22" customWidth="1"/>
    <col min="10" max="10" width="25.140625" style="22" customWidth="1"/>
    <col min="11" max="11" width="15.7109375" style="22" customWidth="1"/>
    <col min="12" max="12" width="14.140625" style="22" customWidth="1"/>
    <col min="13" max="13" width="9.57421875" style="22" customWidth="1"/>
    <col min="14" max="14" width="14.140625" style="22" customWidth="1"/>
    <col min="15" max="15" width="23.421875" style="22" customWidth="1"/>
    <col min="16" max="16" width="16.57421875" style="22" customWidth="1"/>
    <col min="17" max="17" width="41.00390625" style="22" customWidth="1"/>
    <col min="18" max="16384" width="9.140625" style="22" customWidth="1"/>
  </cols>
  <sheetData>
    <row r="1" spans="1:10" ht="15.75">
      <c r="A1" s="63" t="s">
        <v>84</v>
      </c>
      <c r="I1" s="64" t="s">
        <v>85</v>
      </c>
      <c r="J1" s="65" t="s">
        <v>86</v>
      </c>
    </row>
    <row r="2" spans="9:10" ht="12.75">
      <c r="I2" s="66" t="s">
        <v>87</v>
      </c>
      <c r="J2" s="67" t="s">
        <v>88</v>
      </c>
    </row>
    <row r="3" spans="1:10" ht="12.75">
      <c r="A3" s="68" t="s">
        <v>89</v>
      </c>
      <c r="I3" s="66" t="s">
        <v>90</v>
      </c>
      <c r="J3" s="67" t="s">
        <v>91</v>
      </c>
    </row>
    <row r="4" spans="9:10" ht="12.75">
      <c r="I4" s="66" t="s">
        <v>92</v>
      </c>
      <c r="J4" s="67" t="s">
        <v>91</v>
      </c>
    </row>
    <row r="5" spans="9:10" ht="13.5" thickBot="1">
      <c r="I5" s="69" t="s">
        <v>93</v>
      </c>
      <c r="J5" s="70" t="s">
        <v>94</v>
      </c>
    </row>
    <row r="10" ht="13.5" thickBot="1"/>
    <row r="11" spans="1:16" ht="12.75" customHeight="1" thickBot="1">
      <c r="A11" s="31" t="str">
        <f aca="true" t="shared" si="0" ref="A11:A31">P11</f>
        <v> BBS 128 </v>
      </c>
      <c r="B11" s="5" t="str">
        <f aca="true" t="shared" si="1" ref="B11:B31">IF(H11=INT(H11),"I","II")</f>
        <v>I</v>
      </c>
      <c r="C11" s="31">
        <f aca="true" t="shared" si="2" ref="C11:C31">1*G11</f>
        <v>52426.4162</v>
      </c>
      <c r="D11" s="22" t="str">
        <f aca="true" t="shared" si="3" ref="D11:D31">VLOOKUP(F11,I$1:J$5,2,FALSE)</f>
        <v>vis</v>
      </c>
      <c r="E11" s="71">
        <f>VLOOKUP(C11,Active!C$21:E$972,3,FALSE)</f>
        <v>49160.07298174517</v>
      </c>
      <c r="F11" s="5" t="s">
        <v>93</v>
      </c>
      <c r="G11" s="22" t="str">
        <f aca="true" t="shared" si="4" ref="G11:G31">MID(I11,3,LEN(I11)-3)</f>
        <v>52426.4162</v>
      </c>
      <c r="H11" s="31">
        <f aca="true" t="shared" si="5" ref="H11:H31">1*K11</f>
        <v>19338</v>
      </c>
      <c r="I11" s="72" t="s">
        <v>95</v>
      </c>
      <c r="J11" s="73" t="s">
        <v>96</v>
      </c>
      <c r="K11" s="72">
        <v>19338</v>
      </c>
      <c r="L11" s="72" t="s">
        <v>97</v>
      </c>
      <c r="M11" s="73" t="s">
        <v>98</v>
      </c>
      <c r="N11" s="73" t="s">
        <v>99</v>
      </c>
      <c r="O11" s="74" t="s">
        <v>100</v>
      </c>
      <c r="P11" s="74" t="s">
        <v>101</v>
      </c>
    </row>
    <row r="12" spans="1:16" ht="12.75" customHeight="1" thickBot="1">
      <c r="A12" s="31" t="str">
        <f t="shared" si="0"/>
        <v>IBVS 5603 </v>
      </c>
      <c r="B12" s="5" t="str">
        <f t="shared" si="1"/>
        <v>I</v>
      </c>
      <c r="C12" s="31">
        <f t="shared" si="2"/>
        <v>53114.852</v>
      </c>
      <c r="D12" s="22" t="str">
        <f t="shared" si="3"/>
        <v>vis</v>
      </c>
      <c r="E12" s="71">
        <f>VLOOKUP(C12,Active!C$21:E$972,3,FALSE)</f>
        <v>52389.07337573403</v>
      </c>
      <c r="F12" s="5" t="s">
        <v>93</v>
      </c>
      <c r="G12" s="22" t="str">
        <f t="shared" si="4"/>
        <v>53114.8520</v>
      </c>
      <c r="H12" s="31">
        <f t="shared" si="5"/>
        <v>20608</v>
      </c>
      <c r="I12" s="72" t="s">
        <v>102</v>
      </c>
      <c r="J12" s="73" t="s">
        <v>103</v>
      </c>
      <c r="K12" s="72">
        <v>20608</v>
      </c>
      <c r="L12" s="72" t="s">
        <v>104</v>
      </c>
      <c r="M12" s="73" t="s">
        <v>98</v>
      </c>
      <c r="N12" s="73" t="s">
        <v>99</v>
      </c>
      <c r="O12" s="74" t="s">
        <v>105</v>
      </c>
      <c r="P12" s="75" t="s">
        <v>106</v>
      </c>
    </row>
    <row r="13" spans="1:16" ht="12.75" customHeight="1" thickBot="1">
      <c r="A13" s="31" t="str">
        <f t="shared" si="0"/>
        <v>BAVM 173 </v>
      </c>
      <c r="B13" s="5" t="str">
        <f t="shared" si="1"/>
        <v>I</v>
      </c>
      <c r="C13" s="31">
        <f t="shared" si="2"/>
        <v>53117.4099</v>
      </c>
      <c r="D13" s="22" t="str">
        <f t="shared" si="3"/>
        <v>vis</v>
      </c>
      <c r="E13" s="71">
        <f>VLOOKUP(C13,Active!C$21:E$972,3,FALSE)</f>
        <v>52401.07080542578</v>
      </c>
      <c r="F13" s="5" t="s">
        <v>93</v>
      </c>
      <c r="G13" s="22" t="str">
        <f t="shared" si="4"/>
        <v>53117.4099</v>
      </c>
      <c r="H13" s="31">
        <f t="shared" si="5"/>
        <v>20613</v>
      </c>
      <c r="I13" s="72" t="s">
        <v>107</v>
      </c>
      <c r="J13" s="73" t="s">
        <v>108</v>
      </c>
      <c r="K13" s="72">
        <v>20613</v>
      </c>
      <c r="L13" s="72" t="s">
        <v>109</v>
      </c>
      <c r="M13" s="73" t="s">
        <v>98</v>
      </c>
      <c r="N13" s="73" t="s">
        <v>110</v>
      </c>
      <c r="O13" s="74" t="s">
        <v>111</v>
      </c>
      <c r="P13" s="75" t="s">
        <v>112</v>
      </c>
    </row>
    <row r="14" spans="1:16" ht="12.75" customHeight="1" thickBot="1">
      <c r="A14" s="31" t="str">
        <f t="shared" si="0"/>
        <v>IBVS 5690 </v>
      </c>
      <c r="B14" s="5" t="str">
        <f t="shared" si="1"/>
        <v>I</v>
      </c>
      <c r="C14" s="31">
        <f t="shared" si="2"/>
        <v>53265.59</v>
      </c>
      <c r="D14" s="22" t="str">
        <f t="shared" si="3"/>
        <v>vis</v>
      </c>
      <c r="E14" s="71">
        <f>VLOOKUP(C14,Active!C$21:E$972,3,FALSE)</f>
        <v>53096.08637736626</v>
      </c>
      <c r="F14" s="5" t="s">
        <v>93</v>
      </c>
      <c r="G14" s="22" t="str">
        <f t="shared" si="4"/>
        <v>53265.5900</v>
      </c>
      <c r="H14" s="31">
        <f t="shared" si="5"/>
        <v>20886</v>
      </c>
      <c r="I14" s="72" t="s">
        <v>113</v>
      </c>
      <c r="J14" s="73" t="s">
        <v>114</v>
      </c>
      <c r="K14" s="72">
        <v>20886</v>
      </c>
      <c r="L14" s="72" t="s">
        <v>115</v>
      </c>
      <c r="M14" s="73" t="s">
        <v>116</v>
      </c>
      <c r="N14" s="73" t="s">
        <v>110</v>
      </c>
      <c r="O14" s="74" t="s">
        <v>117</v>
      </c>
      <c r="P14" s="75" t="s">
        <v>118</v>
      </c>
    </row>
    <row r="15" spans="1:16" ht="12.75" customHeight="1" thickBot="1">
      <c r="A15" s="31" t="str">
        <f t="shared" si="0"/>
        <v>IBVS 5690 </v>
      </c>
      <c r="B15" s="5" t="str">
        <f t="shared" si="1"/>
        <v>I</v>
      </c>
      <c r="C15" s="31">
        <f t="shared" si="2"/>
        <v>53266.651</v>
      </c>
      <c r="D15" s="22" t="str">
        <f t="shared" si="3"/>
        <v>vis</v>
      </c>
      <c r="E15" s="71">
        <f>VLOOKUP(C15,Active!C$21:E$972,3,FALSE)</f>
        <v>53101.06283184179</v>
      </c>
      <c r="F15" s="5" t="s">
        <v>93</v>
      </c>
      <c r="G15" s="22" t="str">
        <f t="shared" si="4"/>
        <v>53266.6510</v>
      </c>
      <c r="H15" s="31">
        <f t="shared" si="5"/>
        <v>20888</v>
      </c>
      <c r="I15" s="72" t="s">
        <v>119</v>
      </c>
      <c r="J15" s="73" t="s">
        <v>120</v>
      </c>
      <c r="K15" s="72">
        <v>20888</v>
      </c>
      <c r="L15" s="72" t="s">
        <v>121</v>
      </c>
      <c r="M15" s="73" t="s">
        <v>116</v>
      </c>
      <c r="N15" s="73" t="s">
        <v>110</v>
      </c>
      <c r="O15" s="74" t="s">
        <v>117</v>
      </c>
      <c r="P15" s="75" t="s">
        <v>118</v>
      </c>
    </row>
    <row r="16" spans="1:16" ht="12.75" customHeight="1" thickBot="1">
      <c r="A16" s="31" t="str">
        <f t="shared" si="0"/>
        <v>IBVS 5690 </v>
      </c>
      <c r="B16" s="5" t="str">
        <f t="shared" si="1"/>
        <v>II</v>
      </c>
      <c r="C16" s="31">
        <f t="shared" si="2"/>
        <v>53269.6381</v>
      </c>
      <c r="D16" s="22" t="str">
        <f t="shared" si="3"/>
        <v>vis</v>
      </c>
      <c r="E16" s="71">
        <f>VLOOKUP(C16,Active!C$21:E$972,3,FALSE)</f>
        <v>53115.07335697264</v>
      </c>
      <c r="F16" s="5" t="s">
        <v>93</v>
      </c>
      <c r="G16" s="22" t="str">
        <f t="shared" si="4"/>
        <v>53269.6381</v>
      </c>
      <c r="H16" s="31">
        <f t="shared" si="5"/>
        <v>20893.5</v>
      </c>
      <c r="I16" s="72" t="s">
        <v>122</v>
      </c>
      <c r="J16" s="73" t="s">
        <v>123</v>
      </c>
      <c r="K16" s="72">
        <v>20893.5</v>
      </c>
      <c r="L16" s="72" t="s">
        <v>124</v>
      </c>
      <c r="M16" s="73" t="s">
        <v>116</v>
      </c>
      <c r="N16" s="73" t="s">
        <v>110</v>
      </c>
      <c r="O16" s="74" t="s">
        <v>117</v>
      </c>
      <c r="P16" s="75" t="s">
        <v>118</v>
      </c>
    </row>
    <row r="17" spans="1:16" ht="12.75" customHeight="1" thickBot="1">
      <c r="A17" s="31" t="str">
        <f t="shared" si="0"/>
        <v>IBVS 5672 </v>
      </c>
      <c r="B17" s="5" t="str">
        <f t="shared" si="1"/>
        <v>II</v>
      </c>
      <c r="C17" s="31">
        <f t="shared" si="2"/>
        <v>53499.8972</v>
      </c>
      <c r="D17" s="22" t="str">
        <f t="shared" si="3"/>
        <v>vis</v>
      </c>
      <c r="E17" s="71">
        <f>VLOOKUP(C17,Active!C$21:E$972,3,FALSE)</f>
        <v>54195.06763475356</v>
      </c>
      <c r="F17" s="5" t="s">
        <v>93</v>
      </c>
      <c r="G17" s="22" t="str">
        <f t="shared" si="4"/>
        <v>53499.8972</v>
      </c>
      <c r="H17" s="31">
        <f t="shared" si="5"/>
        <v>21318.5</v>
      </c>
      <c r="I17" s="72" t="s">
        <v>125</v>
      </c>
      <c r="J17" s="73" t="s">
        <v>126</v>
      </c>
      <c r="K17" s="72">
        <v>21318.5</v>
      </c>
      <c r="L17" s="72" t="s">
        <v>127</v>
      </c>
      <c r="M17" s="73" t="s">
        <v>98</v>
      </c>
      <c r="N17" s="73" t="s">
        <v>99</v>
      </c>
      <c r="O17" s="74" t="s">
        <v>128</v>
      </c>
      <c r="P17" s="75" t="s">
        <v>129</v>
      </c>
    </row>
    <row r="18" spans="1:16" ht="12.75" customHeight="1" thickBot="1">
      <c r="A18" s="31" t="str">
        <f t="shared" si="0"/>
        <v>BAVM 178 </v>
      </c>
      <c r="B18" s="5" t="str">
        <f t="shared" si="1"/>
        <v>I</v>
      </c>
      <c r="C18" s="31">
        <f t="shared" si="2"/>
        <v>53515.4604</v>
      </c>
      <c r="D18" s="22" t="str">
        <f t="shared" si="3"/>
        <v>vis</v>
      </c>
      <c r="E18" s="71">
        <f>VLOOKUP(C18,Active!C$21:E$972,3,FALSE)</f>
        <v>54268.06438903586</v>
      </c>
      <c r="F18" s="5" t="s">
        <v>93</v>
      </c>
      <c r="G18" s="22" t="str">
        <f t="shared" si="4"/>
        <v>53515.4604</v>
      </c>
      <c r="H18" s="31">
        <f t="shared" si="5"/>
        <v>21347</v>
      </c>
      <c r="I18" s="72" t="s">
        <v>130</v>
      </c>
      <c r="J18" s="73" t="s">
        <v>131</v>
      </c>
      <c r="K18" s="72">
        <v>21347</v>
      </c>
      <c r="L18" s="72" t="s">
        <v>132</v>
      </c>
      <c r="M18" s="73" t="s">
        <v>116</v>
      </c>
      <c r="N18" s="73" t="s">
        <v>133</v>
      </c>
      <c r="O18" s="74" t="s">
        <v>111</v>
      </c>
      <c r="P18" s="75" t="s">
        <v>134</v>
      </c>
    </row>
    <row r="19" spans="1:16" ht="12.75" customHeight="1" thickBot="1">
      <c r="A19" s="31" t="str">
        <f t="shared" si="0"/>
        <v>BAVM 178 </v>
      </c>
      <c r="B19" s="5" t="str">
        <f t="shared" si="1"/>
        <v>I</v>
      </c>
      <c r="C19" s="31">
        <f t="shared" si="2"/>
        <v>53518.4479</v>
      </c>
      <c r="D19" s="22" t="str">
        <f t="shared" si="3"/>
        <v>vis</v>
      </c>
      <c r="E19" s="71">
        <f>VLOOKUP(C19,Active!C$21:E$972,3,FALSE)</f>
        <v>54282.07679030411</v>
      </c>
      <c r="F19" s="5" t="s">
        <v>93</v>
      </c>
      <c r="G19" s="22" t="str">
        <f t="shared" si="4"/>
        <v>53518.4479</v>
      </c>
      <c r="H19" s="31">
        <f t="shared" si="5"/>
        <v>21353</v>
      </c>
      <c r="I19" s="72" t="s">
        <v>135</v>
      </c>
      <c r="J19" s="73" t="s">
        <v>136</v>
      </c>
      <c r="K19" s="72" t="s">
        <v>137</v>
      </c>
      <c r="L19" s="72" t="s">
        <v>138</v>
      </c>
      <c r="M19" s="73" t="s">
        <v>116</v>
      </c>
      <c r="N19" s="73" t="s">
        <v>133</v>
      </c>
      <c r="O19" s="74" t="s">
        <v>111</v>
      </c>
      <c r="P19" s="75" t="s">
        <v>134</v>
      </c>
    </row>
    <row r="20" spans="1:16" ht="12.75" customHeight="1" thickBot="1">
      <c r="A20" s="31" t="str">
        <f t="shared" si="0"/>
        <v>BAVM 178 </v>
      </c>
      <c r="B20" s="5" t="str">
        <f t="shared" si="1"/>
        <v>II</v>
      </c>
      <c r="C20" s="31">
        <f t="shared" si="2"/>
        <v>53847.4224</v>
      </c>
      <c r="D20" s="22" t="str">
        <f t="shared" si="3"/>
        <v>vis</v>
      </c>
      <c r="E20" s="71">
        <f>VLOOKUP(C20,Active!C$21:E$972,3,FALSE)</f>
        <v>55825.08020487421</v>
      </c>
      <c r="F20" s="5" t="s">
        <v>93</v>
      </c>
      <c r="G20" s="22" t="str">
        <f t="shared" si="4"/>
        <v>53847.4224</v>
      </c>
      <c r="H20" s="31">
        <f t="shared" si="5"/>
        <v>21959.5</v>
      </c>
      <c r="I20" s="72" t="s">
        <v>139</v>
      </c>
      <c r="J20" s="73" t="s">
        <v>140</v>
      </c>
      <c r="K20" s="72" t="s">
        <v>141</v>
      </c>
      <c r="L20" s="72" t="s">
        <v>142</v>
      </c>
      <c r="M20" s="73" t="s">
        <v>116</v>
      </c>
      <c r="N20" s="73" t="s">
        <v>133</v>
      </c>
      <c r="O20" s="74" t="s">
        <v>111</v>
      </c>
      <c r="P20" s="75" t="s">
        <v>134</v>
      </c>
    </row>
    <row r="21" spans="1:16" ht="12.75" customHeight="1" thickBot="1">
      <c r="A21" s="31" t="str">
        <f t="shared" si="0"/>
        <v>BAVM 186 </v>
      </c>
      <c r="B21" s="5" t="str">
        <f t="shared" si="1"/>
        <v>II</v>
      </c>
      <c r="C21" s="31">
        <f t="shared" si="2"/>
        <v>54222.4375</v>
      </c>
      <c r="D21" s="22" t="str">
        <f t="shared" si="3"/>
        <v>vis</v>
      </c>
      <c r="E21" s="71">
        <f>VLOOKUP(C21,Active!C$21:E$972,3,FALSE)</f>
        <v>57584.02984934616</v>
      </c>
      <c r="F21" s="5" t="s">
        <v>93</v>
      </c>
      <c r="G21" s="22" t="str">
        <f t="shared" si="4"/>
        <v>54222.4375</v>
      </c>
      <c r="H21" s="31">
        <f t="shared" si="5"/>
        <v>22651.5</v>
      </c>
      <c r="I21" s="72" t="s">
        <v>143</v>
      </c>
      <c r="J21" s="73" t="s">
        <v>144</v>
      </c>
      <c r="K21" s="72" t="s">
        <v>145</v>
      </c>
      <c r="L21" s="72" t="s">
        <v>146</v>
      </c>
      <c r="M21" s="73" t="s">
        <v>116</v>
      </c>
      <c r="N21" s="73" t="s">
        <v>110</v>
      </c>
      <c r="O21" s="74" t="s">
        <v>147</v>
      </c>
      <c r="P21" s="75" t="s">
        <v>148</v>
      </c>
    </row>
    <row r="22" spans="1:16" ht="12.75" customHeight="1" thickBot="1">
      <c r="A22" s="31" t="str">
        <f t="shared" si="0"/>
        <v>IBVS 5837 </v>
      </c>
      <c r="B22" s="5" t="str">
        <f t="shared" si="1"/>
        <v>I</v>
      </c>
      <c r="C22" s="31">
        <f t="shared" si="2"/>
        <v>54297.4938</v>
      </c>
      <c r="D22" s="22" t="str">
        <f t="shared" si="3"/>
        <v>vis</v>
      </c>
      <c r="E22" s="71">
        <f>VLOOKUP(C22,Active!C$21:E$972,3,FALSE)</f>
        <v>57936.06967974332</v>
      </c>
      <c r="F22" s="5" t="s">
        <v>93</v>
      </c>
      <c r="G22" s="22" t="str">
        <f t="shared" si="4"/>
        <v>54297.4938</v>
      </c>
      <c r="H22" s="31">
        <f t="shared" si="5"/>
        <v>22790</v>
      </c>
      <c r="I22" s="72" t="s">
        <v>149</v>
      </c>
      <c r="J22" s="73" t="s">
        <v>150</v>
      </c>
      <c r="K22" s="72" t="s">
        <v>151</v>
      </c>
      <c r="L22" s="72" t="s">
        <v>152</v>
      </c>
      <c r="M22" s="73" t="s">
        <v>116</v>
      </c>
      <c r="N22" s="73" t="s">
        <v>93</v>
      </c>
      <c r="O22" s="74" t="s">
        <v>153</v>
      </c>
      <c r="P22" s="75" t="s">
        <v>154</v>
      </c>
    </row>
    <row r="23" spans="1:16" ht="12.75" customHeight="1" thickBot="1">
      <c r="A23" s="31" t="str">
        <f t="shared" si="0"/>
        <v>BAVM 209 </v>
      </c>
      <c r="B23" s="5" t="str">
        <f t="shared" si="1"/>
        <v>I</v>
      </c>
      <c r="C23" s="31">
        <f t="shared" si="2"/>
        <v>54937.5272</v>
      </c>
      <c r="D23" s="22" t="str">
        <f t="shared" si="3"/>
        <v>vis</v>
      </c>
      <c r="E23" s="71">
        <f>VLOOKUP(C23,Active!C$21:E$972,3,FALSE)</f>
        <v>60938.04619050297</v>
      </c>
      <c r="F23" s="5" t="s">
        <v>93</v>
      </c>
      <c r="G23" s="22" t="str">
        <f t="shared" si="4"/>
        <v>54937.5272</v>
      </c>
      <c r="H23" s="31">
        <f t="shared" si="5"/>
        <v>23971</v>
      </c>
      <c r="I23" s="72" t="s">
        <v>155</v>
      </c>
      <c r="J23" s="73" t="s">
        <v>156</v>
      </c>
      <c r="K23" s="72" t="s">
        <v>157</v>
      </c>
      <c r="L23" s="72" t="s">
        <v>158</v>
      </c>
      <c r="M23" s="73" t="s">
        <v>116</v>
      </c>
      <c r="N23" s="73" t="s">
        <v>133</v>
      </c>
      <c r="O23" s="74" t="s">
        <v>111</v>
      </c>
      <c r="P23" s="75" t="s">
        <v>159</v>
      </c>
    </row>
    <row r="24" spans="1:16" ht="12.75" customHeight="1" thickBot="1">
      <c r="A24" s="31" t="str">
        <f t="shared" si="0"/>
        <v>IBVS 5945 </v>
      </c>
      <c r="B24" s="5" t="str">
        <f t="shared" si="1"/>
        <v>II</v>
      </c>
      <c r="C24" s="31">
        <f t="shared" si="2"/>
        <v>55312.761</v>
      </c>
      <c r="D24" s="22" t="str">
        <f t="shared" si="3"/>
        <v>vis</v>
      </c>
      <c r="E24" s="71">
        <f>VLOOKUP(C24,Active!C$21:E$972,3,FALSE)</f>
        <v>62698.02161310293</v>
      </c>
      <c r="F24" s="5" t="s">
        <v>93</v>
      </c>
      <c r="G24" s="22" t="str">
        <f t="shared" si="4"/>
        <v>55312.7610</v>
      </c>
      <c r="H24" s="31">
        <f t="shared" si="5"/>
        <v>24663.5</v>
      </c>
      <c r="I24" s="72" t="s">
        <v>160</v>
      </c>
      <c r="J24" s="73" t="s">
        <v>161</v>
      </c>
      <c r="K24" s="72" t="s">
        <v>162</v>
      </c>
      <c r="L24" s="72" t="s">
        <v>163</v>
      </c>
      <c r="M24" s="73" t="s">
        <v>116</v>
      </c>
      <c r="N24" s="73" t="s">
        <v>93</v>
      </c>
      <c r="O24" s="74" t="s">
        <v>153</v>
      </c>
      <c r="P24" s="75" t="s">
        <v>164</v>
      </c>
    </row>
    <row r="25" spans="1:16" ht="12.75" customHeight="1" thickBot="1">
      <c r="A25" s="31" t="str">
        <f t="shared" si="0"/>
        <v>BAVM 215 </v>
      </c>
      <c r="B25" s="5" t="str">
        <f t="shared" si="1"/>
        <v>I</v>
      </c>
      <c r="C25" s="31">
        <f t="shared" si="2"/>
        <v>55388.4487</v>
      </c>
      <c r="D25" s="22" t="str">
        <f t="shared" si="3"/>
        <v>vis</v>
      </c>
      <c r="E25" s="71">
        <f>VLOOKUP(C25,Active!C$21:E$972,3,FALSE)</f>
        <v>63053.02292639913</v>
      </c>
      <c r="F25" s="5" t="s">
        <v>93</v>
      </c>
      <c r="G25" s="22" t="str">
        <f t="shared" si="4"/>
        <v>55388.4487</v>
      </c>
      <c r="H25" s="31">
        <f t="shared" si="5"/>
        <v>24803</v>
      </c>
      <c r="I25" s="72" t="s">
        <v>165</v>
      </c>
      <c r="J25" s="73" t="s">
        <v>166</v>
      </c>
      <c r="K25" s="72" t="s">
        <v>167</v>
      </c>
      <c r="L25" s="72" t="s">
        <v>168</v>
      </c>
      <c r="M25" s="73" t="s">
        <v>116</v>
      </c>
      <c r="N25" s="73" t="s">
        <v>133</v>
      </c>
      <c r="O25" s="74" t="s">
        <v>111</v>
      </c>
      <c r="P25" s="75" t="s">
        <v>169</v>
      </c>
    </row>
    <row r="26" spans="1:16" ht="12.75" customHeight="1" thickBot="1">
      <c r="A26" s="31" t="str">
        <f t="shared" si="0"/>
        <v>IBVS 5992 </v>
      </c>
      <c r="B26" s="5" t="str">
        <f t="shared" si="1"/>
        <v>I</v>
      </c>
      <c r="C26" s="31">
        <f t="shared" si="2"/>
        <v>55726.7976</v>
      </c>
      <c r="D26" s="22" t="str">
        <f t="shared" si="3"/>
        <v>vis</v>
      </c>
      <c r="E26" s="71">
        <f>VLOOKUP(C26,Active!C$21:E$972,3,FALSE)</f>
        <v>64639.9954972702</v>
      </c>
      <c r="F26" s="5" t="s">
        <v>93</v>
      </c>
      <c r="G26" s="22" t="str">
        <f t="shared" si="4"/>
        <v>55726.7976</v>
      </c>
      <c r="H26" s="31">
        <f t="shared" si="5"/>
        <v>25427</v>
      </c>
      <c r="I26" s="72" t="s">
        <v>170</v>
      </c>
      <c r="J26" s="73" t="s">
        <v>171</v>
      </c>
      <c r="K26" s="72" t="s">
        <v>172</v>
      </c>
      <c r="L26" s="72" t="s">
        <v>173</v>
      </c>
      <c r="M26" s="73" t="s">
        <v>116</v>
      </c>
      <c r="N26" s="73" t="s">
        <v>93</v>
      </c>
      <c r="O26" s="74" t="s">
        <v>153</v>
      </c>
      <c r="P26" s="75" t="s">
        <v>174</v>
      </c>
    </row>
    <row r="27" spans="1:16" ht="12.75" customHeight="1" thickBot="1">
      <c r="A27" s="31" t="str">
        <f t="shared" si="0"/>
        <v>BAVM 228 </v>
      </c>
      <c r="B27" s="5" t="str">
        <f t="shared" si="1"/>
        <v>II</v>
      </c>
      <c r="C27" s="31">
        <f t="shared" si="2"/>
        <v>56001.6202</v>
      </c>
      <c r="D27" s="22" t="str">
        <f t="shared" si="3"/>
        <v>vis</v>
      </c>
      <c r="E27" s="71">
        <f>VLOOKUP(C27,Active!C$21:E$972,3,FALSE)</f>
        <v>65929.00789853848</v>
      </c>
      <c r="F27" s="5" t="s">
        <v>93</v>
      </c>
      <c r="G27" s="22" t="str">
        <f t="shared" si="4"/>
        <v>56001.6202</v>
      </c>
      <c r="H27" s="31">
        <f t="shared" si="5"/>
        <v>25934.5</v>
      </c>
      <c r="I27" s="72" t="s">
        <v>175</v>
      </c>
      <c r="J27" s="73" t="s">
        <v>176</v>
      </c>
      <c r="K27" s="72" t="s">
        <v>177</v>
      </c>
      <c r="L27" s="72" t="s">
        <v>178</v>
      </c>
      <c r="M27" s="73" t="s">
        <v>116</v>
      </c>
      <c r="N27" s="73" t="s">
        <v>110</v>
      </c>
      <c r="O27" s="74" t="s">
        <v>147</v>
      </c>
      <c r="P27" s="75" t="s">
        <v>179</v>
      </c>
    </row>
    <row r="28" spans="1:16" ht="12.75" customHeight="1" thickBot="1">
      <c r="A28" s="31" t="str">
        <f t="shared" si="0"/>
        <v>BAVM 228 </v>
      </c>
      <c r="B28" s="5" t="str">
        <f t="shared" si="1"/>
        <v>II</v>
      </c>
      <c r="C28" s="31">
        <f t="shared" si="2"/>
        <v>56006.5255</v>
      </c>
      <c r="D28" s="22" t="str">
        <f t="shared" si="3"/>
        <v>vis</v>
      </c>
      <c r="E28" s="71">
        <f>VLOOKUP(C28,Active!C$21:E$972,3,FALSE)</f>
        <v>65952.01544061088</v>
      </c>
      <c r="F28" s="5" t="s">
        <v>93</v>
      </c>
      <c r="G28" s="22" t="str">
        <f t="shared" si="4"/>
        <v>56006.5255</v>
      </c>
      <c r="H28" s="31">
        <f t="shared" si="5"/>
        <v>25943.5</v>
      </c>
      <c r="I28" s="72" t="s">
        <v>180</v>
      </c>
      <c r="J28" s="73" t="s">
        <v>181</v>
      </c>
      <c r="K28" s="72" t="s">
        <v>182</v>
      </c>
      <c r="L28" s="72" t="s">
        <v>183</v>
      </c>
      <c r="M28" s="73" t="s">
        <v>116</v>
      </c>
      <c r="N28" s="73" t="s">
        <v>110</v>
      </c>
      <c r="O28" s="74" t="s">
        <v>147</v>
      </c>
      <c r="P28" s="75" t="s">
        <v>179</v>
      </c>
    </row>
    <row r="29" spans="1:16" ht="12.75" customHeight="1" thickBot="1">
      <c r="A29" s="31" t="str">
        <f t="shared" si="0"/>
        <v>BAVM 228 </v>
      </c>
      <c r="B29" s="5" t="str">
        <f t="shared" si="1"/>
        <v>I</v>
      </c>
      <c r="C29" s="31">
        <f t="shared" si="2"/>
        <v>56055.5548</v>
      </c>
      <c r="D29" s="22" t="str">
        <f t="shared" si="3"/>
        <v>vis</v>
      </c>
      <c r="E29" s="71">
        <f>VLOOKUP(C29,Active!C$21:E$972,3,FALSE)</f>
        <v>66181.97970019323</v>
      </c>
      <c r="F29" s="5" t="s">
        <v>93</v>
      </c>
      <c r="G29" s="22" t="str">
        <f t="shared" si="4"/>
        <v>56055.5548</v>
      </c>
      <c r="H29" s="31">
        <f t="shared" si="5"/>
        <v>26034</v>
      </c>
      <c r="I29" s="72" t="s">
        <v>189</v>
      </c>
      <c r="J29" s="73" t="s">
        <v>190</v>
      </c>
      <c r="K29" s="72" t="s">
        <v>191</v>
      </c>
      <c r="L29" s="72" t="s">
        <v>192</v>
      </c>
      <c r="M29" s="73" t="s">
        <v>116</v>
      </c>
      <c r="N29" s="73" t="s">
        <v>133</v>
      </c>
      <c r="O29" s="74" t="s">
        <v>111</v>
      </c>
      <c r="P29" s="75" t="s">
        <v>179</v>
      </c>
    </row>
    <row r="30" spans="1:16" ht="12.75" customHeight="1" thickBot="1">
      <c r="A30" s="31" t="str">
        <f t="shared" si="0"/>
        <v>BAVM 232 </v>
      </c>
      <c r="B30" s="5" t="str">
        <f t="shared" si="1"/>
        <v>II</v>
      </c>
      <c r="C30" s="31">
        <f t="shared" si="2"/>
        <v>56489.419</v>
      </c>
      <c r="D30" s="22" t="str">
        <f t="shared" si="3"/>
        <v>vis</v>
      </c>
      <c r="E30" s="71">
        <f>VLOOKUP(C30,Active!C$21:E$972,3,FALSE)</f>
        <v>68216.95183955273</v>
      </c>
      <c r="F30" s="5" t="s">
        <v>93</v>
      </c>
      <c r="G30" s="22" t="str">
        <f t="shared" si="4"/>
        <v>56489.4190</v>
      </c>
      <c r="H30" s="31">
        <f t="shared" si="5"/>
        <v>26834.5</v>
      </c>
      <c r="I30" s="72" t="s">
        <v>193</v>
      </c>
      <c r="J30" s="73" t="s">
        <v>194</v>
      </c>
      <c r="K30" s="72" t="s">
        <v>195</v>
      </c>
      <c r="L30" s="72" t="s">
        <v>196</v>
      </c>
      <c r="M30" s="73" t="s">
        <v>116</v>
      </c>
      <c r="N30" s="73" t="s">
        <v>110</v>
      </c>
      <c r="O30" s="74" t="s">
        <v>197</v>
      </c>
      <c r="P30" s="75" t="s">
        <v>198</v>
      </c>
    </row>
    <row r="31" spans="1:16" ht="12.75" customHeight="1" thickBot="1">
      <c r="A31" s="31" t="str">
        <f t="shared" si="0"/>
        <v>IBVS 6050 </v>
      </c>
      <c r="B31" s="5" t="str">
        <f t="shared" si="1"/>
        <v>II</v>
      </c>
      <c r="C31" s="31">
        <f t="shared" si="2"/>
        <v>56024.8529</v>
      </c>
      <c r="D31" s="22" t="str">
        <f t="shared" si="3"/>
        <v>vis</v>
      </c>
      <c r="E31" s="71" t="e">
        <f>VLOOKUP(C31,Active!C$21:E$972,3,FALSE)</f>
        <v>#N/A</v>
      </c>
      <c r="F31" s="5" t="s">
        <v>93</v>
      </c>
      <c r="G31" s="22" t="str">
        <f t="shared" si="4"/>
        <v>56024.8529</v>
      </c>
      <c r="H31" s="31">
        <f t="shared" si="5"/>
        <v>25977.5</v>
      </c>
      <c r="I31" s="72" t="s">
        <v>184</v>
      </c>
      <c r="J31" s="73" t="s">
        <v>185</v>
      </c>
      <c r="K31" s="72" t="s">
        <v>186</v>
      </c>
      <c r="L31" s="72" t="s">
        <v>187</v>
      </c>
      <c r="M31" s="73" t="s">
        <v>116</v>
      </c>
      <c r="N31" s="73" t="s">
        <v>85</v>
      </c>
      <c r="O31" s="74" t="s">
        <v>128</v>
      </c>
      <c r="P31" s="75" t="s">
        <v>188</v>
      </c>
    </row>
    <row r="32" spans="2:6" ht="12.75">
      <c r="B32" s="5"/>
      <c r="E32" s="71"/>
      <c r="F32" s="5"/>
    </row>
    <row r="33" spans="2:6" ht="12.75">
      <c r="B33" s="5"/>
      <c r="E33" s="71"/>
      <c r="F33" s="5"/>
    </row>
    <row r="34" spans="2:6" ht="12.75">
      <c r="B34" s="5"/>
      <c r="E34" s="71"/>
      <c r="F34" s="5"/>
    </row>
    <row r="35" spans="2:6" ht="12.75">
      <c r="B35" s="5"/>
      <c r="E35" s="71"/>
      <c r="F35" s="5"/>
    </row>
    <row r="36" spans="2:6" ht="12.75">
      <c r="B36" s="5"/>
      <c r="E36" s="71"/>
      <c r="F36" s="5"/>
    </row>
    <row r="37" spans="2:6" ht="12.75">
      <c r="B37" s="5"/>
      <c r="E37" s="71"/>
      <c r="F37" s="5"/>
    </row>
    <row r="38" spans="2:6" ht="12.75">
      <c r="B38" s="5"/>
      <c r="E38" s="71"/>
      <c r="F38" s="5"/>
    </row>
    <row r="39" spans="2:6" ht="12.75">
      <c r="B39" s="5"/>
      <c r="E39" s="71"/>
      <c r="F39" s="5"/>
    </row>
    <row r="40" spans="2:6" ht="12.75">
      <c r="B40" s="5"/>
      <c r="E40" s="71"/>
      <c r="F40" s="5"/>
    </row>
    <row r="41" spans="2:6" ht="12.75">
      <c r="B41" s="5"/>
      <c r="E41" s="71"/>
      <c r="F41" s="5"/>
    </row>
    <row r="42" spans="2:6" ht="12.75">
      <c r="B42" s="5"/>
      <c r="E42" s="71"/>
      <c r="F42" s="5"/>
    </row>
    <row r="43" spans="2:6" ht="12.75">
      <c r="B43" s="5"/>
      <c r="E43" s="71"/>
      <c r="F43" s="5"/>
    </row>
    <row r="44" spans="2:6" ht="12.75">
      <c r="B44" s="5"/>
      <c r="E44" s="71"/>
      <c r="F44" s="5"/>
    </row>
    <row r="45" spans="2:6" ht="12.75">
      <c r="B45" s="5"/>
      <c r="E45" s="71"/>
      <c r="F45" s="5"/>
    </row>
    <row r="46" spans="2:6" ht="12.75">
      <c r="B46" s="5"/>
      <c r="E46" s="71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</sheetData>
  <sheetProtection/>
  <hyperlinks>
    <hyperlink ref="P12" r:id="rId1" display="http://www.konkoly.hu/cgi-bin/IBVS?5603"/>
    <hyperlink ref="P13" r:id="rId2" display="http://www.bav-astro.de/sfs/BAVM_link.php?BAVMnr=173"/>
    <hyperlink ref="P14" r:id="rId3" display="http://www.konkoly.hu/cgi-bin/IBVS?5690"/>
    <hyperlink ref="P15" r:id="rId4" display="http://www.konkoly.hu/cgi-bin/IBVS?5690"/>
    <hyperlink ref="P16" r:id="rId5" display="http://www.konkoly.hu/cgi-bin/IBVS?5690"/>
    <hyperlink ref="P17" r:id="rId6" display="http://www.konkoly.hu/cgi-bin/IBVS?5672"/>
    <hyperlink ref="P18" r:id="rId7" display="http://www.bav-astro.de/sfs/BAVM_link.php?BAVMnr=178"/>
    <hyperlink ref="P19" r:id="rId8" display="http://www.bav-astro.de/sfs/BAVM_link.php?BAVMnr=178"/>
    <hyperlink ref="P20" r:id="rId9" display="http://www.bav-astro.de/sfs/BAVM_link.php?BAVMnr=178"/>
    <hyperlink ref="P21" r:id="rId10" display="http://www.bav-astro.de/sfs/BAVM_link.php?BAVMnr=186"/>
    <hyperlink ref="P22" r:id="rId11" display="http://www.konkoly.hu/cgi-bin/IBVS?5837"/>
    <hyperlink ref="P23" r:id="rId12" display="http://www.bav-astro.de/sfs/BAVM_link.php?BAVMnr=209"/>
    <hyperlink ref="P24" r:id="rId13" display="http://www.konkoly.hu/cgi-bin/IBVS?5945"/>
    <hyperlink ref="P25" r:id="rId14" display="http://www.bav-astro.de/sfs/BAVM_link.php?BAVMnr=215"/>
    <hyperlink ref="P26" r:id="rId15" display="http://www.konkoly.hu/cgi-bin/IBVS?5992"/>
    <hyperlink ref="P27" r:id="rId16" display="http://www.bav-astro.de/sfs/BAVM_link.php?BAVMnr=228"/>
    <hyperlink ref="P28" r:id="rId17" display="http://www.bav-astro.de/sfs/BAVM_link.php?BAVMnr=228"/>
    <hyperlink ref="P31" r:id="rId18" display="http://www.konkoly.hu/cgi-bin/IBVS?6050"/>
    <hyperlink ref="P29" r:id="rId19" display="http://www.bav-astro.de/sfs/BAVM_link.php?BAVMnr=228"/>
    <hyperlink ref="P30" r:id="rId20" display="http://www.bav-astro.de/sfs/BAVM_link.php?BAVMnr=23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1890845731</vt:i4>
  </property>
  <property fmtid="{D5CDD505-2E9C-101B-9397-08002B2CF9AE}" pid="3" name="_EmailSubject">
    <vt:lpwstr>V731 Her - recommend updated ephemeris</vt:lpwstr>
  </property>
  <property fmtid="{D5CDD505-2E9C-101B-9397-08002B2CF9AE}" pid="4" name="_AuthorEmail">
    <vt:lpwstr>tkrajci@san.osd.mil</vt:lpwstr>
  </property>
  <property fmtid="{D5CDD505-2E9C-101B-9397-08002B2CF9AE}" pid="5" name="_AuthorEmailDisplayName">
    <vt:lpwstr>Tom Krajci</vt:lpwstr>
  </property>
  <property fmtid="{D5CDD505-2E9C-101B-9397-08002B2CF9AE}" pid="6" name="_ReviewingToolsShownOnce">
    <vt:lpwstr/>
  </property>
</Properties>
</file>