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80E2CAE6-477D-4285-90F2-7944C442DFD3}" xr6:coauthVersionLast="47" xr6:coauthVersionMax="47" xr10:uidLastSave="{00000000-0000-0000-0000-000000000000}"/>
  <bookViews>
    <workbookView xWindow="14055" yWindow="1275" windowWidth="12975" windowHeight="14640"/>
  </bookViews>
  <sheets>
    <sheet name="Active 1" sheetId="6" r:id="rId1"/>
    <sheet name="Active 2" sheetId="1" r:id="rId2"/>
    <sheet name="BAV" sheetId="3" r:id="rId3"/>
    <sheet name="Q_fit" sheetId="5" r:id="rId4"/>
  </sheets>
  <definedNames>
    <definedName name="solver_adj" localSheetId="0" hidden="1">'Active 1'!$AF$48:$AF$49</definedName>
    <definedName name="solver_adj" localSheetId="1" hidden="1">'Active 2'!$AF$48:$AF$49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'Active 1'!$AF$50</definedName>
    <definedName name="solver_opt" localSheetId="1" hidden="1">'Active 2'!$AF$50</definedName>
    <definedName name="solver_pre" localSheetId="0" hidden="1">0.000001</definedName>
    <definedName name="solver_pre" localSheetId="1" hidden="1">0.000001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calcId="181029"/>
</workbook>
</file>

<file path=xl/calcChain.xml><?xml version="1.0" encoding="utf-8"?>
<calcChain xmlns="http://schemas.openxmlformats.org/spreadsheetml/2006/main">
  <c r="Q102" i="1" l="1"/>
  <c r="Q104" i="1"/>
  <c r="Q104" i="6"/>
  <c r="Q106" i="6"/>
  <c r="Q101" i="1"/>
  <c r="Q103" i="1"/>
  <c r="AF94" i="6"/>
  <c r="AG94" i="6" s="1"/>
  <c r="AF100" i="6"/>
  <c r="AG100" i="6"/>
  <c r="AF101" i="6"/>
  <c r="AG101" i="6" s="1"/>
  <c r="AF99" i="6"/>
  <c r="AG99" i="6"/>
  <c r="Q105" i="6"/>
  <c r="D9" i="6"/>
  <c r="C9" i="6"/>
  <c r="E85" i="6"/>
  <c r="F85" i="6"/>
  <c r="P85" i="6" s="1"/>
  <c r="D11" i="6"/>
  <c r="D12" i="6"/>
  <c r="Q102" i="6"/>
  <c r="E76" i="6"/>
  <c r="F76" i="6" s="1"/>
  <c r="D14" i="6"/>
  <c r="C14" i="6"/>
  <c r="Q94" i="6"/>
  <c r="Q103" i="6"/>
  <c r="D13" i="6"/>
  <c r="C7" i="6"/>
  <c r="E104" i="6" s="1"/>
  <c r="F104" i="6" s="1"/>
  <c r="G104" i="6" s="1"/>
  <c r="C8" i="6"/>
  <c r="E31" i="6" s="1"/>
  <c r="F31" i="6" s="1"/>
  <c r="F16" i="6"/>
  <c r="C17" i="6"/>
  <c r="E21" i="6"/>
  <c r="F21" i="6" s="1"/>
  <c r="Q21" i="6"/>
  <c r="Q22" i="6"/>
  <c r="E23" i="6"/>
  <c r="F23" i="6" s="1"/>
  <c r="Q23" i="6"/>
  <c r="E24" i="6"/>
  <c r="F24" i="6"/>
  <c r="G24" i="6" s="1"/>
  <c r="Q24" i="6"/>
  <c r="Q25" i="6"/>
  <c r="Q26" i="6"/>
  <c r="E27" i="6"/>
  <c r="F27" i="6"/>
  <c r="G27" i="6" s="1"/>
  <c r="I27" i="6" s="1"/>
  <c r="Q27" i="6"/>
  <c r="Q28" i="6"/>
  <c r="Q29" i="6"/>
  <c r="E30" i="6"/>
  <c r="F30" i="6" s="1"/>
  <c r="Q30" i="6"/>
  <c r="Q31" i="6"/>
  <c r="Q32" i="6"/>
  <c r="E33" i="6"/>
  <c r="F33" i="6"/>
  <c r="G33" i="6"/>
  <c r="X33" i="6" s="1"/>
  <c r="Q33" i="6"/>
  <c r="Q34" i="6"/>
  <c r="Q35" i="6"/>
  <c r="E36" i="6"/>
  <c r="F36" i="6"/>
  <c r="G36" i="6"/>
  <c r="K36" i="6" s="1"/>
  <c r="Q36" i="6"/>
  <c r="Q37" i="6"/>
  <c r="E38" i="6"/>
  <c r="F38" i="6"/>
  <c r="G38" i="6"/>
  <c r="I38" i="6" s="1"/>
  <c r="Q38" i="6"/>
  <c r="Q39" i="6"/>
  <c r="Q40" i="6"/>
  <c r="E41" i="6"/>
  <c r="F41" i="6" s="1"/>
  <c r="Q41" i="6"/>
  <c r="E42" i="6"/>
  <c r="F42" i="6" s="1"/>
  <c r="Q42" i="6"/>
  <c r="Q43" i="6"/>
  <c r="Q44" i="6"/>
  <c r="E45" i="6"/>
  <c r="F45" i="6" s="1"/>
  <c r="Q45" i="6"/>
  <c r="Q46" i="6"/>
  <c r="Q47" i="6"/>
  <c r="E48" i="6"/>
  <c r="F48" i="6"/>
  <c r="G48" i="6" s="1"/>
  <c r="Q48" i="6"/>
  <c r="Q49" i="6"/>
  <c r="E50" i="6"/>
  <c r="F50" i="6"/>
  <c r="G50" i="6" s="1"/>
  <c r="Q50" i="6"/>
  <c r="AF53" i="6"/>
  <c r="AG53" i="6" s="1"/>
  <c r="AF54" i="6"/>
  <c r="AG54" i="6" s="1"/>
  <c r="AF55" i="6"/>
  <c r="AG55" i="6"/>
  <c r="AF56" i="6"/>
  <c r="AG56" i="6"/>
  <c r="AF57" i="6"/>
  <c r="AG57" i="6" s="1"/>
  <c r="AF58" i="6"/>
  <c r="AG58" i="6" s="1"/>
  <c r="AF59" i="6"/>
  <c r="AG59" i="6"/>
  <c r="AF60" i="6"/>
  <c r="AG60" i="6"/>
  <c r="AF61" i="6"/>
  <c r="AG61" i="6" s="1"/>
  <c r="AF62" i="6"/>
  <c r="AG62" i="6" s="1"/>
  <c r="AF63" i="6"/>
  <c r="AG63" i="6"/>
  <c r="AF64" i="6"/>
  <c r="AG64" i="6"/>
  <c r="AF65" i="6"/>
  <c r="AG65" i="6" s="1"/>
  <c r="AF66" i="6"/>
  <c r="AG66" i="6" s="1"/>
  <c r="AF67" i="6"/>
  <c r="AG67" i="6"/>
  <c r="AF68" i="6"/>
  <c r="AG68" i="6"/>
  <c r="AF69" i="6"/>
  <c r="AG69" i="6" s="1"/>
  <c r="AF70" i="6"/>
  <c r="AG70" i="6" s="1"/>
  <c r="AF71" i="6"/>
  <c r="AG71" i="6"/>
  <c r="AF72" i="6"/>
  <c r="AG72" i="6"/>
  <c r="AF73" i="6"/>
  <c r="AG73" i="6" s="1"/>
  <c r="AF74" i="6"/>
  <c r="AG74" i="6" s="1"/>
  <c r="AF75" i="6"/>
  <c r="AG75" i="6"/>
  <c r="AF76" i="6"/>
  <c r="AG76" i="6"/>
  <c r="AF77" i="6"/>
  <c r="AG77" i="6" s="1"/>
  <c r="AF78" i="6"/>
  <c r="AG78" i="6" s="1"/>
  <c r="AF79" i="6"/>
  <c r="AG79" i="6"/>
  <c r="AF80" i="6"/>
  <c r="AG80" i="6"/>
  <c r="AF81" i="6"/>
  <c r="AG81" i="6" s="1"/>
  <c r="AF82" i="6"/>
  <c r="AG82" i="6" s="1"/>
  <c r="AF83" i="6"/>
  <c r="AG83" i="6"/>
  <c r="AF84" i="6"/>
  <c r="AG84" i="6"/>
  <c r="AF85" i="6"/>
  <c r="AG85" i="6" s="1"/>
  <c r="AF86" i="6"/>
  <c r="AG86" i="6" s="1"/>
  <c r="AF87" i="6"/>
  <c r="AG87" i="6"/>
  <c r="AF88" i="6"/>
  <c r="AG88" i="6"/>
  <c r="AF89" i="6"/>
  <c r="AG89" i="6" s="1"/>
  <c r="AF90" i="6"/>
  <c r="AG90" i="6" s="1"/>
  <c r="AF91" i="6"/>
  <c r="AG91" i="6"/>
  <c r="AF92" i="6"/>
  <c r="AG92" i="6"/>
  <c r="AF93" i="6"/>
  <c r="AG93" i="6" s="1"/>
  <c r="AF95" i="6"/>
  <c r="AG95" i="6" s="1"/>
  <c r="AF96" i="6"/>
  <c r="AG96" i="6"/>
  <c r="AF97" i="6"/>
  <c r="AG97" i="6"/>
  <c r="AF98" i="6"/>
  <c r="AG98" i="6" s="1"/>
  <c r="E51" i="6"/>
  <c r="F51" i="6" s="1"/>
  <c r="Q51" i="6"/>
  <c r="E52" i="6"/>
  <c r="F52" i="6" s="1"/>
  <c r="Q52" i="6"/>
  <c r="E53" i="6"/>
  <c r="F53" i="6" s="1"/>
  <c r="Q53" i="6"/>
  <c r="E54" i="6"/>
  <c r="F54" i="6" s="1"/>
  <c r="Q54" i="6"/>
  <c r="E55" i="6"/>
  <c r="F55" i="6" s="1"/>
  <c r="G55" i="6" s="1"/>
  <c r="Q55" i="6"/>
  <c r="E56" i="6"/>
  <c r="F56" i="6"/>
  <c r="P56" i="6" s="1"/>
  <c r="G56" i="6"/>
  <c r="I56" i="6" s="1"/>
  <c r="Q56" i="6"/>
  <c r="E57" i="6"/>
  <c r="F57" i="6" s="1"/>
  <c r="Q57" i="6"/>
  <c r="E58" i="6"/>
  <c r="F58" i="6"/>
  <c r="G58" i="6" s="1"/>
  <c r="Q58" i="6"/>
  <c r="E59" i="6"/>
  <c r="F59" i="6" s="1"/>
  <c r="Q59" i="6"/>
  <c r="E60" i="6"/>
  <c r="F60" i="6" s="1"/>
  <c r="Q60" i="6"/>
  <c r="E61" i="6"/>
  <c r="F61" i="6" s="1"/>
  <c r="Q61" i="6"/>
  <c r="E62" i="6"/>
  <c r="F62" i="6" s="1"/>
  <c r="Q62" i="6"/>
  <c r="E63" i="6"/>
  <c r="F63" i="6" s="1"/>
  <c r="Q63" i="6"/>
  <c r="E64" i="6"/>
  <c r="F64" i="6"/>
  <c r="G64" i="6" s="1"/>
  <c r="K64" i="6" s="1"/>
  <c r="Q64" i="6"/>
  <c r="E65" i="6"/>
  <c r="F65" i="6"/>
  <c r="G65" i="6"/>
  <c r="I65" i="6" s="1"/>
  <c r="Q65" i="6"/>
  <c r="E66" i="6"/>
  <c r="F66" i="6" s="1"/>
  <c r="Q66" i="6"/>
  <c r="E67" i="6"/>
  <c r="F67" i="6" s="1"/>
  <c r="Q67" i="6"/>
  <c r="E68" i="6"/>
  <c r="F68" i="6" s="1"/>
  <c r="Q68" i="6"/>
  <c r="E69" i="6"/>
  <c r="F69" i="6" s="1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5" i="6"/>
  <c r="Q96" i="6"/>
  <c r="Q97" i="6"/>
  <c r="Q98" i="6"/>
  <c r="Q99" i="6"/>
  <c r="Q100" i="6"/>
  <c r="Q101" i="6"/>
  <c r="AF53" i="1"/>
  <c r="AG53" i="1" s="1"/>
  <c r="AF54" i="1"/>
  <c r="AG54" i="1"/>
  <c r="AF55" i="1"/>
  <c r="AG55" i="1" s="1"/>
  <c r="AF56" i="1"/>
  <c r="AG56" i="1" s="1"/>
  <c r="AF57" i="1"/>
  <c r="AG57" i="1" s="1"/>
  <c r="AF58" i="1"/>
  <c r="AG58" i="1"/>
  <c r="AF59" i="1"/>
  <c r="AG59" i="1" s="1"/>
  <c r="AF60" i="1"/>
  <c r="AG60" i="1" s="1"/>
  <c r="AF61" i="1"/>
  <c r="AG61" i="1" s="1"/>
  <c r="AF62" i="1"/>
  <c r="AG62" i="1"/>
  <c r="AF63" i="1"/>
  <c r="AG63" i="1" s="1"/>
  <c r="AF64" i="1"/>
  <c r="AG64" i="1" s="1"/>
  <c r="AF65" i="1"/>
  <c r="AG65" i="1" s="1"/>
  <c r="AF66" i="1"/>
  <c r="AG66" i="1"/>
  <c r="AF67" i="1"/>
  <c r="AG67" i="1" s="1"/>
  <c r="AF68" i="1"/>
  <c r="AG68" i="1" s="1"/>
  <c r="AF69" i="1"/>
  <c r="AG69" i="1" s="1"/>
  <c r="AF70" i="1"/>
  <c r="AG70" i="1"/>
  <c r="AF71" i="1"/>
  <c r="AG71" i="1" s="1"/>
  <c r="AF72" i="1"/>
  <c r="AG72" i="1" s="1"/>
  <c r="AF73" i="1"/>
  <c r="AG73" i="1" s="1"/>
  <c r="AF74" i="1"/>
  <c r="AG74" i="1"/>
  <c r="AF75" i="1"/>
  <c r="AG75" i="1" s="1"/>
  <c r="AF76" i="1"/>
  <c r="AG76" i="1" s="1"/>
  <c r="AF77" i="1"/>
  <c r="AG77" i="1" s="1"/>
  <c r="AF78" i="1"/>
  <c r="AG78" i="1"/>
  <c r="AF79" i="1"/>
  <c r="AG79" i="1" s="1"/>
  <c r="AF80" i="1"/>
  <c r="AG80" i="1" s="1"/>
  <c r="AF81" i="1"/>
  <c r="AG81" i="1" s="1"/>
  <c r="AF82" i="1"/>
  <c r="AG82" i="1"/>
  <c r="AF83" i="1"/>
  <c r="AG83" i="1" s="1"/>
  <c r="AF84" i="1"/>
  <c r="AG84" i="1" s="1"/>
  <c r="AF85" i="1"/>
  <c r="AG85" i="1" s="1"/>
  <c r="AF86" i="1"/>
  <c r="AG86" i="1"/>
  <c r="AF87" i="1"/>
  <c r="AG87" i="1" s="1"/>
  <c r="AF88" i="1"/>
  <c r="AG88" i="1" s="1"/>
  <c r="AF89" i="1"/>
  <c r="AG89" i="1" s="1"/>
  <c r="AF90" i="1"/>
  <c r="AG90" i="1"/>
  <c r="AF91" i="1"/>
  <c r="AG91" i="1" s="1"/>
  <c r="AF92" i="1"/>
  <c r="AG92" i="1" s="1"/>
  <c r="AF93" i="1"/>
  <c r="AG93" i="1" s="1"/>
  <c r="AF94" i="1"/>
  <c r="AG94" i="1"/>
  <c r="AF95" i="1"/>
  <c r="AG95" i="1" s="1"/>
  <c r="AF96" i="1"/>
  <c r="AG96" i="1" s="1"/>
  <c r="AF97" i="1"/>
  <c r="AG97" i="1" s="1"/>
  <c r="G16" i="5"/>
  <c r="G15" i="5"/>
  <c r="G12" i="5"/>
  <c r="A9" i="5"/>
  <c r="C9" i="5" s="1"/>
  <c r="B15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E28" i="5"/>
  <c r="G28" i="5"/>
  <c r="E29" i="5"/>
  <c r="G29" i="5"/>
  <c r="E30" i="5"/>
  <c r="G30" i="5"/>
  <c r="E31" i="5"/>
  <c r="E32" i="5"/>
  <c r="G32" i="5"/>
  <c r="E33" i="5"/>
  <c r="E34" i="5"/>
  <c r="G34" i="5"/>
  <c r="E35" i="5"/>
  <c r="G35" i="5"/>
  <c r="E36" i="5"/>
  <c r="G36" i="5"/>
  <c r="E37" i="5"/>
  <c r="G37" i="5"/>
  <c r="E38" i="5"/>
  <c r="G38" i="5"/>
  <c r="E39" i="5"/>
  <c r="G39" i="5"/>
  <c r="E40" i="5"/>
  <c r="G40" i="5"/>
  <c r="E41" i="5"/>
  <c r="G41" i="5"/>
  <c r="E42" i="5"/>
  <c r="G42" i="5"/>
  <c r="E43" i="5"/>
  <c r="L43" i="5"/>
  <c r="E44" i="5"/>
  <c r="G44" i="5"/>
  <c r="E45" i="5"/>
  <c r="G45" i="5"/>
  <c r="E46" i="5"/>
  <c r="G46" i="5"/>
  <c r="E47" i="5"/>
  <c r="L47" i="5"/>
  <c r="E48" i="5"/>
  <c r="G48" i="5"/>
  <c r="E49" i="5"/>
  <c r="E50" i="5"/>
  <c r="G50" i="5"/>
  <c r="E51" i="5"/>
  <c r="G51" i="5"/>
  <c r="E52" i="5"/>
  <c r="G52" i="5"/>
  <c r="E53" i="5"/>
  <c r="G53" i="5"/>
  <c r="E54" i="5"/>
  <c r="G54" i="5"/>
  <c r="E55" i="5"/>
  <c r="G55" i="5"/>
  <c r="E56" i="5"/>
  <c r="G56" i="5"/>
  <c r="E57" i="5"/>
  <c r="G57" i="5"/>
  <c r="E58" i="5"/>
  <c r="G58" i="5"/>
  <c r="E59" i="5"/>
  <c r="E60" i="5"/>
  <c r="G60" i="5"/>
  <c r="E61" i="5"/>
  <c r="G61" i="5"/>
  <c r="E62" i="5"/>
  <c r="G62" i="5"/>
  <c r="E63" i="5"/>
  <c r="E64" i="5"/>
  <c r="G64" i="5"/>
  <c r="E65" i="5"/>
  <c r="E66" i="5"/>
  <c r="G66" i="5"/>
  <c r="E67" i="5"/>
  <c r="G67" i="5"/>
  <c r="E68" i="5"/>
  <c r="G68" i="5"/>
  <c r="E69" i="5"/>
  <c r="G69" i="5"/>
  <c r="E70" i="5"/>
  <c r="G70" i="5"/>
  <c r="E71" i="5"/>
  <c r="G71" i="5"/>
  <c r="E72" i="5"/>
  <c r="G72" i="5"/>
  <c r="E73" i="5"/>
  <c r="G73" i="5"/>
  <c r="E74" i="5"/>
  <c r="G74" i="5"/>
  <c r="E75" i="5"/>
  <c r="E76" i="5"/>
  <c r="G76" i="5"/>
  <c r="E77" i="5"/>
  <c r="G77" i="5"/>
  <c r="E78" i="5"/>
  <c r="G78" i="5"/>
  <c r="E79" i="5"/>
  <c r="E80" i="5"/>
  <c r="G80" i="5"/>
  <c r="E81" i="5"/>
  <c r="G81" i="5"/>
  <c r="E82" i="5"/>
  <c r="G82" i="5"/>
  <c r="E83" i="5"/>
  <c r="E84" i="5"/>
  <c r="G84" i="5"/>
  <c r="E85" i="5"/>
  <c r="G85" i="5"/>
  <c r="E86" i="5"/>
  <c r="G86" i="5"/>
  <c r="E87" i="5"/>
  <c r="E88" i="5"/>
  <c r="G88" i="5"/>
  <c r="E89" i="5"/>
  <c r="G89" i="5"/>
  <c r="E90" i="5"/>
  <c r="G90" i="5"/>
  <c r="E91" i="5"/>
  <c r="E92" i="5"/>
  <c r="G92" i="5"/>
  <c r="E93" i="5"/>
  <c r="G93" i="5"/>
  <c r="E94" i="5"/>
  <c r="G94" i="5"/>
  <c r="E95" i="5"/>
  <c r="E96" i="5"/>
  <c r="G96" i="5"/>
  <c r="E97" i="5"/>
  <c r="G97" i="5"/>
  <c r="E98" i="5"/>
  <c r="G98" i="5"/>
  <c r="E99" i="5"/>
  <c r="H16" i="5"/>
  <c r="H15" i="5"/>
  <c r="D21" i="5"/>
  <c r="D22" i="5"/>
  <c r="D23" i="5"/>
  <c r="H23" i="5"/>
  <c r="D24" i="5"/>
  <c r="D25" i="5"/>
  <c r="D26" i="5"/>
  <c r="H26" i="5"/>
  <c r="D27" i="5"/>
  <c r="H27" i="5"/>
  <c r="D28" i="5"/>
  <c r="D29" i="5"/>
  <c r="H29" i="5"/>
  <c r="D30" i="5"/>
  <c r="D31" i="5"/>
  <c r="H31" i="5"/>
  <c r="D32" i="5"/>
  <c r="J32" i="5"/>
  <c r="D33" i="5"/>
  <c r="H33" i="5"/>
  <c r="D34" i="5"/>
  <c r="H34" i="5"/>
  <c r="D35" i="5"/>
  <c r="H35" i="5"/>
  <c r="D36" i="5"/>
  <c r="D37" i="5"/>
  <c r="H37" i="5"/>
  <c r="D38" i="5"/>
  <c r="D39" i="5"/>
  <c r="H39" i="5"/>
  <c r="D40" i="5"/>
  <c r="D41" i="5"/>
  <c r="D42" i="5"/>
  <c r="H42" i="5"/>
  <c r="D43" i="5"/>
  <c r="H43" i="5"/>
  <c r="D44" i="5"/>
  <c r="D45" i="5"/>
  <c r="H45" i="5"/>
  <c r="D46" i="5"/>
  <c r="D47" i="5"/>
  <c r="H47" i="5"/>
  <c r="D48" i="5"/>
  <c r="J48" i="5"/>
  <c r="D49" i="5"/>
  <c r="H49" i="5"/>
  <c r="D50" i="5"/>
  <c r="H50" i="5"/>
  <c r="D51" i="5"/>
  <c r="H51" i="5"/>
  <c r="D52" i="5"/>
  <c r="D53" i="5"/>
  <c r="H53" i="5"/>
  <c r="D54" i="5"/>
  <c r="D55" i="5"/>
  <c r="H55" i="5"/>
  <c r="D56" i="5"/>
  <c r="D57" i="5"/>
  <c r="D58" i="5"/>
  <c r="H58" i="5"/>
  <c r="D59" i="5"/>
  <c r="H59" i="5"/>
  <c r="D60" i="5"/>
  <c r="D61" i="5"/>
  <c r="H61" i="5"/>
  <c r="D62" i="5"/>
  <c r="D63" i="5"/>
  <c r="H63" i="5"/>
  <c r="D64" i="5"/>
  <c r="J64" i="5"/>
  <c r="D65" i="5"/>
  <c r="H65" i="5"/>
  <c r="D66" i="5"/>
  <c r="H66" i="5"/>
  <c r="D67" i="5"/>
  <c r="H67" i="5"/>
  <c r="D68" i="5"/>
  <c r="D69" i="5"/>
  <c r="H69" i="5"/>
  <c r="D70" i="5"/>
  <c r="D71" i="5"/>
  <c r="H71" i="5"/>
  <c r="D72" i="5"/>
  <c r="D73" i="5"/>
  <c r="D74" i="5"/>
  <c r="H74" i="5"/>
  <c r="D75" i="5"/>
  <c r="H75" i="5"/>
  <c r="D76" i="5"/>
  <c r="D77" i="5"/>
  <c r="H77" i="5"/>
  <c r="D78" i="5"/>
  <c r="D79" i="5"/>
  <c r="H79" i="5"/>
  <c r="D80" i="5"/>
  <c r="H80" i="5"/>
  <c r="D81" i="5"/>
  <c r="H81" i="5"/>
  <c r="D82" i="5"/>
  <c r="H82" i="5"/>
  <c r="D83" i="5"/>
  <c r="H83" i="5"/>
  <c r="D84" i="5"/>
  <c r="H84" i="5"/>
  <c r="D85" i="5"/>
  <c r="H85" i="5"/>
  <c r="D86" i="5"/>
  <c r="D87" i="5"/>
  <c r="H87" i="5"/>
  <c r="D88" i="5"/>
  <c r="H88" i="5"/>
  <c r="D89" i="5"/>
  <c r="D90" i="5"/>
  <c r="H90" i="5"/>
  <c r="D91" i="5"/>
  <c r="J91" i="5"/>
  <c r="H91" i="5"/>
  <c r="D92" i="5"/>
  <c r="H92" i="5"/>
  <c r="D93" i="5"/>
  <c r="H93" i="5"/>
  <c r="D94" i="5"/>
  <c r="D95" i="5"/>
  <c r="D96" i="5"/>
  <c r="H96" i="5"/>
  <c r="D97" i="5"/>
  <c r="H97" i="5"/>
  <c r="D98" i="5"/>
  <c r="H98" i="5"/>
  <c r="D99" i="5"/>
  <c r="F99" i="5"/>
  <c r="H99" i="5"/>
  <c r="J16" i="5"/>
  <c r="J15" i="5"/>
  <c r="J12" i="5"/>
  <c r="J23" i="5"/>
  <c r="J24" i="5"/>
  <c r="J26" i="5"/>
  <c r="J27" i="5"/>
  <c r="J28" i="5"/>
  <c r="J31" i="5"/>
  <c r="J34" i="5"/>
  <c r="J35" i="5"/>
  <c r="J36" i="5"/>
  <c r="J39" i="5"/>
  <c r="J40" i="5"/>
  <c r="J42" i="5"/>
  <c r="J43" i="5"/>
  <c r="J47" i="5"/>
  <c r="J50" i="5"/>
  <c r="J51" i="5"/>
  <c r="J52" i="5"/>
  <c r="J55" i="5"/>
  <c r="J56" i="5"/>
  <c r="J58" i="5"/>
  <c r="J59" i="5"/>
  <c r="J60" i="5"/>
  <c r="J63" i="5"/>
  <c r="J66" i="5"/>
  <c r="J67" i="5"/>
  <c r="J68" i="5"/>
  <c r="J71" i="5"/>
  <c r="J72" i="5"/>
  <c r="J74" i="5"/>
  <c r="J75" i="5"/>
  <c r="J79" i="5"/>
  <c r="J82" i="5"/>
  <c r="J83" i="5"/>
  <c r="J84" i="5"/>
  <c r="J87" i="5"/>
  <c r="J88" i="5"/>
  <c r="J90" i="5"/>
  <c r="J92" i="5"/>
  <c r="J95" i="5"/>
  <c r="J98" i="5"/>
  <c r="J99" i="5"/>
  <c r="I16" i="5"/>
  <c r="I15" i="5"/>
  <c r="I12" i="5"/>
  <c r="I23" i="5"/>
  <c r="I24" i="5"/>
  <c r="I26" i="5"/>
  <c r="I27" i="5"/>
  <c r="I28" i="5"/>
  <c r="I31" i="5"/>
  <c r="I34" i="5"/>
  <c r="I35" i="5"/>
  <c r="I36" i="5"/>
  <c r="I39" i="5"/>
  <c r="I40" i="5"/>
  <c r="I42" i="5"/>
  <c r="I43" i="5"/>
  <c r="I44" i="5"/>
  <c r="I47" i="5"/>
  <c r="I50" i="5"/>
  <c r="I51" i="5"/>
  <c r="I52" i="5"/>
  <c r="I55" i="5"/>
  <c r="I56" i="5"/>
  <c r="I58" i="5"/>
  <c r="I59" i="5"/>
  <c r="I60" i="5"/>
  <c r="I63" i="5"/>
  <c r="I66" i="5"/>
  <c r="I67" i="5"/>
  <c r="I68" i="5"/>
  <c r="I71" i="5"/>
  <c r="I72" i="5"/>
  <c r="I74" i="5"/>
  <c r="I75" i="5"/>
  <c r="I76" i="5"/>
  <c r="I79" i="5"/>
  <c r="I82" i="5"/>
  <c r="I83" i="5"/>
  <c r="I84" i="5"/>
  <c r="I87" i="5"/>
  <c r="I88" i="5"/>
  <c r="I90" i="5"/>
  <c r="I92" i="5"/>
  <c r="I95" i="5"/>
  <c r="I98" i="5"/>
  <c r="I99" i="5"/>
  <c r="K16" i="5"/>
  <c r="K15" i="5"/>
  <c r="K12" i="5"/>
  <c r="K26" i="5"/>
  <c r="K29" i="5"/>
  <c r="K34" i="5"/>
  <c r="K35" i="5"/>
  <c r="K37" i="5"/>
  <c r="K42" i="5"/>
  <c r="K45" i="5"/>
  <c r="K50" i="5"/>
  <c r="K53" i="5"/>
  <c r="K55" i="5"/>
  <c r="K57" i="5"/>
  <c r="K58" i="5"/>
  <c r="K61" i="5"/>
  <c r="K66" i="5"/>
  <c r="K67" i="5"/>
  <c r="K69" i="5"/>
  <c r="K71" i="5"/>
  <c r="K74" i="5"/>
  <c r="K76" i="5"/>
  <c r="K77" i="5"/>
  <c r="K80" i="5"/>
  <c r="K81" i="5"/>
  <c r="K82" i="5"/>
  <c r="K84" i="5"/>
  <c r="K85" i="5"/>
  <c r="K86" i="5"/>
  <c r="K88" i="5"/>
  <c r="K90" i="5"/>
  <c r="K92" i="5"/>
  <c r="K93" i="5"/>
  <c r="K96" i="5"/>
  <c r="K97" i="5"/>
  <c r="K98" i="5"/>
  <c r="F16" i="5"/>
  <c r="F15" i="5"/>
  <c r="F12" i="5"/>
  <c r="F21" i="5"/>
  <c r="F23" i="5"/>
  <c r="F24" i="5"/>
  <c r="F26" i="5"/>
  <c r="F27" i="5"/>
  <c r="F28" i="5"/>
  <c r="F29" i="5"/>
  <c r="F31" i="5"/>
  <c r="F32" i="5"/>
  <c r="F34" i="5"/>
  <c r="F35" i="5"/>
  <c r="F36" i="5"/>
  <c r="F37" i="5"/>
  <c r="F39" i="5"/>
  <c r="F40" i="5"/>
  <c r="F42" i="5"/>
  <c r="F43" i="5"/>
  <c r="F44" i="5"/>
  <c r="F45" i="5"/>
  <c r="F47" i="5"/>
  <c r="F48" i="5"/>
  <c r="F50" i="5"/>
  <c r="F51" i="5"/>
  <c r="F52" i="5"/>
  <c r="F53" i="5"/>
  <c r="F55" i="5"/>
  <c r="F56" i="5"/>
  <c r="F58" i="5"/>
  <c r="F59" i="5"/>
  <c r="F60" i="5"/>
  <c r="F61" i="5"/>
  <c r="F63" i="5"/>
  <c r="F64" i="5"/>
  <c r="F66" i="5"/>
  <c r="F67" i="5"/>
  <c r="F68" i="5"/>
  <c r="F69" i="5"/>
  <c r="F71" i="5"/>
  <c r="F72" i="5"/>
  <c r="F74" i="5"/>
  <c r="F75" i="5"/>
  <c r="F76" i="5"/>
  <c r="F77" i="5"/>
  <c r="F79" i="5"/>
  <c r="F80" i="5"/>
  <c r="F82" i="5"/>
  <c r="F83" i="5"/>
  <c r="F84" i="5"/>
  <c r="F85" i="5"/>
  <c r="F87" i="5"/>
  <c r="F88" i="5"/>
  <c r="F90" i="5"/>
  <c r="F92" i="5"/>
  <c r="F93" i="5"/>
  <c r="F96" i="5"/>
  <c r="F97" i="5"/>
  <c r="F98" i="5"/>
  <c r="L16" i="5"/>
  <c r="L15" i="5"/>
  <c r="L12" i="5"/>
  <c r="L21" i="5"/>
  <c r="L23" i="5"/>
  <c r="L24" i="5"/>
  <c r="L26" i="5"/>
  <c r="L27" i="5"/>
  <c r="L28" i="5"/>
  <c r="L29" i="5"/>
  <c r="L32" i="5"/>
  <c r="L33" i="5"/>
  <c r="L34" i="5"/>
  <c r="L35" i="5"/>
  <c r="L36" i="5"/>
  <c r="L37" i="5"/>
  <c r="L40" i="5"/>
  <c r="L42" i="5"/>
  <c r="L44" i="5"/>
  <c r="L45" i="5"/>
  <c r="L48" i="5"/>
  <c r="L50" i="5"/>
  <c r="L51" i="5"/>
  <c r="L52" i="5"/>
  <c r="L53" i="5"/>
  <c r="L55" i="5"/>
  <c r="L56" i="5"/>
  <c r="L58" i="5"/>
  <c r="L59" i="5"/>
  <c r="L60" i="5"/>
  <c r="L61" i="5"/>
  <c r="L64" i="5"/>
  <c r="L65" i="5"/>
  <c r="L66" i="5"/>
  <c r="L67" i="5"/>
  <c r="L68" i="5"/>
  <c r="L69" i="5"/>
  <c r="L72" i="5"/>
  <c r="L74" i="5"/>
  <c r="L76" i="5"/>
  <c r="L77" i="5"/>
  <c r="L79" i="5"/>
  <c r="L80" i="5"/>
  <c r="L82" i="5"/>
  <c r="L83" i="5"/>
  <c r="L84" i="5"/>
  <c r="L85" i="5"/>
  <c r="L87" i="5"/>
  <c r="L88" i="5"/>
  <c r="L90" i="5"/>
  <c r="L91" i="5"/>
  <c r="L92" i="5"/>
  <c r="L93" i="5"/>
  <c r="L96" i="5"/>
  <c r="L97" i="5"/>
  <c r="L98" i="5"/>
  <c r="L99" i="5"/>
  <c r="C16" i="5"/>
  <c r="C15" i="5"/>
  <c r="C12" i="5"/>
  <c r="Q16" i="5"/>
  <c r="Q15" i="5"/>
  <c r="P16" i="5"/>
  <c r="P15" i="5"/>
  <c r="P12" i="5"/>
  <c r="O16" i="5"/>
  <c r="O15" i="5"/>
  <c r="O12" i="5"/>
  <c r="N16" i="5"/>
  <c r="N15" i="5"/>
  <c r="E16" i="5"/>
  <c r="E15" i="5"/>
  <c r="D16" i="5"/>
  <c r="D15" i="5"/>
  <c r="D12" i="5"/>
  <c r="M16" i="5"/>
  <c r="M15" i="5"/>
  <c r="G6" i="5"/>
  <c r="G7" i="5"/>
  <c r="G5" i="5"/>
  <c r="G4" i="5"/>
  <c r="D9" i="1"/>
  <c r="D14" i="1"/>
  <c r="C14" i="1"/>
  <c r="C7" i="1"/>
  <c r="E102" i="1" s="1"/>
  <c r="F102" i="1" s="1"/>
  <c r="C8" i="1"/>
  <c r="E57" i="1"/>
  <c r="F57" i="1" s="1"/>
  <c r="G57" i="1" s="1"/>
  <c r="I57" i="1" s="1"/>
  <c r="C9" i="1"/>
  <c r="Q92" i="1"/>
  <c r="D11" i="1"/>
  <c r="D12" i="1"/>
  <c r="D13" i="1"/>
  <c r="Q90" i="1"/>
  <c r="E66" i="1"/>
  <c r="F66" i="1" s="1"/>
  <c r="G66" i="1" s="1"/>
  <c r="I66" i="1" s="1"/>
  <c r="E78" i="1"/>
  <c r="F78" i="1"/>
  <c r="E86" i="1"/>
  <c r="F86" i="1" s="1"/>
  <c r="G86" i="1" s="1"/>
  <c r="I86" i="1" s="1"/>
  <c r="E97" i="1"/>
  <c r="F97" i="1" s="1"/>
  <c r="G97" i="1" s="1"/>
  <c r="K97" i="1" s="1"/>
  <c r="Q100" i="1"/>
  <c r="Q99" i="1"/>
  <c r="Q98" i="1"/>
  <c r="E61" i="1"/>
  <c r="F61" i="1" s="1"/>
  <c r="G61" i="1" s="1"/>
  <c r="K61" i="1" s="1"/>
  <c r="Q91" i="1"/>
  <c r="Q87" i="1"/>
  <c r="Q88" i="1"/>
  <c r="Q89" i="1"/>
  <c r="Q93" i="1"/>
  <c r="Q97" i="1"/>
  <c r="Q96" i="1"/>
  <c r="Q95" i="1"/>
  <c r="Q94" i="1"/>
  <c r="E32" i="1"/>
  <c r="F32" i="1" s="1"/>
  <c r="G32" i="1" s="1"/>
  <c r="K32" i="1" s="1"/>
  <c r="E36" i="1"/>
  <c r="F36" i="1" s="1"/>
  <c r="G36" i="1" s="1"/>
  <c r="K36" i="1" s="1"/>
  <c r="E40" i="1"/>
  <c r="F40" i="1" s="1"/>
  <c r="G40" i="1" s="1"/>
  <c r="K40" i="1" s="1"/>
  <c r="Q86" i="1"/>
  <c r="Q59" i="1"/>
  <c r="Q60" i="1"/>
  <c r="Q61" i="1"/>
  <c r="Q62" i="1"/>
  <c r="Q63" i="1"/>
  <c r="Q64" i="1"/>
  <c r="Q72" i="1"/>
  <c r="Q73" i="1"/>
  <c r="Q74" i="1"/>
  <c r="Q75" i="1"/>
  <c r="Q76" i="1"/>
  <c r="Q78" i="1"/>
  <c r="Q79" i="1"/>
  <c r="G11" i="3"/>
  <c r="C11" i="3"/>
  <c r="G45" i="3"/>
  <c r="C45" i="3"/>
  <c r="G44" i="3"/>
  <c r="C44" i="3"/>
  <c r="G58" i="3"/>
  <c r="C58" i="3"/>
  <c r="G57" i="3"/>
  <c r="C57" i="3"/>
  <c r="E57" i="3"/>
  <c r="G43" i="3"/>
  <c r="C43" i="3"/>
  <c r="G56" i="3"/>
  <c r="C56" i="3"/>
  <c r="G55" i="3"/>
  <c r="C55" i="3"/>
  <c r="G54" i="3"/>
  <c r="C54" i="3"/>
  <c r="G53" i="3"/>
  <c r="C53" i="3"/>
  <c r="G52" i="3"/>
  <c r="C52" i="3"/>
  <c r="G42" i="3"/>
  <c r="C42" i="3"/>
  <c r="G41" i="3"/>
  <c r="C41" i="3"/>
  <c r="G40" i="3"/>
  <c r="C40" i="3"/>
  <c r="G39" i="3"/>
  <c r="C39" i="3"/>
  <c r="G38" i="3"/>
  <c r="C38" i="3"/>
  <c r="G37" i="3"/>
  <c r="C37" i="3"/>
  <c r="E37" i="3"/>
  <c r="G36" i="3"/>
  <c r="C36" i="3"/>
  <c r="G51" i="3"/>
  <c r="C51" i="3"/>
  <c r="G50" i="3"/>
  <c r="C50" i="3"/>
  <c r="G49" i="3"/>
  <c r="C49" i="3"/>
  <c r="G48" i="3"/>
  <c r="C48" i="3"/>
  <c r="G47" i="3"/>
  <c r="C47" i="3"/>
  <c r="G46" i="3"/>
  <c r="C46" i="3"/>
  <c r="G35" i="3"/>
  <c r="C35" i="3"/>
  <c r="G34" i="3"/>
  <c r="C34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G26" i="3"/>
  <c r="C26" i="3"/>
  <c r="G25" i="3"/>
  <c r="C25" i="3"/>
  <c r="G24" i="3"/>
  <c r="C24" i="3"/>
  <c r="G23" i="3"/>
  <c r="C23" i="3"/>
  <c r="G22" i="3"/>
  <c r="C22" i="3"/>
  <c r="G21" i="3"/>
  <c r="C21" i="3"/>
  <c r="G20" i="3"/>
  <c r="C20" i="3"/>
  <c r="G19" i="3"/>
  <c r="C19" i="3"/>
  <c r="G18" i="3"/>
  <c r="C18" i="3"/>
  <c r="E18" i="3"/>
  <c r="G17" i="3"/>
  <c r="C17" i="3"/>
  <c r="G16" i="3"/>
  <c r="C16" i="3"/>
  <c r="E16" i="3"/>
  <c r="G15" i="3"/>
  <c r="C15" i="3"/>
  <c r="G14" i="3"/>
  <c r="C14" i="3"/>
  <c r="G13" i="3"/>
  <c r="C13" i="3"/>
  <c r="G12" i="3"/>
  <c r="C12" i="3"/>
  <c r="E12" i="3"/>
  <c r="H11" i="3"/>
  <c r="B11" i="3"/>
  <c r="D11" i="3"/>
  <c r="A11" i="3"/>
  <c r="H45" i="3"/>
  <c r="B45" i="3"/>
  <c r="D45" i="3"/>
  <c r="A45" i="3"/>
  <c r="H44" i="3"/>
  <c r="B44" i="3"/>
  <c r="D44" i="3"/>
  <c r="A44" i="3"/>
  <c r="H58" i="3"/>
  <c r="B58" i="3"/>
  <c r="D58" i="3"/>
  <c r="A58" i="3"/>
  <c r="H57" i="3"/>
  <c r="B57" i="3"/>
  <c r="D57" i="3"/>
  <c r="A57" i="3"/>
  <c r="H43" i="3"/>
  <c r="B43" i="3"/>
  <c r="D43" i="3"/>
  <c r="A43" i="3"/>
  <c r="H56" i="3"/>
  <c r="B56" i="3"/>
  <c r="D56" i="3"/>
  <c r="A56" i="3"/>
  <c r="H55" i="3"/>
  <c r="B55" i="3"/>
  <c r="D55" i="3"/>
  <c r="A55" i="3"/>
  <c r="H54" i="3"/>
  <c r="B54" i="3"/>
  <c r="D54" i="3"/>
  <c r="A54" i="3"/>
  <c r="H53" i="3"/>
  <c r="B53" i="3"/>
  <c r="D53" i="3"/>
  <c r="A53" i="3"/>
  <c r="H52" i="3"/>
  <c r="B52" i="3"/>
  <c r="D52" i="3"/>
  <c r="A52" i="3"/>
  <c r="H42" i="3"/>
  <c r="B42" i="3"/>
  <c r="D42" i="3"/>
  <c r="A42" i="3"/>
  <c r="H41" i="3"/>
  <c r="B41" i="3"/>
  <c r="D41" i="3"/>
  <c r="A41" i="3"/>
  <c r="H40" i="3"/>
  <c r="B40" i="3"/>
  <c r="D40" i="3"/>
  <c r="A40" i="3"/>
  <c r="H39" i="3"/>
  <c r="B39" i="3"/>
  <c r="D39" i="3"/>
  <c r="A39" i="3"/>
  <c r="H38" i="3"/>
  <c r="B38" i="3"/>
  <c r="D38" i="3"/>
  <c r="A38" i="3"/>
  <c r="H37" i="3"/>
  <c r="B37" i="3"/>
  <c r="D37" i="3"/>
  <c r="A37" i="3"/>
  <c r="H36" i="3"/>
  <c r="B36" i="3"/>
  <c r="D36" i="3"/>
  <c r="A36" i="3"/>
  <c r="H51" i="3"/>
  <c r="B51" i="3"/>
  <c r="D51" i="3"/>
  <c r="A51" i="3"/>
  <c r="H50" i="3"/>
  <c r="B50" i="3"/>
  <c r="D50" i="3"/>
  <c r="A50" i="3"/>
  <c r="H49" i="3"/>
  <c r="B49" i="3"/>
  <c r="D49" i="3"/>
  <c r="A49" i="3"/>
  <c r="H48" i="3"/>
  <c r="B48" i="3"/>
  <c r="D48" i="3"/>
  <c r="A48" i="3"/>
  <c r="H47" i="3"/>
  <c r="B47" i="3"/>
  <c r="D47" i="3"/>
  <c r="A47" i="3"/>
  <c r="H46" i="3"/>
  <c r="B46" i="3"/>
  <c r="D46" i="3"/>
  <c r="A46" i="3"/>
  <c r="H35" i="3"/>
  <c r="B35" i="3"/>
  <c r="D35" i="3"/>
  <c r="A35" i="3"/>
  <c r="H34" i="3"/>
  <c r="B34" i="3"/>
  <c r="D34" i="3"/>
  <c r="A34" i="3"/>
  <c r="H33" i="3"/>
  <c r="B33" i="3"/>
  <c r="D33" i="3"/>
  <c r="A33" i="3"/>
  <c r="H32" i="3"/>
  <c r="B32" i="3"/>
  <c r="D32" i="3"/>
  <c r="A32" i="3"/>
  <c r="H31" i="3"/>
  <c r="B31" i="3"/>
  <c r="D31" i="3"/>
  <c r="A31" i="3"/>
  <c r="H30" i="3"/>
  <c r="B30" i="3"/>
  <c r="D30" i="3"/>
  <c r="A30" i="3"/>
  <c r="H29" i="3"/>
  <c r="B29" i="3"/>
  <c r="D29" i="3"/>
  <c r="A29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B24" i="3"/>
  <c r="D24" i="3"/>
  <c r="A24" i="3"/>
  <c r="H23" i="3"/>
  <c r="B23" i="3"/>
  <c r="D23" i="3"/>
  <c r="A23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12" i="3"/>
  <c r="B12" i="3"/>
  <c r="D12" i="3"/>
  <c r="A12" i="3"/>
  <c r="Q82" i="1"/>
  <c r="Q81" i="1"/>
  <c r="Q84" i="1"/>
  <c r="Q80" i="1"/>
  <c r="Q85" i="1"/>
  <c r="Q83" i="1"/>
  <c r="Q77" i="1"/>
  <c r="Q71" i="1"/>
  <c r="Q69" i="1"/>
  <c r="Q67" i="1"/>
  <c r="Q65" i="1"/>
  <c r="E28" i="1"/>
  <c r="F28" i="1" s="1"/>
  <c r="G28" i="1" s="1"/>
  <c r="I28" i="1" s="1"/>
  <c r="W17" i="1"/>
  <c r="Q70" i="1"/>
  <c r="Q68" i="1"/>
  <c r="Q66" i="1"/>
  <c r="W9" i="1"/>
  <c r="F16" i="1"/>
  <c r="F17" i="1" s="1"/>
  <c r="C17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E65" i="1"/>
  <c r="E36" i="3" s="1"/>
  <c r="E48" i="1"/>
  <c r="E26" i="3"/>
  <c r="E68" i="1"/>
  <c r="F68" i="1" s="1"/>
  <c r="G68" i="1" s="1"/>
  <c r="J68" i="1" s="1"/>
  <c r="E72" i="1"/>
  <c r="F72" i="1" s="1"/>
  <c r="E76" i="1"/>
  <c r="F76" i="1" s="1"/>
  <c r="G76" i="1" s="1"/>
  <c r="I76" i="1" s="1"/>
  <c r="E80" i="1"/>
  <c r="F80" i="1" s="1"/>
  <c r="E84" i="1"/>
  <c r="F84" i="1" s="1"/>
  <c r="G84" i="1" s="1"/>
  <c r="K84" i="1" s="1"/>
  <c r="E88" i="1"/>
  <c r="F88" i="1" s="1"/>
  <c r="G88" i="1" s="1"/>
  <c r="K88" i="1" s="1"/>
  <c r="E95" i="1"/>
  <c r="F95" i="1" s="1"/>
  <c r="G95" i="1" s="1"/>
  <c r="K95" i="1" s="1"/>
  <c r="E55" i="1"/>
  <c r="F55" i="1"/>
  <c r="G55" i="1" s="1"/>
  <c r="K55" i="1" s="1"/>
  <c r="E59" i="1"/>
  <c r="F59" i="1" s="1"/>
  <c r="G59" i="1" s="1"/>
  <c r="K59" i="1" s="1"/>
  <c r="E63" i="1"/>
  <c r="F63" i="1" s="1"/>
  <c r="G63" i="1" s="1"/>
  <c r="K63" i="1" s="1"/>
  <c r="E30" i="1"/>
  <c r="F30" i="1" s="1"/>
  <c r="G30" i="1" s="1"/>
  <c r="I30" i="1" s="1"/>
  <c r="E34" i="1"/>
  <c r="F34" i="1"/>
  <c r="E38" i="1"/>
  <c r="F38" i="1" s="1"/>
  <c r="G38" i="1" s="1"/>
  <c r="I38" i="1" s="1"/>
  <c r="E46" i="1"/>
  <c r="F46" i="1" s="1"/>
  <c r="G46" i="1" s="1"/>
  <c r="K46" i="1" s="1"/>
  <c r="E100" i="1"/>
  <c r="F100" i="1" s="1"/>
  <c r="G100" i="1" s="1"/>
  <c r="K100" i="1" s="1"/>
  <c r="E69" i="1"/>
  <c r="F69" i="1" s="1"/>
  <c r="G69" i="1" s="1"/>
  <c r="J69" i="1" s="1"/>
  <c r="E73" i="1"/>
  <c r="F73" i="1" s="1"/>
  <c r="G73" i="1" s="1"/>
  <c r="I73" i="1" s="1"/>
  <c r="E81" i="1"/>
  <c r="F81" i="1"/>
  <c r="G81" i="1" s="1"/>
  <c r="K81" i="1" s="1"/>
  <c r="E85" i="1"/>
  <c r="F85" i="1" s="1"/>
  <c r="G85" i="1" s="1"/>
  <c r="I85" i="1" s="1"/>
  <c r="E89" i="1"/>
  <c r="F89" i="1" s="1"/>
  <c r="E96" i="1"/>
  <c r="F96" i="1" s="1"/>
  <c r="E56" i="1"/>
  <c r="F56" i="1" s="1"/>
  <c r="G56" i="1" s="1"/>
  <c r="I56" i="1" s="1"/>
  <c r="E60" i="1"/>
  <c r="F60" i="1" s="1"/>
  <c r="G60" i="1" s="1"/>
  <c r="K60" i="1" s="1"/>
  <c r="E64" i="1"/>
  <c r="F64" i="1"/>
  <c r="G64" i="1" s="1"/>
  <c r="K64" i="1" s="1"/>
  <c r="E31" i="1"/>
  <c r="F31" i="1" s="1"/>
  <c r="E35" i="1"/>
  <c r="F35" i="1" s="1"/>
  <c r="E39" i="1"/>
  <c r="F39" i="1" s="1"/>
  <c r="G39" i="1" s="1"/>
  <c r="I39" i="1" s="1"/>
  <c r="E43" i="1"/>
  <c r="F43" i="1" s="1"/>
  <c r="F48" i="1"/>
  <c r="P48" i="1" s="1"/>
  <c r="E27" i="1"/>
  <c r="F27" i="1" s="1"/>
  <c r="E25" i="1"/>
  <c r="F25" i="1" s="1"/>
  <c r="G25" i="1" s="1"/>
  <c r="I25" i="1" s="1"/>
  <c r="E71" i="1"/>
  <c r="F71" i="1"/>
  <c r="G71" i="1" s="1"/>
  <c r="K71" i="1" s="1"/>
  <c r="E79" i="1"/>
  <c r="E58" i="3" s="1"/>
  <c r="E87" i="1"/>
  <c r="F87" i="1" s="1"/>
  <c r="E99" i="1"/>
  <c r="F99" i="1"/>
  <c r="P99" i="1" s="1"/>
  <c r="E58" i="1"/>
  <c r="F58" i="1" s="1"/>
  <c r="E33" i="1"/>
  <c r="F33" i="1" s="1"/>
  <c r="G33" i="1" s="1"/>
  <c r="K33" i="1" s="1"/>
  <c r="E41" i="1"/>
  <c r="F41" i="1" s="1"/>
  <c r="G41" i="1" s="1"/>
  <c r="K41" i="1" s="1"/>
  <c r="E50" i="1"/>
  <c r="F50" i="1" s="1"/>
  <c r="G50" i="1" s="1"/>
  <c r="K50" i="1" s="1"/>
  <c r="E21" i="1"/>
  <c r="F21" i="1" s="1"/>
  <c r="E26" i="1"/>
  <c r="F26" i="1" s="1"/>
  <c r="G26" i="1" s="1"/>
  <c r="I26" i="1" s="1"/>
  <c r="E46" i="3"/>
  <c r="E24" i="3"/>
  <c r="G78" i="1"/>
  <c r="K78" i="1" s="1"/>
  <c r="E56" i="3"/>
  <c r="E51" i="3"/>
  <c r="E53" i="3"/>
  <c r="E21" i="3"/>
  <c r="E32" i="3"/>
  <c r="E14" i="3"/>
  <c r="P64" i="1"/>
  <c r="Q12" i="5"/>
  <c r="G34" i="1"/>
  <c r="K34" i="1"/>
  <c r="P71" i="1"/>
  <c r="E50" i="3"/>
  <c r="W3" i="1"/>
  <c r="H94" i="5"/>
  <c r="L94" i="5"/>
  <c r="J94" i="5"/>
  <c r="K94" i="5"/>
  <c r="F94" i="5"/>
  <c r="I94" i="5"/>
  <c r="H30" i="5"/>
  <c r="L30" i="5"/>
  <c r="K30" i="5"/>
  <c r="J30" i="5"/>
  <c r="F30" i="5"/>
  <c r="I30" i="5"/>
  <c r="N12" i="5"/>
  <c r="I41" i="5"/>
  <c r="J41" i="5"/>
  <c r="K41" i="5"/>
  <c r="H41" i="5"/>
  <c r="L41" i="5"/>
  <c r="F41" i="5"/>
  <c r="E13" i="3"/>
  <c r="H46" i="5"/>
  <c r="L46" i="5"/>
  <c r="I46" i="5"/>
  <c r="K46" i="5"/>
  <c r="F46" i="5"/>
  <c r="J46" i="5"/>
  <c r="E47" i="3"/>
  <c r="E31" i="3"/>
  <c r="E94" i="1"/>
  <c r="F94" i="1" s="1"/>
  <c r="G94" i="1" s="1"/>
  <c r="K94" i="1" s="1"/>
  <c r="E74" i="1"/>
  <c r="E54" i="3" s="1"/>
  <c r="E91" i="1"/>
  <c r="F91" i="1"/>
  <c r="P91" i="1" s="1"/>
  <c r="E23" i="1"/>
  <c r="F23" i="1" s="1"/>
  <c r="E75" i="1"/>
  <c r="E55" i="3" s="1"/>
  <c r="E93" i="1"/>
  <c r="F93" i="1" s="1"/>
  <c r="E62" i="1"/>
  <c r="E45" i="1"/>
  <c r="E24" i="1"/>
  <c r="F24" i="1" s="1"/>
  <c r="G24" i="1" s="1"/>
  <c r="I24" i="1" s="1"/>
  <c r="E92" i="1"/>
  <c r="F92" i="1" s="1"/>
  <c r="G92" i="1" s="1"/>
  <c r="K92" i="1" s="1"/>
  <c r="E82" i="1"/>
  <c r="F82" i="1" s="1"/>
  <c r="E52" i="1"/>
  <c r="F52" i="1" s="1"/>
  <c r="E67" i="1"/>
  <c r="E83" i="1"/>
  <c r="E44" i="3" s="1"/>
  <c r="E54" i="1"/>
  <c r="F54" i="1"/>
  <c r="G54" i="1" s="1"/>
  <c r="K54" i="1" s="1"/>
  <c r="E37" i="1"/>
  <c r="E22" i="1"/>
  <c r="F22" i="1" s="1"/>
  <c r="G22" i="1" s="1"/>
  <c r="I22" i="1" s="1"/>
  <c r="E29" i="1"/>
  <c r="F29" i="1" s="1"/>
  <c r="G29" i="1" s="1"/>
  <c r="I29" i="1" s="1"/>
  <c r="I57" i="5"/>
  <c r="J57" i="5"/>
  <c r="H57" i="5"/>
  <c r="F57" i="5"/>
  <c r="E42" i="3"/>
  <c r="E35" i="3"/>
  <c r="E49" i="1"/>
  <c r="F49" i="1" s="1"/>
  <c r="G49" i="1" s="1"/>
  <c r="K49" i="1" s="1"/>
  <c r="E70" i="1"/>
  <c r="E90" i="1"/>
  <c r="F90" i="1" s="1"/>
  <c r="G90" i="1" s="1"/>
  <c r="K90" i="1" s="1"/>
  <c r="D13" i="5"/>
  <c r="H62" i="5"/>
  <c r="L62" i="5"/>
  <c r="I62" i="5"/>
  <c r="F62" i="5"/>
  <c r="K62" i="5"/>
  <c r="J62" i="5"/>
  <c r="W19" i="1"/>
  <c r="W21" i="1"/>
  <c r="I73" i="5"/>
  <c r="J73" i="5"/>
  <c r="L73" i="5"/>
  <c r="H73" i="5"/>
  <c r="F73" i="5"/>
  <c r="M12" i="5"/>
  <c r="H78" i="5"/>
  <c r="L78" i="5"/>
  <c r="J78" i="5"/>
  <c r="F78" i="5"/>
  <c r="I78" i="5"/>
  <c r="K78" i="5"/>
  <c r="H12" i="5"/>
  <c r="G95" i="5"/>
  <c r="K95" i="5"/>
  <c r="L95" i="5"/>
  <c r="G79" i="5"/>
  <c r="K79" i="5"/>
  <c r="G63" i="5"/>
  <c r="L63" i="5"/>
  <c r="K63" i="5"/>
  <c r="G47" i="5"/>
  <c r="K47" i="5"/>
  <c r="G31" i="5"/>
  <c r="K31" i="5"/>
  <c r="L31" i="5"/>
  <c r="E12" i="5"/>
  <c r="I89" i="5"/>
  <c r="J89" i="5"/>
  <c r="H89" i="5"/>
  <c r="F89" i="5"/>
  <c r="I25" i="5"/>
  <c r="J25" i="5"/>
  <c r="H25" i="5"/>
  <c r="F25" i="5"/>
  <c r="E77" i="1"/>
  <c r="E43" i="3" s="1"/>
  <c r="E51" i="1"/>
  <c r="F51" i="1" s="1"/>
  <c r="G51" i="1" s="1"/>
  <c r="K51" i="1" s="1"/>
  <c r="E44" i="1"/>
  <c r="F44" i="1" s="1"/>
  <c r="E53" i="1"/>
  <c r="F53" i="1"/>
  <c r="G53" i="1" s="1"/>
  <c r="K53" i="1" s="1"/>
  <c r="L89" i="5"/>
  <c r="L71" i="5"/>
  <c r="L25" i="5"/>
  <c r="F81" i="5"/>
  <c r="F65" i="5"/>
  <c r="F49" i="5"/>
  <c r="F33" i="5"/>
  <c r="K89" i="5"/>
  <c r="K51" i="5"/>
  <c r="K23" i="5"/>
  <c r="H76" i="5"/>
  <c r="J76" i="5"/>
  <c r="K60" i="5"/>
  <c r="H60" i="5"/>
  <c r="K44" i="5"/>
  <c r="H44" i="5"/>
  <c r="J44" i="5"/>
  <c r="K28" i="5"/>
  <c r="H28" i="5"/>
  <c r="H86" i="5"/>
  <c r="J86" i="5"/>
  <c r="I86" i="5"/>
  <c r="L86" i="5"/>
  <c r="I81" i="5"/>
  <c r="J81" i="5"/>
  <c r="H70" i="5"/>
  <c r="J70" i="5"/>
  <c r="I70" i="5"/>
  <c r="K70" i="5"/>
  <c r="L70" i="5"/>
  <c r="I65" i="5"/>
  <c r="J65" i="5"/>
  <c r="H54" i="5"/>
  <c r="J54" i="5"/>
  <c r="I54" i="5"/>
  <c r="K54" i="5"/>
  <c r="L54" i="5"/>
  <c r="I49" i="5"/>
  <c r="J49" i="5"/>
  <c r="H38" i="5"/>
  <c r="J38" i="5"/>
  <c r="I38" i="5"/>
  <c r="K38" i="5"/>
  <c r="L38" i="5"/>
  <c r="I33" i="5"/>
  <c r="J33" i="5"/>
  <c r="H22" i="5"/>
  <c r="J22" i="5"/>
  <c r="I22" i="5"/>
  <c r="K22" i="5"/>
  <c r="L22" i="5"/>
  <c r="G87" i="5"/>
  <c r="K87" i="5"/>
  <c r="I97" i="5"/>
  <c r="J97" i="5"/>
  <c r="K65" i="5"/>
  <c r="G65" i="5"/>
  <c r="G49" i="5"/>
  <c r="K49" i="5"/>
  <c r="K33" i="5"/>
  <c r="G33" i="5"/>
  <c r="L49" i="5"/>
  <c r="F86" i="5"/>
  <c r="F70" i="5"/>
  <c r="F54" i="5"/>
  <c r="F38" i="5"/>
  <c r="F22" i="5"/>
  <c r="G91" i="5"/>
  <c r="K91" i="5"/>
  <c r="G75" i="5"/>
  <c r="K75" i="5"/>
  <c r="G59" i="5"/>
  <c r="K59" i="5"/>
  <c r="G43" i="5"/>
  <c r="K43" i="5"/>
  <c r="G27" i="5"/>
  <c r="K27" i="5"/>
  <c r="E42" i="1"/>
  <c r="E20" i="3" s="1"/>
  <c r="E47" i="1"/>
  <c r="E25" i="3" s="1"/>
  <c r="F47" i="1"/>
  <c r="P47" i="1" s="1"/>
  <c r="R47" i="1" s="1"/>
  <c r="T47" i="1" s="1"/>
  <c r="L75" i="5"/>
  <c r="L57" i="5"/>
  <c r="L39" i="5"/>
  <c r="K73" i="5"/>
  <c r="F95" i="5"/>
  <c r="H95" i="5"/>
  <c r="K68" i="5"/>
  <c r="H68" i="5"/>
  <c r="K52" i="5"/>
  <c r="H52" i="5"/>
  <c r="K36" i="5"/>
  <c r="H36" i="5"/>
  <c r="L81" i="5"/>
  <c r="K39" i="5"/>
  <c r="K25" i="5"/>
  <c r="G99" i="5"/>
  <c r="K99" i="5"/>
  <c r="G83" i="5"/>
  <c r="K83" i="5"/>
  <c r="F91" i="5"/>
  <c r="I91" i="5"/>
  <c r="I80" i="5"/>
  <c r="I48" i="5"/>
  <c r="J80" i="5"/>
  <c r="J85" i="5"/>
  <c r="I85" i="5"/>
  <c r="J69" i="5"/>
  <c r="I69" i="5"/>
  <c r="J53" i="5"/>
  <c r="I53" i="5"/>
  <c r="J37" i="5"/>
  <c r="I37" i="5"/>
  <c r="I21" i="5"/>
  <c r="H72" i="5"/>
  <c r="K72" i="5"/>
  <c r="H56" i="5"/>
  <c r="K56" i="5"/>
  <c r="H40" i="5"/>
  <c r="K40" i="5"/>
  <c r="H24" i="5"/>
  <c r="K24" i="5"/>
  <c r="I96" i="5"/>
  <c r="I64" i="5"/>
  <c r="I32" i="5"/>
  <c r="J96" i="5"/>
  <c r="J93" i="5"/>
  <c r="I93" i="5"/>
  <c r="J77" i="5"/>
  <c r="I77" i="5"/>
  <c r="J61" i="5"/>
  <c r="I61" i="5"/>
  <c r="J45" i="5"/>
  <c r="I45" i="5"/>
  <c r="J29" i="5"/>
  <c r="I29" i="5"/>
  <c r="G13" i="5"/>
  <c r="H64" i="5"/>
  <c r="K64" i="5"/>
  <c r="H48" i="5"/>
  <c r="K48" i="5"/>
  <c r="H32" i="5"/>
  <c r="K32" i="5"/>
  <c r="W4" i="6"/>
  <c r="W10" i="6"/>
  <c r="W23" i="6"/>
  <c r="W5" i="6"/>
  <c r="W11" i="6"/>
  <c r="W18" i="6"/>
  <c r="W6" i="6"/>
  <c r="W12" i="6"/>
  <c r="W16" i="6"/>
  <c r="W22" i="6"/>
  <c r="W13" i="6"/>
  <c r="W14" i="6"/>
  <c r="W7" i="6"/>
  <c r="W21" i="6"/>
  <c r="W17" i="6"/>
  <c r="W19" i="6"/>
  <c r="P38" i="6"/>
  <c r="R38" i="6" s="1"/>
  <c r="T38" i="6" s="1"/>
  <c r="P50" i="6"/>
  <c r="P58" i="6"/>
  <c r="W2" i="6"/>
  <c r="W8" i="6"/>
  <c r="W15" i="6"/>
  <c r="W20" i="6"/>
  <c r="W3" i="6"/>
  <c r="E83" i="6"/>
  <c r="F83" i="6" s="1"/>
  <c r="E75" i="6"/>
  <c r="F75" i="6" s="1"/>
  <c r="P75" i="6" s="1"/>
  <c r="E98" i="6"/>
  <c r="F98" i="6"/>
  <c r="P98" i="6" s="1"/>
  <c r="R98" i="6" s="1"/>
  <c r="T98" i="6" s="1"/>
  <c r="E90" i="6"/>
  <c r="F90" i="6" s="1"/>
  <c r="E105" i="6"/>
  <c r="F105" i="6" s="1"/>
  <c r="G105" i="6" s="1"/>
  <c r="E82" i="6"/>
  <c r="F82" i="6"/>
  <c r="P82" i="6" s="1"/>
  <c r="E74" i="6"/>
  <c r="F74" i="6" s="1"/>
  <c r="E95" i="6"/>
  <c r="F95" i="6" s="1"/>
  <c r="E87" i="6"/>
  <c r="F87" i="6"/>
  <c r="G87" i="6" s="1"/>
  <c r="F17" i="6"/>
  <c r="P65" i="6"/>
  <c r="P33" i="6"/>
  <c r="E81" i="6"/>
  <c r="F81" i="6" s="1"/>
  <c r="E73" i="6"/>
  <c r="F73" i="6" s="1"/>
  <c r="E100" i="6"/>
  <c r="F100" i="6"/>
  <c r="P100" i="6" s="1"/>
  <c r="E92" i="6"/>
  <c r="F92" i="6" s="1"/>
  <c r="E84" i="6"/>
  <c r="F84" i="6" s="1"/>
  <c r="E102" i="6"/>
  <c r="F102" i="6" s="1"/>
  <c r="E80" i="6"/>
  <c r="F80" i="6" s="1"/>
  <c r="E72" i="6"/>
  <c r="F72" i="6" s="1"/>
  <c r="E97" i="6"/>
  <c r="F97" i="6" s="1"/>
  <c r="E89" i="6"/>
  <c r="F89" i="6" s="1"/>
  <c r="P36" i="6"/>
  <c r="E79" i="6"/>
  <c r="F79" i="6" s="1"/>
  <c r="E71" i="6"/>
  <c r="F71" i="6" s="1"/>
  <c r="E103" i="6"/>
  <c r="F103" i="6" s="1"/>
  <c r="E94" i="6"/>
  <c r="F94" i="6" s="1"/>
  <c r="G94" i="6" s="1"/>
  <c r="E86" i="6"/>
  <c r="F86" i="6" s="1"/>
  <c r="E78" i="6"/>
  <c r="F78" i="6" s="1"/>
  <c r="E70" i="6"/>
  <c r="F70" i="6" s="1"/>
  <c r="E99" i="6"/>
  <c r="F99" i="6" s="1"/>
  <c r="E91" i="6"/>
  <c r="F91" i="6" s="1"/>
  <c r="E77" i="6"/>
  <c r="F77" i="6" s="1"/>
  <c r="G98" i="6"/>
  <c r="X98" i="6" s="1"/>
  <c r="E96" i="6"/>
  <c r="F96" i="6"/>
  <c r="P96" i="6" s="1"/>
  <c r="E88" i="6"/>
  <c r="F88" i="6" s="1"/>
  <c r="E30" i="3"/>
  <c r="F77" i="1"/>
  <c r="G77" i="1" s="1"/>
  <c r="K77" i="1" s="1"/>
  <c r="F37" i="1"/>
  <c r="P37" i="1" s="1"/>
  <c r="R37" i="1" s="1"/>
  <c r="T37" i="1" s="1"/>
  <c r="E17" i="3"/>
  <c r="E23" i="3"/>
  <c r="F45" i="1"/>
  <c r="F62" i="1"/>
  <c r="E49" i="3"/>
  <c r="E27" i="3"/>
  <c r="E41" i="3"/>
  <c r="F70" i="1"/>
  <c r="P70" i="1" s="1"/>
  <c r="E38" i="3"/>
  <c r="F67" i="1"/>
  <c r="G67" i="1" s="1"/>
  <c r="K67" i="1" s="1"/>
  <c r="X65" i="6"/>
  <c r="K98" i="6"/>
  <c r="G62" i="1"/>
  <c r="K62" i="1" s="1"/>
  <c r="G45" i="1"/>
  <c r="K45" i="1"/>
  <c r="P45" i="1"/>
  <c r="P67" i="1"/>
  <c r="G37" i="1"/>
  <c r="K37" i="1" s="1"/>
  <c r="G18" i="5"/>
  <c r="D18" i="5"/>
  <c r="P52" i="1" l="1"/>
  <c r="G52" i="1"/>
  <c r="J52" i="1" s="1"/>
  <c r="P23" i="1"/>
  <c r="G23" i="1"/>
  <c r="I23" i="1" s="1"/>
  <c r="G43" i="1"/>
  <c r="K43" i="1" s="1"/>
  <c r="P43" i="1"/>
  <c r="R43" i="1" s="1"/>
  <c r="T43" i="1" s="1"/>
  <c r="P31" i="1"/>
  <c r="G31" i="1"/>
  <c r="I31" i="1" s="1"/>
  <c r="AF50" i="1"/>
  <c r="G93" i="1"/>
  <c r="K93" i="1" s="1"/>
  <c r="P93" i="1"/>
  <c r="P27" i="1"/>
  <c r="G27" i="1"/>
  <c r="I27" i="1" s="1"/>
  <c r="P77" i="1"/>
  <c r="E45" i="3"/>
  <c r="E19" i="3"/>
  <c r="R48" i="1"/>
  <c r="T48" i="1" s="1"/>
  <c r="F42" i="1"/>
  <c r="R99" i="1"/>
  <c r="T99" i="1" s="1"/>
  <c r="R45" i="1"/>
  <c r="T45" i="1" s="1"/>
  <c r="F65" i="1"/>
  <c r="G65" i="1" s="1"/>
  <c r="I65" i="1" s="1"/>
  <c r="E103" i="1"/>
  <c r="F103" i="1" s="1"/>
  <c r="G103" i="1" s="1"/>
  <c r="K103" i="1" s="1"/>
  <c r="R71" i="1"/>
  <c r="T71" i="1" s="1"/>
  <c r="E39" i="3"/>
  <c r="F75" i="1"/>
  <c r="G75" i="1" s="1"/>
  <c r="I75" i="1" s="1"/>
  <c r="E22" i="3"/>
  <c r="E34" i="3"/>
  <c r="E104" i="1"/>
  <c r="F104" i="1" s="1"/>
  <c r="P104" i="1" s="1"/>
  <c r="G48" i="1"/>
  <c r="I48" i="1" s="1"/>
  <c r="G99" i="1"/>
  <c r="K99" i="1" s="1"/>
  <c r="E98" i="1"/>
  <c r="F98" i="1" s="1"/>
  <c r="G98" i="1" s="1"/>
  <c r="K98" i="1" s="1"/>
  <c r="E101" i="1"/>
  <c r="F101" i="1" s="1"/>
  <c r="P101" i="1" s="1"/>
  <c r="P44" i="1"/>
  <c r="G44" i="1"/>
  <c r="K44" i="1" s="1"/>
  <c r="G89" i="1"/>
  <c r="K89" i="1" s="1"/>
  <c r="P89" i="1"/>
  <c r="R89" i="1" s="1"/>
  <c r="T89" i="1" s="1"/>
  <c r="G58" i="1"/>
  <c r="P58" i="1"/>
  <c r="R58" i="1" s="1"/>
  <c r="T58" i="1" s="1"/>
  <c r="G72" i="1"/>
  <c r="I72" i="1" s="1"/>
  <c r="P72" i="1"/>
  <c r="R72" i="1" s="1"/>
  <c r="T72" i="1" s="1"/>
  <c r="G21" i="1"/>
  <c r="I21" i="1" s="1"/>
  <c r="P21" i="1"/>
  <c r="R77" i="1"/>
  <c r="T77" i="1" s="1"/>
  <c r="G87" i="1"/>
  <c r="K87" i="1" s="1"/>
  <c r="P87" i="1"/>
  <c r="P82" i="1"/>
  <c r="G82" i="1"/>
  <c r="K82" i="1" s="1"/>
  <c r="P80" i="1"/>
  <c r="G80" i="1"/>
  <c r="K80" i="1" s="1"/>
  <c r="P35" i="1"/>
  <c r="G35" i="1"/>
  <c r="K35" i="1" s="1"/>
  <c r="P96" i="1"/>
  <c r="G96" i="1"/>
  <c r="K96" i="1" s="1"/>
  <c r="R64" i="1"/>
  <c r="T64" i="1" s="1"/>
  <c r="G70" i="1"/>
  <c r="J70" i="1" s="1"/>
  <c r="G91" i="1"/>
  <c r="K91" i="1" s="1"/>
  <c r="E29" i="3"/>
  <c r="R67" i="1"/>
  <c r="T67" i="1" s="1"/>
  <c r="E33" i="3"/>
  <c r="R23" i="1"/>
  <c r="T23" i="1" s="1"/>
  <c r="E28" i="3"/>
  <c r="E15" i="3"/>
  <c r="F79" i="1"/>
  <c r="E40" i="3"/>
  <c r="E11" i="3"/>
  <c r="F83" i="1"/>
  <c r="G83" i="1" s="1"/>
  <c r="I83" i="1" s="1"/>
  <c r="P90" i="1"/>
  <c r="R90" i="1" s="1"/>
  <c r="T90" i="1" s="1"/>
  <c r="E52" i="3"/>
  <c r="R31" i="1"/>
  <c r="T31" i="1" s="1"/>
  <c r="R52" i="1"/>
  <c r="T52" i="1" s="1"/>
  <c r="E48" i="3"/>
  <c r="F74" i="1"/>
  <c r="P102" i="1"/>
  <c r="G102" i="1"/>
  <c r="K102" i="1" s="1"/>
  <c r="G67" i="6"/>
  <c r="K67" i="6" s="1"/>
  <c r="P67" i="6"/>
  <c r="R67" i="6" s="1"/>
  <c r="T67" i="6" s="1"/>
  <c r="G60" i="6"/>
  <c r="K60" i="6" s="1"/>
  <c r="P60" i="6"/>
  <c r="AF50" i="6"/>
  <c r="G73" i="6"/>
  <c r="I73" i="6" s="1"/>
  <c r="P73" i="6"/>
  <c r="P83" i="6"/>
  <c r="G83" i="6"/>
  <c r="X83" i="6" s="1"/>
  <c r="G69" i="6"/>
  <c r="J69" i="6" s="1"/>
  <c r="P69" i="6"/>
  <c r="X36" i="6"/>
  <c r="P27" i="6"/>
  <c r="K33" i="6"/>
  <c r="E47" i="6"/>
  <c r="F47" i="6" s="1"/>
  <c r="P47" i="6" s="1"/>
  <c r="E29" i="6"/>
  <c r="F29" i="6" s="1"/>
  <c r="E26" i="6"/>
  <c r="F26" i="6" s="1"/>
  <c r="G26" i="6" s="1"/>
  <c r="X38" i="6"/>
  <c r="R65" i="6"/>
  <c r="T65" i="6" s="1"/>
  <c r="E44" i="6"/>
  <c r="F44" i="6" s="1"/>
  <c r="E40" i="6"/>
  <c r="F40" i="6" s="1"/>
  <c r="E35" i="6"/>
  <c r="F35" i="6" s="1"/>
  <c r="G35" i="6" s="1"/>
  <c r="K35" i="6" s="1"/>
  <c r="E32" i="6"/>
  <c r="F32" i="6" s="1"/>
  <c r="W9" i="6"/>
  <c r="E106" i="6"/>
  <c r="F106" i="6" s="1"/>
  <c r="G106" i="6" s="1"/>
  <c r="E49" i="6"/>
  <c r="F49" i="6" s="1"/>
  <c r="E37" i="6"/>
  <c r="F37" i="6" s="1"/>
  <c r="G37" i="6" s="1"/>
  <c r="K37" i="6" s="1"/>
  <c r="E28" i="6"/>
  <c r="F28" i="6" s="1"/>
  <c r="P28" i="6" s="1"/>
  <c r="E25" i="6"/>
  <c r="F25" i="6" s="1"/>
  <c r="E22" i="6"/>
  <c r="F22" i="6" s="1"/>
  <c r="E101" i="6"/>
  <c r="F101" i="6" s="1"/>
  <c r="E46" i="6"/>
  <c r="F46" i="6" s="1"/>
  <c r="G46" i="6" s="1"/>
  <c r="E43" i="6"/>
  <c r="F43" i="6" s="1"/>
  <c r="E39" i="6"/>
  <c r="F39" i="6" s="1"/>
  <c r="G39" i="6" s="1"/>
  <c r="I39" i="6" s="1"/>
  <c r="E34" i="6"/>
  <c r="F34" i="6" s="1"/>
  <c r="G34" i="6" s="1"/>
  <c r="K34" i="6" s="1"/>
  <c r="E93" i="6"/>
  <c r="F93" i="6" s="1"/>
  <c r="P103" i="6"/>
  <c r="G103" i="6"/>
  <c r="K103" i="6" s="1"/>
  <c r="G89" i="6"/>
  <c r="P89" i="6"/>
  <c r="R89" i="6" s="1"/>
  <c r="T89" i="6" s="1"/>
  <c r="G57" i="6"/>
  <c r="I57" i="6" s="1"/>
  <c r="P57" i="6"/>
  <c r="X57" i="6" s="1"/>
  <c r="K46" i="6"/>
  <c r="G28" i="6"/>
  <c r="I28" i="6" s="1"/>
  <c r="P25" i="6"/>
  <c r="G25" i="6"/>
  <c r="G101" i="6"/>
  <c r="P101" i="6"/>
  <c r="R101" i="6" s="1"/>
  <c r="T101" i="6" s="1"/>
  <c r="P40" i="6"/>
  <c r="R40" i="6" s="1"/>
  <c r="T40" i="6" s="1"/>
  <c r="G40" i="6"/>
  <c r="P88" i="6"/>
  <c r="R88" i="6" s="1"/>
  <c r="T88" i="6" s="1"/>
  <c r="G88" i="6"/>
  <c r="G91" i="6"/>
  <c r="P91" i="6"/>
  <c r="R91" i="6" s="1"/>
  <c r="T91" i="6" s="1"/>
  <c r="G71" i="6"/>
  <c r="K71" i="6" s="1"/>
  <c r="P71" i="6"/>
  <c r="X71" i="6" s="1"/>
  <c r="P97" i="6"/>
  <c r="R97" i="6" s="1"/>
  <c r="T97" i="6" s="1"/>
  <c r="G97" i="6"/>
  <c r="K105" i="6"/>
  <c r="G66" i="6"/>
  <c r="P66" i="6"/>
  <c r="R66" i="6" s="1"/>
  <c r="T66" i="6" s="1"/>
  <c r="P54" i="6"/>
  <c r="G54" i="6"/>
  <c r="K54" i="6" s="1"/>
  <c r="G43" i="6"/>
  <c r="K43" i="6" s="1"/>
  <c r="P43" i="6"/>
  <c r="P31" i="6"/>
  <c r="G31" i="6"/>
  <c r="P93" i="6"/>
  <c r="G93" i="6"/>
  <c r="K93" i="6" s="1"/>
  <c r="P51" i="6"/>
  <c r="G51" i="6"/>
  <c r="K51" i="6" s="1"/>
  <c r="G32" i="6"/>
  <c r="P32" i="6"/>
  <c r="P99" i="6"/>
  <c r="R99" i="6" s="1"/>
  <c r="T99" i="6" s="1"/>
  <c r="U99" i="6"/>
  <c r="G79" i="6"/>
  <c r="K79" i="6" s="1"/>
  <c r="P79" i="6"/>
  <c r="G72" i="6"/>
  <c r="P72" i="6"/>
  <c r="R50" i="6"/>
  <c r="T50" i="6" s="1"/>
  <c r="G63" i="6"/>
  <c r="P63" i="6"/>
  <c r="R63" i="6" s="1"/>
  <c r="T63" i="6" s="1"/>
  <c r="I48" i="6"/>
  <c r="I24" i="6"/>
  <c r="G21" i="6"/>
  <c r="P21" i="6"/>
  <c r="R21" i="6" s="1"/>
  <c r="T21" i="6" s="1"/>
  <c r="G70" i="6"/>
  <c r="J70" i="6" s="1"/>
  <c r="P70" i="6"/>
  <c r="R70" i="6" s="1"/>
  <c r="T70" i="6" s="1"/>
  <c r="P80" i="6"/>
  <c r="G80" i="6"/>
  <c r="P81" i="6"/>
  <c r="G81" i="6"/>
  <c r="K81" i="6" s="1"/>
  <c r="K87" i="6"/>
  <c r="G90" i="6"/>
  <c r="P90" i="6"/>
  <c r="R90" i="6" s="1"/>
  <c r="T90" i="6" s="1"/>
  <c r="P59" i="6"/>
  <c r="G59" i="6"/>
  <c r="K59" i="6" s="1"/>
  <c r="G53" i="6"/>
  <c r="K53" i="6" s="1"/>
  <c r="P53" i="6"/>
  <c r="R53" i="6" s="1"/>
  <c r="T53" i="6" s="1"/>
  <c r="K50" i="6"/>
  <c r="X50" i="6"/>
  <c r="G45" i="6"/>
  <c r="K45" i="6" s="1"/>
  <c r="P45" i="6"/>
  <c r="X45" i="6" s="1"/>
  <c r="P42" i="6"/>
  <c r="G42" i="6"/>
  <c r="G30" i="6"/>
  <c r="P30" i="6"/>
  <c r="G78" i="6"/>
  <c r="P78" i="6"/>
  <c r="P102" i="6"/>
  <c r="G102" i="6"/>
  <c r="G68" i="6"/>
  <c r="P68" i="6"/>
  <c r="R68" i="6" s="1"/>
  <c r="T68" i="6" s="1"/>
  <c r="P62" i="6"/>
  <c r="R62" i="6" s="1"/>
  <c r="T62" i="6" s="1"/>
  <c r="G62" i="6"/>
  <c r="G76" i="6"/>
  <c r="P76" i="6"/>
  <c r="P77" i="6"/>
  <c r="G77" i="6"/>
  <c r="G86" i="6"/>
  <c r="I86" i="6" s="1"/>
  <c r="P86" i="6"/>
  <c r="P84" i="6"/>
  <c r="R84" i="6" s="1"/>
  <c r="T84" i="6" s="1"/>
  <c r="G84" i="6"/>
  <c r="P95" i="6"/>
  <c r="G95" i="6"/>
  <c r="X58" i="6"/>
  <c r="I58" i="6"/>
  <c r="G52" i="6"/>
  <c r="J52" i="6" s="1"/>
  <c r="P52" i="6"/>
  <c r="X52" i="6" s="1"/>
  <c r="G41" i="6"/>
  <c r="K41" i="6" s="1"/>
  <c r="P41" i="6"/>
  <c r="I26" i="6"/>
  <c r="P23" i="6"/>
  <c r="G23" i="6"/>
  <c r="K94" i="6"/>
  <c r="P92" i="6"/>
  <c r="U92" i="6"/>
  <c r="P74" i="6"/>
  <c r="G74" i="6"/>
  <c r="X67" i="6"/>
  <c r="P61" i="6"/>
  <c r="G61" i="6"/>
  <c r="K55" i="6"/>
  <c r="G82" i="6"/>
  <c r="K82" i="6" s="1"/>
  <c r="P46" i="6"/>
  <c r="R46" i="6" s="1"/>
  <c r="T46" i="6" s="1"/>
  <c r="P94" i="6"/>
  <c r="R94" i="6" s="1"/>
  <c r="T94" i="6" s="1"/>
  <c r="R36" i="6"/>
  <c r="T36" i="6" s="1"/>
  <c r="P48" i="6"/>
  <c r="R48" i="6" s="1"/>
  <c r="T48" i="6" s="1"/>
  <c r="I83" i="6"/>
  <c r="R33" i="6"/>
  <c r="T33" i="6" s="1"/>
  <c r="P87" i="6"/>
  <c r="R87" i="6" s="1"/>
  <c r="T87" i="6" s="1"/>
  <c r="G96" i="6"/>
  <c r="K96" i="6" s="1"/>
  <c r="P105" i="6"/>
  <c r="R105" i="6" s="1"/>
  <c r="T105" i="6" s="1"/>
  <c r="G100" i="6"/>
  <c r="K100" i="6" s="1"/>
  <c r="P55" i="6"/>
  <c r="R55" i="6" s="1"/>
  <c r="T55" i="6" s="1"/>
  <c r="G85" i="6"/>
  <c r="G75" i="6"/>
  <c r="R75" i="6" s="1"/>
  <c r="T75" i="6" s="1"/>
  <c r="P37" i="6"/>
  <c r="R37" i="6" s="1"/>
  <c r="T37" i="6" s="1"/>
  <c r="R58" i="6"/>
  <c r="T58" i="6" s="1"/>
  <c r="P35" i="6"/>
  <c r="X35" i="6" s="1"/>
  <c r="P24" i="6"/>
  <c r="R24" i="6" s="1"/>
  <c r="T24" i="6" s="1"/>
  <c r="P64" i="6"/>
  <c r="K104" i="6"/>
  <c r="D16" i="6"/>
  <c r="D19" i="6" s="1"/>
  <c r="D15" i="6"/>
  <c r="C19" i="6" s="1"/>
  <c r="P104" i="6"/>
  <c r="R104" i="6" s="1"/>
  <c r="T104" i="6" s="1"/>
  <c r="X73" i="6"/>
  <c r="R73" i="6"/>
  <c r="T73" i="6" s="1"/>
  <c r="R56" i="6"/>
  <c r="T56" i="6" s="1"/>
  <c r="X56" i="6"/>
  <c r="R100" i="6"/>
  <c r="T100" i="6" s="1"/>
  <c r="X100" i="6"/>
  <c r="R54" i="6"/>
  <c r="T54" i="6" s="1"/>
  <c r="X54" i="6"/>
  <c r="R64" i="6"/>
  <c r="T64" i="6" s="1"/>
  <c r="X64" i="6"/>
  <c r="L13" i="5"/>
  <c r="H13" i="5"/>
  <c r="Q13" i="5"/>
  <c r="E13" i="5"/>
  <c r="C13" i="5"/>
  <c r="P13" i="5"/>
  <c r="J13" i="5"/>
  <c r="I13" i="5"/>
  <c r="F13" i="5"/>
  <c r="O13" i="5"/>
  <c r="K13" i="5"/>
  <c r="N13" i="5"/>
  <c r="M13" i="5"/>
  <c r="R27" i="6"/>
  <c r="T27" i="6" s="1"/>
  <c r="X27" i="6"/>
  <c r="X99" i="6"/>
  <c r="R93" i="6"/>
  <c r="T93" i="6" s="1"/>
  <c r="X93" i="6"/>
  <c r="J21" i="5"/>
  <c r="H21" i="5"/>
  <c r="K21" i="5"/>
  <c r="P32" i="1"/>
  <c r="R32" i="1" s="1"/>
  <c r="T32" i="1" s="1"/>
  <c r="W5" i="1"/>
  <c r="P41" i="1"/>
  <c r="R41" i="1" s="1"/>
  <c r="T41" i="1" s="1"/>
  <c r="P84" i="1"/>
  <c r="R84" i="1" s="1"/>
  <c r="T84" i="1" s="1"/>
  <c r="P98" i="1"/>
  <c r="R98" i="1" s="1"/>
  <c r="T98" i="1" s="1"/>
  <c r="P63" i="1"/>
  <c r="R63" i="1" s="1"/>
  <c r="T63" i="1" s="1"/>
  <c r="P57" i="1"/>
  <c r="R57" i="1" s="1"/>
  <c r="T57" i="1" s="1"/>
  <c r="P54" i="1"/>
  <c r="R54" i="1" s="1"/>
  <c r="T54" i="1" s="1"/>
  <c r="W10" i="1"/>
  <c r="W16" i="1"/>
  <c r="W7" i="1"/>
  <c r="P86" i="1"/>
  <c r="R86" i="1" s="1"/>
  <c r="T86" i="1" s="1"/>
  <c r="P59" i="1"/>
  <c r="R59" i="1" s="1"/>
  <c r="T59" i="1" s="1"/>
  <c r="P97" i="1"/>
  <c r="R97" i="1" s="1"/>
  <c r="T97" i="1" s="1"/>
  <c r="P39" i="1"/>
  <c r="R39" i="1" s="1"/>
  <c r="T39" i="1" s="1"/>
  <c r="P50" i="1"/>
  <c r="R50" i="1" s="1"/>
  <c r="T50" i="1" s="1"/>
  <c r="P76" i="1"/>
  <c r="R76" i="1" s="1"/>
  <c r="T76" i="1" s="1"/>
  <c r="P60" i="1"/>
  <c r="R60" i="1" s="1"/>
  <c r="T60" i="1" s="1"/>
  <c r="W20" i="1"/>
  <c r="P94" i="1"/>
  <c r="R94" i="1" s="1"/>
  <c r="T94" i="1" s="1"/>
  <c r="P24" i="1"/>
  <c r="R24" i="1" s="1"/>
  <c r="T24" i="1" s="1"/>
  <c r="P53" i="1"/>
  <c r="R53" i="1" s="1"/>
  <c r="T53" i="1" s="1"/>
  <c r="P92" i="1"/>
  <c r="R92" i="1" s="1"/>
  <c r="T92" i="1" s="1"/>
  <c r="P62" i="1"/>
  <c r="R62" i="1" s="1"/>
  <c r="T62" i="1" s="1"/>
  <c r="P40" i="1"/>
  <c r="R40" i="1" s="1"/>
  <c r="T40" i="1" s="1"/>
  <c r="W11" i="1"/>
  <c r="P88" i="1"/>
  <c r="R88" i="1" s="1"/>
  <c r="T88" i="1" s="1"/>
  <c r="P81" i="1"/>
  <c r="R81" i="1" s="1"/>
  <c r="T81" i="1" s="1"/>
  <c r="P69" i="1"/>
  <c r="R69" i="1" s="1"/>
  <c r="T69" i="1" s="1"/>
  <c r="P33" i="1"/>
  <c r="R33" i="1" s="1"/>
  <c r="T33" i="1" s="1"/>
  <c r="P51" i="1"/>
  <c r="R51" i="1" s="1"/>
  <c r="T51" i="1" s="1"/>
  <c r="P29" i="1"/>
  <c r="R29" i="1" s="1"/>
  <c r="T29" i="1" s="1"/>
  <c r="W12" i="1"/>
  <c r="P68" i="1"/>
  <c r="R68" i="1" s="1"/>
  <c r="T68" i="1" s="1"/>
  <c r="P55" i="1"/>
  <c r="R55" i="1" s="1"/>
  <c r="T55" i="1" s="1"/>
  <c r="P78" i="1"/>
  <c r="R78" i="1" s="1"/>
  <c r="T78" i="1" s="1"/>
  <c r="P56" i="1"/>
  <c r="R56" i="1" s="1"/>
  <c r="T56" i="1" s="1"/>
  <c r="P85" i="1"/>
  <c r="R85" i="1" s="1"/>
  <c r="T85" i="1" s="1"/>
  <c r="P73" i="1"/>
  <c r="R73" i="1" s="1"/>
  <c r="T73" i="1" s="1"/>
  <c r="W13" i="1"/>
  <c r="W22" i="1"/>
  <c r="P66" i="1"/>
  <c r="R66" i="1" s="1"/>
  <c r="T66" i="1" s="1"/>
  <c r="P61" i="1"/>
  <c r="R61" i="1" s="1"/>
  <c r="T61" i="1" s="1"/>
  <c r="P30" i="1"/>
  <c r="R30" i="1" s="1"/>
  <c r="T30" i="1" s="1"/>
  <c r="P95" i="1"/>
  <c r="R95" i="1" s="1"/>
  <c r="T95" i="1" s="1"/>
  <c r="P38" i="1"/>
  <c r="R38" i="1" s="1"/>
  <c r="T38" i="1" s="1"/>
  <c r="P34" i="1"/>
  <c r="R34" i="1" s="1"/>
  <c r="T34" i="1" s="1"/>
  <c r="W6" i="1"/>
  <c r="P26" i="1"/>
  <c r="R26" i="1" s="1"/>
  <c r="T26" i="1" s="1"/>
  <c r="W15" i="1"/>
  <c r="P22" i="1"/>
  <c r="R22" i="1" s="1"/>
  <c r="T22" i="1" s="1"/>
  <c r="P49" i="1"/>
  <c r="R49" i="1" s="1"/>
  <c r="T49" i="1" s="1"/>
  <c r="P75" i="1"/>
  <c r="R75" i="1" s="1"/>
  <c r="T75" i="1" s="1"/>
  <c r="W23" i="1"/>
  <c r="P36" i="1"/>
  <c r="R36" i="1" s="1"/>
  <c r="T36" i="1" s="1"/>
  <c r="P28" i="1"/>
  <c r="R28" i="1" s="1"/>
  <c r="T28" i="1" s="1"/>
  <c r="W4" i="1"/>
  <c r="P46" i="1"/>
  <c r="R46" i="1" s="1"/>
  <c r="T46" i="1" s="1"/>
  <c r="P25" i="1"/>
  <c r="R25" i="1" s="1"/>
  <c r="T25" i="1" s="1"/>
  <c r="P100" i="1"/>
  <c r="R100" i="1" s="1"/>
  <c r="T100" i="1" s="1"/>
  <c r="P103" i="1"/>
  <c r="R103" i="1" s="1"/>
  <c r="T103" i="1" s="1"/>
  <c r="W8" i="1"/>
  <c r="W14" i="1"/>
  <c r="W2" i="1"/>
  <c r="X70" i="6"/>
  <c r="R45" i="6"/>
  <c r="T45" i="6" s="1"/>
  <c r="W18" i="1"/>
  <c r="C11" i="6"/>
  <c r="C12" i="6"/>
  <c r="C18" i="5"/>
  <c r="J18" i="5"/>
  <c r="I18" i="5"/>
  <c r="K18" i="5"/>
  <c r="L18" i="5"/>
  <c r="F18" i="5"/>
  <c r="H18" i="5"/>
  <c r="R104" i="1" l="1"/>
  <c r="T104" i="1" s="1"/>
  <c r="P65" i="1"/>
  <c r="R65" i="1" s="1"/>
  <c r="T65" i="1" s="1"/>
  <c r="R87" i="1"/>
  <c r="T87" i="1" s="1"/>
  <c r="G104" i="1"/>
  <c r="K104" i="1" s="1"/>
  <c r="R35" i="1"/>
  <c r="T35" i="1" s="1"/>
  <c r="G101" i="1"/>
  <c r="K101" i="1" s="1"/>
  <c r="R80" i="1"/>
  <c r="T80" i="1" s="1"/>
  <c r="R44" i="1"/>
  <c r="T44" i="1" s="1"/>
  <c r="R27" i="1"/>
  <c r="T27" i="1" s="1"/>
  <c r="R93" i="1"/>
  <c r="T93" i="1" s="1"/>
  <c r="R82" i="1"/>
  <c r="T82" i="1" s="1"/>
  <c r="G42" i="1"/>
  <c r="K42" i="1" s="1"/>
  <c r="P42" i="1"/>
  <c r="R42" i="1" s="1"/>
  <c r="T42" i="1" s="1"/>
  <c r="R70" i="1"/>
  <c r="T70" i="1" s="1"/>
  <c r="G74" i="1"/>
  <c r="P74" i="1"/>
  <c r="G79" i="1"/>
  <c r="K79" i="1" s="1"/>
  <c r="P79" i="1"/>
  <c r="R79" i="1" s="1"/>
  <c r="T79" i="1" s="1"/>
  <c r="R102" i="1"/>
  <c r="T102" i="1" s="1"/>
  <c r="I58" i="1"/>
  <c r="R91" i="1"/>
  <c r="T91" i="1" s="1"/>
  <c r="D16" i="1"/>
  <c r="D19" i="1" s="1"/>
  <c r="P83" i="1"/>
  <c r="R83" i="1" s="1"/>
  <c r="T83" i="1" s="1"/>
  <c r="D15" i="1"/>
  <c r="C19" i="1" s="1"/>
  <c r="R96" i="1"/>
  <c r="T96" i="1" s="1"/>
  <c r="R21" i="1"/>
  <c r="T21" i="1" s="1"/>
  <c r="R28" i="6"/>
  <c r="T28" i="6" s="1"/>
  <c r="X28" i="6"/>
  <c r="X96" i="6"/>
  <c r="X53" i="6"/>
  <c r="P106" i="6"/>
  <c r="R106" i="6" s="1"/>
  <c r="T106" i="6" s="1"/>
  <c r="R92" i="6"/>
  <c r="T92" i="6" s="1"/>
  <c r="P34" i="6"/>
  <c r="X34" i="6" s="1"/>
  <c r="G29" i="6"/>
  <c r="P29" i="6"/>
  <c r="R29" i="6" s="1"/>
  <c r="T29" i="6" s="1"/>
  <c r="R83" i="6"/>
  <c r="T83" i="6" s="1"/>
  <c r="R59" i="6"/>
  <c r="T59" i="6" s="1"/>
  <c r="R47" i="6"/>
  <c r="T47" i="6" s="1"/>
  <c r="X47" i="6"/>
  <c r="R60" i="6"/>
  <c r="T60" i="6" s="1"/>
  <c r="P26" i="6"/>
  <c r="R26" i="6" s="1"/>
  <c r="T26" i="6" s="1"/>
  <c r="P39" i="6"/>
  <c r="R39" i="6" s="1"/>
  <c r="T39" i="6" s="1"/>
  <c r="X69" i="6"/>
  <c r="G22" i="6"/>
  <c r="P22" i="6"/>
  <c r="X60" i="6"/>
  <c r="X79" i="6"/>
  <c r="G44" i="6"/>
  <c r="P44" i="6"/>
  <c r="R44" i="6" s="1"/>
  <c r="T44" i="6" s="1"/>
  <c r="R69" i="6"/>
  <c r="T69" i="6" s="1"/>
  <c r="G49" i="6"/>
  <c r="P49" i="6"/>
  <c r="R49" i="6" s="1"/>
  <c r="T49" i="6" s="1"/>
  <c r="R96" i="6"/>
  <c r="T96" i="6" s="1"/>
  <c r="R31" i="6"/>
  <c r="T31" i="6" s="1"/>
  <c r="R34" i="6"/>
  <c r="T34" i="6" s="1"/>
  <c r="X104" i="6"/>
  <c r="R61" i="6"/>
  <c r="T61" i="6" s="1"/>
  <c r="X94" i="6"/>
  <c r="R52" i="6"/>
  <c r="T52" i="6" s="1"/>
  <c r="X86" i="6"/>
  <c r="R86" i="6"/>
  <c r="T86" i="6" s="1"/>
  <c r="X62" i="6"/>
  <c r="K62" i="6"/>
  <c r="R30" i="6"/>
  <c r="T30" i="6" s="1"/>
  <c r="I21" i="6"/>
  <c r="X21" i="6"/>
  <c r="R72" i="6"/>
  <c r="T72" i="6" s="1"/>
  <c r="X37" i="6"/>
  <c r="I31" i="6"/>
  <c r="X31" i="6"/>
  <c r="X97" i="6"/>
  <c r="K97" i="6"/>
  <c r="K40" i="6"/>
  <c r="X40" i="6"/>
  <c r="I30" i="6"/>
  <c r="X30" i="6"/>
  <c r="X81" i="6"/>
  <c r="R81" i="6"/>
  <c r="T81" i="6" s="1"/>
  <c r="X24" i="6"/>
  <c r="X72" i="6"/>
  <c r="I72" i="6"/>
  <c r="X46" i="6"/>
  <c r="R71" i="6"/>
  <c r="T71" i="6" s="1"/>
  <c r="R57" i="6"/>
  <c r="T57" i="6" s="1"/>
  <c r="R79" i="6"/>
  <c r="T79" i="6" s="1"/>
  <c r="I23" i="6"/>
  <c r="X23" i="6"/>
  <c r="X77" i="6"/>
  <c r="K77" i="6"/>
  <c r="K42" i="6"/>
  <c r="X42" i="6"/>
  <c r="X80" i="6"/>
  <c r="K80" i="6"/>
  <c r="X59" i="6"/>
  <c r="R35" i="6"/>
  <c r="T35" i="6" s="1"/>
  <c r="R23" i="6"/>
  <c r="T23" i="6" s="1"/>
  <c r="R77" i="6"/>
  <c r="T77" i="6" s="1"/>
  <c r="X68" i="6"/>
  <c r="J68" i="6"/>
  <c r="R42" i="6"/>
  <c r="T42" i="6" s="1"/>
  <c r="R80" i="6"/>
  <c r="T80" i="6" s="1"/>
  <c r="X48" i="6"/>
  <c r="X66" i="6"/>
  <c r="I66" i="6"/>
  <c r="X101" i="6"/>
  <c r="K101" i="6"/>
  <c r="X51" i="6"/>
  <c r="X74" i="6"/>
  <c r="I74" i="6"/>
  <c r="X26" i="6"/>
  <c r="K95" i="6"/>
  <c r="X95" i="6"/>
  <c r="X102" i="6"/>
  <c r="K102" i="6"/>
  <c r="R82" i="6"/>
  <c r="T82" i="6" s="1"/>
  <c r="X39" i="6"/>
  <c r="X25" i="6"/>
  <c r="I25" i="6"/>
  <c r="R51" i="6"/>
  <c r="T51" i="6" s="1"/>
  <c r="I75" i="6"/>
  <c r="X75" i="6"/>
  <c r="X55" i="6"/>
  <c r="R74" i="6"/>
  <c r="T74" i="6" s="1"/>
  <c r="R95" i="6"/>
  <c r="T95" i="6" s="1"/>
  <c r="R102" i="6"/>
  <c r="T102" i="6" s="1"/>
  <c r="X90" i="6"/>
  <c r="K90" i="6"/>
  <c r="X82" i="6"/>
  <c r="X91" i="6"/>
  <c r="K91" i="6"/>
  <c r="R25" i="6"/>
  <c r="T25" i="6" s="1"/>
  <c r="X89" i="6"/>
  <c r="K89" i="6"/>
  <c r="I85" i="6"/>
  <c r="X85" i="6"/>
  <c r="X92" i="6"/>
  <c r="X41" i="6"/>
  <c r="R41" i="6"/>
  <c r="T41" i="6" s="1"/>
  <c r="X84" i="6"/>
  <c r="K84" i="6"/>
  <c r="R76" i="6"/>
  <c r="T76" i="6" s="1"/>
  <c r="R78" i="6"/>
  <c r="T78" i="6" s="1"/>
  <c r="R85" i="6"/>
  <c r="T85" i="6" s="1"/>
  <c r="X63" i="6"/>
  <c r="K63" i="6"/>
  <c r="R32" i="6"/>
  <c r="T32" i="6" s="1"/>
  <c r="X43" i="6"/>
  <c r="R43" i="6"/>
  <c r="T43" i="6" s="1"/>
  <c r="X88" i="6"/>
  <c r="K88" i="6"/>
  <c r="X61" i="6"/>
  <c r="K61" i="6"/>
  <c r="X76" i="6"/>
  <c r="I76" i="6"/>
  <c r="K78" i="6"/>
  <c r="X78" i="6"/>
  <c r="X87" i="6"/>
  <c r="X32" i="6"/>
  <c r="K32" i="6"/>
  <c r="X105" i="6"/>
  <c r="X103" i="6"/>
  <c r="R103" i="6"/>
  <c r="T103" i="6" s="1"/>
  <c r="C16" i="6"/>
  <c r="D18" i="6" s="1"/>
  <c r="O104" i="6"/>
  <c r="O106" i="6"/>
  <c r="O95" i="6"/>
  <c r="O75" i="6"/>
  <c r="O86" i="6"/>
  <c r="O55" i="6"/>
  <c r="O77" i="6"/>
  <c r="O50" i="6"/>
  <c r="O93" i="6"/>
  <c r="O79" i="6"/>
  <c r="O72" i="6"/>
  <c r="O56" i="6"/>
  <c r="O89" i="6"/>
  <c r="O51" i="6"/>
  <c r="O47" i="6"/>
  <c r="O105" i="6"/>
  <c r="O98" i="6"/>
  <c r="O63" i="6"/>
  <c r="O57" i="6"/>
  <c r="O70" i="6"/>
  <c r="O96" i="6"/>
  <c r="O53" i="6"/>
  <c r="O59" i="6"/>
  <c r="O52" i="6"/>
  <c r="O85" i="6"/>
  <c r="O68" i="6"/>
  <c r="O92" i="6"/>
  <c r="O87" i="6"/>
  <c r="O67" i="6"/>
  <c r="O74" i="6"/>
  <c r="O58" i="6"/>
  <c r="O101" i="6"/>
  <c r="O49" i="6"/>
  <c r="O88" i="6"/>
  <c r="O73" i="6"/>
  <c r="O97" i="6"/>
  <c r="O90" i="6"/>
  <c r="O82" i="6"/>
  <c r="O64" i="6"/>
  <c r="O99" i="6"/>
  <c r="O65" i="6"/>
  <c r="O84" i="6"/>
  <c r="O54" i="6"/>
  <c r="O103" i="6"/>
  <c r="O94" i="6"/>
  <c r="O48" i="6"/>
  <c r="O66" i="6"/>
  <c r="O100" i="6"/>
  <c r="O71" i="6"/>
  <c r="O69" i="6"/>
  <c r="O80" i="6"/>
  <c r="O81" i="6"/>
  <c r="O83" i="6"/>
  <c r="O76" i="6"/>
  <c r="O102" i="6"/>
  <c r="O60" i="6"/>
  <c r="O91" i="6"/>
  <c r="O78" i="6"/>
  <c r="O62" i="6"/>
  <c r="C15" i="6"/>
  <c r="O61" i="6"/>
  <c r="K106" i="6"/>
  <c r="O1" i="5"/>
  <c r="O2" i="5"/>
  <c r="O3" i="5"/>
  <c r="O5" i="5"/>
  <c r="O6" i="5"/>
  <c r="O4" i="5"/>
  <c r="C11" i="1"/>
  <c r="C12" i="1"/>
  <c r="E18" i="5"/>
  <c r="R101" i="1" l="1"/>
  <c r="T101" i="1" s="1"/>
  <c r="C16" i="1"/>
  <c r="D18" i="1" s="1"/>
  <c r="O102" i="1"/>
  <c r="O77" i="1"/>
  <c r="O92" i="1"/>
  <c r="O70" i="1"/>
  <c r="O80" i="1"/>
  <c r="O98" i="1"/>
  <c r="O47" i="1"/>
  <c r="O72" i="1"/>
  <c r="O101" i="1"/>
  <c r="O51" i="1"/>
  <c r="O78" i="1"/>
  <c r="O86" i="1"/>
  <c r="O90" i="1"/>
  <c r="O76" i="1"/>
  <c r="O88" i="1"/>
  <c r="O49" i="1"/>
  <c r="O52" i="1"/>
  <c r="O73" i="1"/>
  <c r="O58" i="1"/>
  <c r="O65" i="1"/>
  <c r="O48" i="1"/>
  <c r="O89" i="1"/>
  <c r="O93" i="1"/>
  <c r="O84" i="1"/>
  <c r="O99" i="1"/>
  <c r="O62" i="1"/>
  <c r="O57" i="1"/>
  <c r="O95" i="1"/>
  <c r="O68" i="1"/>
  <c r="O56" i="1"/>
  <c r="O63" i="1"/>
  <c r="O55" i="1"/>
  <c r="O94" i="1"/>
  <c r="O79" i="1"/>
  <c r="O83" i="1"/>
  <c r="O96" i="1"/>
  <c r="C15" i="1"/>
  <c r="O87" i="1"/>
  <c r="O64" i="1"/>
  <c r="O85" i="1"/>
  <c r="O61" i="1"/>
  <c r="O100" i="1"/>
  <c r="O60" i="1"/>
  <c r="O103" i="1"/>
  <c r="O53" i="1"/>
  <c r="O67" i="1"/>
  <c r="O97" i="1"/>
  <c r="O91" i="1"/>
  <c r="O54" i="1"/>
  <c r="O59" i="1"/>
  <c r="O50" i="1"/>
  <c r="O104" i="1"/>
  <c r="O71" i="1"/>
  <c r="O69" i="1"/>
  <c r="O75" i="1"/>
  <c r="O66" i="1"/>
  <c r="O74" i="1"/>
  <c r="O82" i="1"/>
  <c r="O81" i="1"/>
  <c r="R74" i="1"/>
  <c r="T74" i="1" s="1"/>
  <c r="E14" i="1" s="1"/>
  <c r="I74" i="1"/>
  <c r="X106" i="6"/>
  <c r="I29" i="6"/>
  <c r="X29" i="6"/>
  <c r="F18" i="6"/>
  <c r="F19" i="6" s="1"/>
  <c r="K44" i="6"/>
  <c r="X44" i="6"/>
  <c r="R22" i="6"/>
  <c r="T22" i="6" s="1"/>
  <c r="I22" i="6"/>
  <c r="X22" i="6"/>
  <c r="K49" i="6"/>
  <c r="X49" i="6"/>
  <c r="E14" i="6"/>
  <c r="C18" i="6"/>
  <c r="O7" i="5"/>
  <c r="Q70" i="5"/>
  <c r="Q72" i="5"/>
  <c r="Q50" i="5"/>
  <c r="Q73" i="5"/>
  <c r="Q44" i="5"/>
  <c r="Q22" i="5"/>
  <c r="Q85" i="5"/>
  <c r="Q24" i="5"/>
  <c r="Q69" i="5"/>
  <c r="Q98" i="5"/>
  <c r="Q66" i="5"/>
  <c r="Q68" i="5"/>
  <c r="Q46" i="5"/>
  <c r="Q26" i="5"/>
  <c r="Q40" i="5"/>
  <c r="Q93" i="5"/>
  <c r="Q67" i="5"/>
  <c r="Q99" i="5"/>
  <c r="Q28" i="5"/>
  <c r="Q90" i="5"/>
  <c r="Q92" i="5"/>
  <c r="Q95" i="5"/>
  <c r="Q38" i="5"/>
  <c r="Q71" i="5"/>
  <c r="Q32" i="5"/>
  <c r="Q59" i="5"/>
  <c r="Q53" i="5"/>
  <c r="Q63" i="5"/>
  <c r="Q57" i="5"/>
  <c r="Q82" i="5"/>
  <c r="Q84" i="5"/>
  <c r="Q62" i="5"/>
  <c r="Q88" i="5"/>
  <c r="Q34" i="5"/>
  <c r="Q48" i="5"/>
  <c r="Q43" i="5"/>
  <c r="Q91" i="5"/>
  <c r="Q33" i="5"/>
  <c r="Q80" i="5"/>
  <c r="Q30" i="5"/>
  <c r="Q36" i="5"/>
  <c r="Q35" i="5"/>
  <c r="Q55" i="5"/>
  <c r="Q21" i="5"/>
  <c r="Q76" i="5"/>
  <c r="Q23" i="5"/>
  <c r="Q27" i="5"/>
  <c r="Q25" i="5"/>
  <c r="Q47" i="5"/>
  <c r="Q94" i="5"/>
  <c r="Q64" i="5"/>
  <c r="Q89" i="5"/>
  <c r="Q97" i="5"/>
  <c r="Q61" i="5"/>
  <c r="Q39" i="5"/>
  <c r="Q86" i="5"/>
  <c r="Q79" i="5"/>
  <c r="Q87" i="5"/>
  <c r="Q81" i="5"/>
  <c r="Q45" i="5"/>
  <c r="Q31" i="5"/>
  <c r="Q78" i="5"/>
  <c r="Q58" i="5"/>
  <c r="Q60" i="5"/>
  <c r="Q65" i="5"/>
  <c r="Q37" i="5"/>
  <c r="Q83" i="5"/>
  <c r="Q74" i="5"/>
  <c r="Q54" i="5"/>
  <c r="Q56" i="5"/>
  <c r="Q75" i="5"/>
  <c r="Q29" i="5"/>
  <c r="Q49" i="5"/>
  <c r="Q96" i="5"/>
  <c r="Q42" i="5"/>
  <c r="Q52" i="5"/>
  <c r="Q51" i="5"/>
  <c r="Q77" i="5"/>
  <c r="Q41" i="5"/>
  <c r="E6" i="5"/>
  <c r="E9" i="5" s="1"/>
  <c r="E10" i="5" s="1"/>
  <c r="P65" i="5"/>
  <c r="P59" i="5"/>
  <c r="P25" i="5"/>
  <c r="P83" i="5"/>
  <c r="P41" i="5"/>
  <c r="P54" i="5"/>
  <c r="P71" i="5"/>
  <c r="P85" i="5"/>
  <c r="P77" i="5"/>
  <c r="P76" i="5"/>
  <c r="P91" i="5"/>
  <c r="P47" i="5"/>
  <c r="P80" i="5"/>
  <c r="P61" i="5"/>
  <c r="P29" i="5"/>
  <c r="P30" i="5"/>
  <c r="P48" i="5"/>
  <c r="P58" i="5"/>
  <c r="P88" i="5"/>
  <c r="P75" i="5"/>
  <c r="P39" i="5"/>
  <c r="P26" i="5"/>
  <c r="P53" i="5"/>
  <c r="P86" i="5"/>
  <c r="P93" i="5"/>
  <c r="P32" i="5"/>
  <c r="P42" i="5"/>
  <c r="P52" i="5"/>
  <c r="P98" i="5"/>
  <c r="P31" i="5"/>
  <c r="P57" i="5"/>
  <c r="P46" i="5"/>
  <c r="P27" i="5"/>
  <c r="P94" i="5"/>
  <c r="P82" i="5"/>
  <c r="P96" i="5"/>
  <c r="P49" i="5"/>
  <c r="P38" i="5"/>
  <c r="P92" i="5"/>
  <c r="P87" i="5"/>
  <c r="P63" i="5"/>
  <c r="P73" i="5"/>
  <c r="P37" i="5"/>
  <c r="P68" i="5"/>
  <c r="P70" i="5"/>
  <c r="P44" i="5"/>
  <c r="P81" i="5"/>
  <c r="P51" i="5"/>
  <c r="P90" i="5"/>
  <c r="P21" i="5"/>
  <c r="P64" i="5"/>
  <c r="P34" i="5"/>
  <c r="P69" i="5"/>
  <c r="P72" i="5"/>
  <c r="P74" i="5"/>
  <c r="P56" i="5"/>
  <c r="P28" i="5"/>
  <c r="P22" i="5"/>
  <c r="P67" i="5"/>
  <c r="P40" i="5"/>
  <c r="P66" i="5"/>
  <c r="P45" i="5"/>
  <c r="P95" i="5"/>
  <c r="P55" i="5"/>
  <c r="P33" i="5"/>
  <c r="P50" i="5"/>
  <c r="P43" i="5"/>
  <c r="P79" i="5"/>
  <c r="P84" i="5"/>
  <c r="P35" i="5"/>
  <c r="P62" i="5"/>
  <c r="P24" i="5"/>
  <c r="P89" i="5"/>
  <c r="P23" i="5"/>
  <c r="P60" i="5"/>
  <c r="P97" i="5"/>
  <c r="P99" i="5"/>
  <c r="P78" i="5"/>
  <c r="P36" i="5"/>
  <c r="E5" i="5"/>
  <c r="O73" i="5"/>
  <c r="O75" i="5"/>
  <c r="O49" i="5"/>
  <c r="O68" i="5"/>
  <c r="O51" i="5"/>
  <c r="O85" i="5"/>
  <c r="O99" i="5"/>
  <c r="O90" i="5"/>
  <c r="O33" i="5"/>
  <c r="O63" i="5"/>
  <c r="O25" i="5"/>
  <c r="O62" i="5"/>
  <c r="O56" i="5"/>
  <c r="O58" i="5"/>
  <c r="O52" i="5"/>
  <c r="O95" i="5"/>
  <c r="O74" i="5"/>
  <c r="O29" i="5"/>
  <c r="O59" i="5"/>
  <c r="O96" i="5"/>
  <c r="O54" i="5"/>
  <c r="O48" i="5"/>
  <c r="O50" i="5"/>
  <c r="O44" i="5"/>
  <c r="O93" i="5"/>
  <c r="O87" i="5"/>
  <c r="O57" i="5"/>
  <c r="O84" i="5"/>
  <c r="O47" i="5"/>
  <c r="O76" i="5"/>
  <c r="O38" i="5"/>
  <c r="O32" i="5"/>
  <c r="O34" i="5"/>
  <c r="O81" i="5"/>
  <c r="O79" i="5"/>
  <c r="O45" i="5"/>
  <c r="O98" i="5"/>
  <c r="O39" i="5"/>
  <c r="O72" i="5"/>
  <c r="O23" i="5"/>
  <c r="O88" i="5"/>
  <c r="O26" i="5"/>
  <c r="O67" i="5"/>
  <c r="O66" i="5"/>
  <c r="O86" i="5"/>
  <c r="O70" i="5"/>
  <c r="O97" i="5"/>
  <c r="O61" i="5"/>
  <c r="O55" i="5"/>
  <c r="O46" i="5"/>
  <c r="O42" i="5"/>
  <c r="O89" i="5"/>
  <c r="O53" i="5"/>
  <c r="O43" i="5"/>
  <c r="O30" i="5"/>
  <c r="O80" i="5"/>
  <c r="O77" i="5"/>
  <c r="O41" i="5"/>
  <c r="O35" i="5"/>
  <c r="O78" i="5"/>
  <c r="O94" i="5"/>
  <c r="O69" i="5"/>
  <c r="O37" i="5"/>
  <c r="O31" i="5"/>
  <c r="O64" i="5"/>
  <c r="O60" i="5"/>
  <c r="O91" i="5"/>
  <c r="O21" i="5"/>
  <c r="O92" i="5"/>
  <c r="O40" i="5"/>
  <c r="O36" i="5"/>
  <c r="O83" i="5"/>
  <c r="O24" i="5"/>
  <c r="O28" i="5"/>
  <c r="O27" i="5"/>
  <c r="O71" i="5"/>
  <c r="O82" i="5"/>
  <c r="O65" i="5"/>
  <c r="O22" i="5"/>
  <c r="E4" i="5"/>
  <c r="P18" i="5"/>
  <c r="Q18" i="5"/>
  <c r="O18" i="5"/>
  <c r="F18" i="1" l="1"/>
  <c r="F19" i="1" s="1"/>
  <c r="C18" i="1"/>
  <c r="M49" i="5"/>
  <c r="V6" i="5"/>
  <c r="M78" i="5"/>
  <c r="M86" i="5"/>
  <c r="M73" i="5"/>
  <c r="V11" i="5"/>
  <c r="M51" i="5"/>
  <c r="M96" i="5"/>
  <c r="M92" i="5"/>
  <c r="M36" i="5"/>
  <c r="M60" i="5"/>
  <c r="V5" i="5"/>
  <c r="M46" i="5"/>
  <c r="M33" i="5"/>
  <c r="M80" i="5"/>
  <c r="M35" i="5"/>
  <c r="M52" i="5"/>
  <c r="M77" i="5"/>
  <c r="M88" i="5"/>
  <c r="M91" i="5"/>
  <c r="M54" i="5"/>
  <c r="V13" i="5"/>
  <c r="M31" i="5"/>
  <c r="M32" i="5"/>
  <c r="M61" i="5"/>
  <c r="M21" i="5"/>
  <c r="M68" i="5"/>
  <c r="M93" i="5"/>
  <c r="M44" i="5"/>
  <c r="M98" i="5"/>
  <c r="V2" i="5"/>
  <c r="V27" i="5"/>
  <c r="M48" i="5"/>
  <c r="V19" i="5"/>
  <c r="M45" i="5"/>
  <c r="V28" i="5"/>
  <c r="M59" i="5"/>
  <c r="V26" i="5"/>
  <c r="V8" i="5"/>
  <c r="V7" i="5"/>
  <c r="M71" i="5"/>
  <c r="V22" i="5"/>
  <c r="M69" i="5"/>
  <c r="M75" i="5"/>
  <c r="M41" i="5"/>
  <c r="M82" i="5"/>
  <c r="M27" i="5"/>
  <c r="M90" i="5"/>
  <c r="M63" i="5"/>
  <c r="M24" i="5"/>
  <c r="V24" i="5"/>
  <c r="M53" i="5"/>
  <c r="M40" i="5"/>
  <c r="M22" i="5"/>
  <c r="V3" i="5"/>
  <c r="M66" i="5"/>
  <c r="M38" i="5"/>
  <c r="M50" i="5"/>
  <c r="M34" i="5"/>
  <c r="M81" i="5"/>
  <c r="V18" i="5"/>
  <c r="M99" i="5"/>
  <c r="V21" i="5"/>
  <c r="M89" i="5"/>
  <c r="M37" i="5"/>
  <c r="V16" i="5"/>
  <c r="V20" i="5"/>
  <c r="M47" i="5"/>
  <c r="V17" i="5"/>
  <c r="M55" i="5"/>
  <c r="M76" i="5"/>
  <c r="M42" i="5"/>
  <c r="M67" i="5"/>
  <c r="V23" i="5"/>
  <c r="M25" i="5"/>
  <c r="M79" i="5"/>
  <c r="M39" i="5"/>
  <c r="M70" i="5"/>
  <c r="M85" i="5"/>
  <c r="M65" i="5"/>
  <c r="M30" i="5"/>
  <c r="M64" i="5"/>
  <c r="V12" i="5"/>
  <c r="M83" i="5"/>
  <c r="M84" i="5"/>
  <c r="M97" i="5"/>
  <c r="M57" i="5"/>
  <c r="M58" i="5"/>
  <c r="V15" i="5"/>
  <c r="V9" i="5"/>
  <c r="V4" i="5"/>
  <c r="M28" i="5"/>
  <c r="V14" i="5"/>
  <c r="M23" i="5"/>
  <c r="M87" i="5"/>
  <c r="M72" i="5"/>
  <c r="M94" i="5"/>
  <c r="M43" i="5"/>
  <c r="V10" i="5"/>
  <c r="M62" i="5"/>
  <c r="V25" i="5"/>
  <c r="M95" i="5"/>
  <c r="M74" i="5"/>
  <c r="M26" i="5"/>
  <c r="M56" i="5"/>
  <c r="M29" i="5"/>
  <c r="R74" i="5" l="1"/>
  <c r="N74" i="5"/>
  <c r="N57" i="5"/>
  <c r="R57" i="5"/>
  <c r="R31" i="5"/>
  <c r="N31" i="5"/>
  <c r="N80" i="5"/>
  <c r="R80" i="5"/>
  <c r="R95" i="5"/>
  <c r="N95" i="5"/>
  <c r="R23" i="5"/>
  <c r="N23" i="5"/>
  <c r="N97" i="5"/>
  <c r="R97" i="5"/>
  <c r="N70" i="5"/>
  <c r="R70" i="5"/>
  <c r="N55" i="5"/>
  <c r="R55" i="5"/>
  <c r="R99" i="5"/>
  <c r="N99" i="5"/>
  <c r="R22" i="5"/>
  <c r="N22" i="5"/>
  <c r="R82" i="5"/>
  <c r="N82" i="5"/>
  <c r="N98" i="5"/>
  <c r="R98" i="5"/>
  <c r="N33" i="5"/>
  <c r="R33" i="5"/>
  <c r="N28" i="5"/>
  <c r="R28" i="5"/>
  <c r="N87" i="5"/>
  <c r="R87" i="5"/>
  <c r="N76" i="5"/>
  <c r="R76" i="5"/>
  <c r="N84" i="5"/>
  <c r="R84" i="5"/>
  <c r="N39" i="5"/>
  <c r="R39" i="5"/>
  <c r="R40" i="5"/>
  <c r="N40" i="5"/>
  <c r="R41" i="5"/>
  <c r="N41" i="5"/>
  <c r="R59" i="5"/>
  <c r="N59" i="5"/>
  <c r="R44" i="5"/>
  <c r="N44" i="5"/>
  <c r="R54" i="5"/>
  <c r="N54" i="5"/>
  <c r="N46" i="5"/>
  <c r="R46" i="5"/>
  <c r="R73" i="5"/>
  <c r="N73" i="5"/>
  <c r="R53" i="5"/>
  <c r="N53" i="5"/>
  <c r="R60" i="5"/>
  <c r="N60" i="5"/>
  <c r="R47" i="5"/>
  <c r="N47" i="5"/>
  <c r="R69" i="5"/>
  <c r="N69" i="5"/>
  <c r="R88" i="5"/>
  <c r="N88" i="5"/>
  <c r="R29" i="5"/>
  <c r="N29" i="5"/>
  <c r="N50" i="5"/>
  <c r="R50" i="5"/>
  <c r="R21" i="5"/>
  <c r="N21" i="5"/>
  <c r="R77" i="5"/>
  <c r="N77" i="5"/>
  <c r="N36" i="5"/>
  <c r="R36" i="5"/>
  <c r="R62" i="5"/>
  <c r="N62" i="5"/>
  <c r="R81" i="5"/>
  <c r="N81" i="5"/>
  <c r="N93" i="5"/>
  <c r="R93" i="5"/>
  <c r="N91" i="5"/>
  <c r="R91" i="5"/>
  <c r="R25" i="5"/>
  <c r="N25" i="5"/>
  <c r="R45" i="5"/>
  <c r="N45" i="5"/>
  <c r="N68" i="5"/>
  <c r="R68" i="5"/>
  <c r="R78" i="5"/>
  <c r="N78" i="5"/>
  <c r="N43" i="5"/>
  <c r="R43" i="5"/>
  <c r="N64" i="5"/>
  <c r="R64" i="5"/>
  <c r="R24" i="5"/>
  <c r="N24" i="5"/>
  <c r="N56" i="5"/>
  <c r="R56" i="5"/>
  <c r="R94" i="5"/>
  <c r="N94" i="5"/>
  <c r="R30" i="5"/>
  <c r="N30" i="5"/>
  <c r="N67" i="5"/>
  <c r="R67" i="5"/>
  <c r="R37" i="5"/>
  <c r="N37" i="5"/>
  <c r="R38" i="5"/>
  <c r="N38" i="5"/>
  <c r="R63" i="5"/>
  <c r="N63" i="5"/>
  <c r="R71" i="5"/>
  <c r="N71" i="5"/>
  <c r="N48" i="5"/>
  <c r="R48" i="5"/>
  <c r="N61" i="5"/>
  <c r="R61" i="5"/>
  <c r="R52" i="5"/>
  <c r="N52" i="5"/>
  <c r="N92" i="5"/>
  <c r="R92" i="5"/>
  <c r="N49" i="5"/>
  <c r="R49" i="5"/>
  <c r="R83" i="5"/>
  <c r="N83" i="5"/>
  <c r="R75" i="5"/>
  <c r="N75" i="5"/>
  <c r="N86" i="5"/>
  <c r="R86" i="5"/>
  <c r="N34" i="5"/>
  <c r="R34" i="5"/>
  <c r="R26" i="5"/>
  <c r="N26" i="5"/>
  <c r="N72" i="5"/>
  <c r="R72" i="5"/>
  <c r="N58" i="5"/>
  <c r="R58" i="5"/>
  <c r="N65" i="5"/>
  <c r="R65" i="5"/>
  <c r="N42" i="5"/>
  <c r="R42" i="5"/>
  <c r="N89" i="5"/>
  <c r="R89" i="5"/>
  <c r="N66" i="5"/>
  <c r="R66" i="5"/>
  <c r="R90" i="5"/>
  <c r="N90" i="5"/>
  <c r="N32" i="5"/>
  <c r="R32" i="5"/>
  <c r="R35" i="5"/>
  <c r="N35" i="5"/>
  <c r="R96" i="5"/>
  <c r="N96" i="5"/>
  <c r="N79" i="5"/>
  <c r="R79" i="5"/>
  <c r="N85" i="5"/>
  <c r="R85" i="5"/>
  <c r="R27" i="5"/>
  <c r="N27" i="5"/>
  <c r="R51" i="5"/>
  <c r="N51" i="5"/>
  <c r="N18" i="5"/>
  <c r="E7" i="5" l="1"/>
  <c r="F4" i="5" l="1"/>
  <c r="H4" i="5" s="1"/>
  <c r="F5" i="5"/>
  <c r="H5" i="5" s="1"/>
  <c r="F6" i="5"/>
  <c r="H6" i="5" s="1"/>
  <c r="F9" i="5" s="1"/>
  <c r="F10" i="5" s="1"/>
  <c r="F8" i="5"/>
  <c r="G9" i="5"/>
</calcChain>
</file>

<file path=xl/sharedStrings.xml><?xml version="1.0" encoding="utf-8"?>
<sst xmlns="http://schemas.openxmlformats.org/spreadsheetml/2006/main" count="1042" uniqueCount="372">
  <si>
    <t>JAVSO..47..105</t>
  </si>
  <si>
    <t>IBVS 6244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</si>
  <si>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</si>
  <si>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</si>
  <si>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</si>
  <si>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</si>
  <si>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t>constant</t>
  </si>
  <si>
    <t>slope</t>
  </si>
  <si>
    <t>Lin fit</t>
  </si>
  <si>
    <t>wt_diff^2</t>
  </si>
  <si>
    <t>sum diff^2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</si>
  <si>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</si>
  <si>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</si>
  <si>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</si>
  <si>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</si>
  <si>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</si>
  <si>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</si>
  <si>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</si>
  <si>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</si>
  <si>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</si>
  <si>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</si>
  <si>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</si>
  <si>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</si>
  <si>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</si>
  <si>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</si>
  <si>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</si>
  <si>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</si>
  <si>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</si>
  <si>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</si>
  <si>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</si>
  <si>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</si>
  <si>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</si>
  <si>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</si>
  <si>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</si>
  <si>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</si>
  <si>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Quad Fit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</si>
  <si>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</si>
  <si>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</si>
  <si>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</si>
  <si>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</si>
  <si>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</si>
  <si>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</si>
  <si>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</si>
  <si>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</si>
  <si>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</si>
  <si>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</si>
  <si>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</si>
  <si>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</si>
  <si>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t>IBVS 6196</t>
  </si>
  <si>
    <t>0.0014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</si>
  <si>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</si>
  <si>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</si>
  <si>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</si>
  <si>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</si>
  <si>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</si>
  <si>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</si>
  <si>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</si>
  <si>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</si>
  <si>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</si>
  <si>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</si>
  <si>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</si>
  <si>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</si>
  <si>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</si>
  <si>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</si>
  <si>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</si>
  <si>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</si>
  <si>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</si>
  <si>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</si>
  <si>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</si>
  <si>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</si>
  <si>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</si>
  <si>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</si>
  <si>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</si>
  <si>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</si>
  <si>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</si>
  <si>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</si>
  <si>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</si>
  <si>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V1097 Her / GSC 2083-1870</t>
  </si>
  <si>
    <t>ROTSE1 J173327.94+265547.</t>
  </si>
  <si>
    <t>IBVS 5781</t>
  </si>
  <si>
    <t>I</t>
  </si>
  <si>
    <t>II</t>
  </si>
  <si>
    <t>IBVS 5713</t>
  </si>
  <si>
    <t>IBVS 5543</t>
  </si>
  <si>
    <t>IBVS 5438</t>
  </si>
  <si>
    <t>p</t>
  </si>
  <si>
    <t>IBVS 5306</t>
  </si>
  <si>
    <t xml:space="preserve">EW      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</si>
  <si>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</si>
  <si>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</si>
  <si>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</si>
  <si>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</si>
  <si>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</si>
  <si>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</si>
  <si>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5875</t>
  </si>
  <si>
    <t>IBVS 5894</t>
  </si>
  <si>
    <t>OEJV 0074</t>
  </si>
  <si>
    <t>CCD+R</t>
  </si>
  <si>
    <t>CCD+V</t>
  </si>
  <si>
    <t>CCD+I</t>
  </si>
  <si>
    <t>OEJV 0107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</si>
  <si>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</si>
  <si>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</si>
  <si>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</si>
  <si>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</si>
  <si>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</si>
  <si>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</si>
  <si>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</si>
  <si>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</si>
  <si>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</si>
  <si>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</si>
  <si>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</si>
  <si>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</si>
  <si>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</si>
  <si>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</si>
  <si>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</si>
  <si>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</si>
  <si>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</si>
  <si>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</si>
  <si>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</si>
  <si>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</si>
  <si>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</si>
  <si>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</si>
  <si>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</si>
  <si>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</si>
  <si>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</si>
  <si>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</si>
  <si>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</si>
  <si>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</si>
  <si>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</si>
  <si>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</si>
  <si>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</si>
  <si>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</si>
  <si>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</si>
  <si>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</si>
  <si>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</si>
  <si>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</si>
  <si>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</si>
  <si>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</si>
  <si>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K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</si>
  <si>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</si>
  <si>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</si>
  <si>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</si>
  <si>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</si>
  <si>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</si>
  <si>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</si>
  <si>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</si>
  <si>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</si>
  <si>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</si>
  <si>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</si>
  <si>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</si>
  <si>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</si>
  <si>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</si>
  <si>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</si>
  <si>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</si>
  <si>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</si>
  <si>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</si>
  <si>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</si>
  <si>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</si>
  <si>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</si>
  <si>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</si>
  <si>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</si>
  <si>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</si>
  <si>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</si>
  <si>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</si>
  <si>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</si>
  <si>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</si>
  <si>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</si>
  <si>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</si>
  <si>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</si>
  <si>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</si>
  <si>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</si>
  <si>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</si>
  <si>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IBVS 5920</t>
  </si>
  <si>
    <t>Add cycle</t>
  </si>
  <si>
    <t>Old Cycle</t>
  </si>
  <si>
    <t>IBVS 5992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</si>
  <si>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</si>
  <si>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</si>
  <si>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</si>
  <si>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</si>
  <si>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</si>
  <si>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IBVS 6050</t>
  </si>
  <si>
    <t>OEJV 0160</t>
  </si>
  <si>
    <t>IBVS 6149</t>
  </si>
  <si>
    <t>OEJV 0168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</si>
  <si>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</si>
  <si>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</si>
  <si>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</si>
  <si>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</si>
  <si>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</si>
  <si>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vis</t>
  </si>
  <si>
    <t>IBVS 6157</t>
  </si>
  <si>
    <t>2453185.46190 </t>
  </si>
  <si>
    <t> 28.06.2004 23:05 </t>
  </si>
  <si>
    <t> 0.00025 </t>
  </si>
  <si>
    <t>C </t>
  </si>
  <si>
    <t> L.Smelcer </t>
  </si>
  <si>
    <t>OEJV 0074 </t>
  </si>
  <si>
    <t>2453233.45248 </t>
  </si>
  <si>
    <t> 15.08.2004 22:51 </t>
  </si>
  <si>
    <t> -0.00182 </t>
  </si>
  <si>
    <t> D.Motl </t>
  </si>
  <si>
    <t>2453237.42379 </t>
  </si>
  <si>
    <t> 19.08.2004 22:10 </t>
  </si>
  <si>
    <t> 0.00017 </t>
  </si>
  <si>
    <t>2453510.40482 </t>
  </si>
  <si>
    <t> 19.05.2005 21:42 </t>
  </si>
  <si>
    <t> 0.00045 </t>
  </si>
  <si>
    <t>2453512.38889 </t>
  </si>
  <si>
    <t> 21.05.2005 21:20 </t>
  </si>
  <si>
    <t> -0.00014 </t>
  </si>
  <si>
    <t>2453516.35911 </t>
  </si>
  <si>
    <t> 25.05.2005 20:37 </t>
  </si>
  <si>
    <t> 0.00076 </t>
  </si>
  <si>
    <t>2453636.34121 </t>
  </si>
  <si>
    <t> 22.09.2005 20:11 </t>
  </si>
  <si>
    <t> 0.00124 </t>
  </si>
  <si>
    <t>2453638.32580 </t>
  </si>
  <si>
    <t> 24.09.2005 19:49 </t>
  </si>
  <si>
    <t> 0.00117 </t>
  </si>
  <si>
    <t>2453815.50139 </t>
  </si>
  <si>
    <t> 21.03.2006 00:02 </t>
  </si>
  <si>
    <t> 0.00088 </t>
  </si>
  <si>
    <t>2453832.46134 </t>
  </si>
  <si>
    <t> 06.04.2006 23:04 </t>
  </si>
  <si>
    <t> 0.00102 </t>
  </si>
  <si>
    <t>2453834.44757 </t>
  </si>
  <si>
    <t> 08.04.2006 22:44 </t>
  </si>
  <si>
    <t> 0.00259 </t>
  </si>
  <si>
    <t>2453923.39506 </t>
  </si>
  <si>
    <t> 06.07.2006 21:28 </t>
  </si>
  <si>
    <t> 0.00130 </t>
  </si>
  <si>
    <t>2453991.41544 </t>
  </si>
  <si>
    <t> 12.09.2006 21:58 </t>
  </si>
  <si>
    <t> 0.00202 </t>
  </si>
  <si>
    <t>2454002.4182 </t>
  </si>
  <si>
    <t> 23.09.2006 22:02 </t>
  </si>
  <si>
    <t> -0.0011 </t>
  </si>
  <si>
    <t> R.Diethelm </t>
  </si>
  <si>
    <t>IBVS 5781 </t>
  </si>
  <si>
    <t>2454210.4505 </t>
  </si>
  <si>
    <t> 19.04.2007 22:48 </t>
  </si>
  <si>
    <t> 0.0029 </t>
  </si>
  <si>
    <t>2454240.40013 </t>
  </si>
  <si>
    <t> 19.05.2007 21:36 </t>
  </si>
  <si>
    <t> 0.00228 </t>
  </si>
  <si>
    <t>2454240.40033 </t>
  </si>
  <si>
    <t> 0.00248 </t>
  </si>
  <si>
    <t>2454946.39955 </t>
  </si>
  <si>
    <t> 24.04.2009 21:35 </t>
  </si>
  <si>
    <t> 0.00454 </t>
  </si>
  <si>
    <t>OEJV 0107 </t>
  </si>
  <si>
    <t>2454946.39965 </t>
  </si>
  <si>
    <t> 0.00464 </t>
  </si>
  <si>
    <t>2454946.40025 </t>
  </si>
  <si>
    <t> 24.04.2009 21:36 </t>
  </si>
  <si>
    <t> 0.00524 </t>
  </si>
  <si>
    <t>2455003.7746 </t>
  </si>
  <si>
    <t> 21.06.2009 06:35 </t>
  </si>
  <si>
    <t> 0.0049 </t>
  </si>
  <si>
    <t>IBVS 5894 </t>
  </si>
  <si>
    <t>2455059.3463 </t>
  </si>
  <si>
    <t> 15.08.2009 20:18 </t>
  </si>
  <si>
    <t> 0.0062 </t>
  </si>
  <si>
    <t> E.Blättler </t>
  </si>
  <si>
    <t>IBVS 5920 </t>
  </si>
  <si>
    <t>2455059.5273 </t>
  </si>
  <si>
    <t> 16.08.2009 00:39 </t>
  </si>
  <si>
    <t> 0.0068 </t>
  </si>
  <si>
    <t>2455311.2184 </t>
  </si>
  <si>
    <t> 24.04.2010 17:14 </t>
  </si>
  <si>
    <t> 0.0071 </t>
  </si>
  <si>
    <t> H.Itoh </t>
  </si>
  <si>
    <t>VSB 51 </t>
  </si>
  <si>
    <t>2455315.0072 </t>
  </si>
  <si>
    <t> 28.04.2010 12:10 </t>
  </si>
  <si>
    <t> 0.0070 </t>
  </si>
  <si>
    <t>Rc</t>
  </si>
  <si>
    <t> K.Shiokawa </t>
  </si>
  <si>
    <t>2455316.0905 </t>
  </si>
  <si>
    <t> 29.04.2010 14:10 </t>
  </si>
  <si>
    <t> 0.0077 </t>
  </si>
  <si>
    <t>2455350.0106 </t>
  </si>
  <si>
    <t> 02.06.2010 12:15 </t>
  </si>
  <si>
    <t> 0.0082 </t>
  </si>
  <si>
    <t>2455350.1900 </t>
  </si>
  <si>
    <t> 02.06.2010 16:33 </t>
  </si>
  <si>
    <t> 0.0072 </t>
  </si>
  <si>
    <t>2455351.0922 </t>
  </si>
  <si>
    <t> 03.06.2010 14:12 </t>
  </si>
  <si>
    <t> 0.0073 </t>
  </si>
  <si>
    <t>2455687.58251 </t>
  </si>
  <si>
    <t> 06.05.2011 01:58 </t>
  </si>
  <si>
    <t> 0.00776 </t>
  </si>
  <si>
    <t> M.Lehky </t>
  </si>
  <si>
    <t>OEJV 0160 </t>
  </si>
  <si>
    <t>2455727.8163 </t>
  </si>
  <si>
    <t> 15.06.2011 07:35 </t>
  </si>
  <si>
    <t>IBVS 5992 </t>
  </si>
  <si>
    <t>2455740.44712 </t>
  </si>
  <si>
    <t> 27.06.2011 22:43 </t>
  </si>
  <si>
    <t> 0.00829 </t>
  </si>
  <si>
    <t>2456024.9749 </t>
  </si>
  <si>
    <t> 07.04.2012 11:23 </t>
  </si>
  <si>
    <t> R.Nelson </t>
  </si>
  <si>
    <t>IBVS 6050 </t>
  </si>
  <si>
    <t>2456061.7807 </t>
  </si>
  <si>
    <t> 14.05.2012 06:44 </t>
  </si>
  <si>
    <t> 0.0076 </t>
  </si>
  <si>
    <t>m</t>
  </si>
  <si>
    <t>2456072.7903 </t>
  </si>
  <si>
    <t> 25.05.2012 06:58 </t>
  </si>
  <si>
    <t> 0.0114 </t>
  </si>
  <si>
    <t>2456096.42288 </t>
  </si>
  <si>
    <t> 17.06.2012 22:08 </t>
  </si>
  <si>
    <t> 0.00848 </t>
  </si>
  <si>
    <t>2456111.3994 </t>
  </si>
  <si>
    <t> 02.07.2012 21:35 </t>
  </si>
  <si>
    <t> 0.0099 </t>
  </si>
  <si>
    <t>B;V</t>
  </si>
  <si>
    <t> A.Liakos et al. </t>
  </si>
  <si>
    <t>IBVS 6095 </t>
  </si>
  <si>
    <t>2456112.3004 </t>
  </si>
  <si>
    <t> 03.07.2012 19:12 </t>
  </si>
  <si>
    <t> 0.0087 </t>
  </si>
  <si>
    <t>2456112.4819 </t>
  </si>
  <si>
    <t> 03.07.2012 23:33 </t>
  </si>
  <si>
    <t> 0.0098 </t>
  </si>
  <si>
    <t>2456113.3827 </t>
  </si>
  <si>
    <t> 04.07.2012 21:11 </t>
  </si>
  <si>
    <t> 0.0085 </t>
  </si>
  <si>
    <t>2456114.4646 </t>
  </si>
  <si>
    <t> 05.07.2012 23:09 </t>
  </si>
  <si>
    <t> 0.0079 </t>
  </si>
  <si>
    <t>2456167.3315 </t>
  </si>
  <si>
    <t> 27.08.2012 19:57 </t>
  </si>
  <si>
    <t> 0.0107 </t>
  </si>
  <si>
    <t>2456411.0818 </t>
  </si>
  <si>
    <t> 28.04.2013 13:57 </t>
  </si>
  <si>
    <t> 0.0088 </t>
  </si>
  <si>
    <t>VSB 56 </t>
  </si>
  <si>
    <t>2456411.2637 </t>
  </si>
  <si>
    <t> 28.04.2013 18:19 </t>
  </si>
  <si>
    <t> 0.0103 </t>
  </si>
  <si>
    <t>2456810.5413 </t>
  </si>
  <si>
    <t> 02.06.2014 00:59 </t>
  </si>
  <si>
    <t>-I</t>
  </si>
  <si>
    <t> F.Agerer </t>
  </si>
  <si>
    <t>BAVM 238 </t>
  </si>
  <si>
    <t>2456831.4728 </t>
  </si>
  <si>
    <t> 22.06.2014 23:20 </t>
  </si>
  <si>
    <t> 0.0131 </t>
  </si>
  <si>
    <t>2457158.4023 </t>
  </si>
  <si>
    <t> 15.05.2015 21:39 </t>
  </si>
  <si>
    <t> 0.0152 </t>
  </si>
  <si>
    <t>BAVM 241 (=IBVS 6157) </t>
  </si>
  <si>
    <t>IBVS 6095</t>
  </si>
  <si>
    <t>OEJV 0179</t>
  </si>
  <si>
    <t>RHN 2018</t>
  </si>
  <si>
    <t>TIME CHANGE NONSENSE?</t>
  </si>
  <si>
    <t>BAD?</t>
  </si>
  <si>
    <t>IBVS 6234</t>
  </si>
  <si>
    <t>JAVSO..44..164</t>
  </si>
  <si>
    <t>JAVSO..45..121</t>
  </si>
  <si>
    <t>End of linear fit</t>
  </si>
  <si>
    <t>Q. resid</t>
  </si>
  <si>
    <t>In view of the scatter, I see no real periodicity in the quadratic residuals</t>
  </si>
  <si>
    <t>RHN 2020</t>
  </si>
  <si>
    <t>IBVS 6262</t>
  </si>
  <si>
    <t>JAVSO, 48, 256</t>
  </si>
  <si>
    <t>JBAV,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</si>
</sst>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_);\(&quot;$&quot;#,##0\)"/>
    <numFmt numFmtId="176" formatCode="0.E+00"/>
    <numFmt numFmtId="177" formatCode="0.0%"/>
    <numFmt numFmtId="179" formatCode="0.00000"/>
  </numFmts>
  <fonts count="57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4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1">
    <xf numFmtId="0" fontId="0" fillId="0" borderId="0">
      <alignment vertical="top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22" borderId="0" applyNumberFormat="0" applyBorder="0" applyAlignment="0" applyProtection="0"/>
    <xf numFmtId="0" fontId="6" fillId="0" borderId="0"/>
    <xf numFmtId="0" fontId="12" fillId="0" borderId="0"/>
    <xf numFmtId="0" fontId="6" fillId="0" borderId="0"/>
    <xf numFmtId="0" fontId="12" fillId="23" borderId="5" applyNumberFormat="0" applyFont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4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9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5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7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2" fillId="0" borderId="9" xfId="0" applyFont="1" applyBorder="1" applyAlignment="1"/>
    <xf numFmtId="0" fontId="12" fillId="0" borderId="10" xfId="0" applyFont="1" applyBorder="1" applyAlignment="1"/>
    <xf numFmtId="0" fontId="20" fillId="0" borderId="11" xfId="0" applyFont="1" applyBorder="1">
      <alignment vertical="top"/>
    </xf>
    <xf numFmtId="14" fontId="0" fillId="0" borderId="0" xfId="0" applyNumberFormat="1">
      <alignment vertical="top"/>
    </xf>
    <xf numFmtId="0" fontId="20" fillId="0" borderId="12" xfId="0" applyFont="1" applyBorder="1">
      <alignment vertical="top"/>
    </xf>
    <xf numFmtId="0" fontId="20" fillId="0" borderId="13" xfId="0" applyFont="1" applyBorder="1">
      <alignment vertical="top"/>
    </xf>
    <xf numFmtId="0" fontId="0" fillId="0" borderId="8" xfId="0" applyBorder="1">
      <alignment vertical="top"/>
    </xf>
    <xf numFmtId="0" fontId="20" fillId="0" borderId="0" xfId="0" applyFont="1">
      <alignment vertical="top"/>
    </xf>
    <xf numFmtId="0" fontId="0" fillId="0" borderId="0" xfId="0" applyFill="1" applyBorder="1">
      <alignment vertical="top"/>
    </xf>
    <xf numFmtId="0" fontId="16" fillId="0" borderId="0" xfId="0" applyFont="1">
      <alignment vertical="top"/>
    </xf>
    <xf numFmtId="177" fontId="16" fillId="0" borderId="0" xfId="0" applyNumberFormat="1" applyFont="1">
      <alignment vertical="top"/>
    </xf>
    <xf numFmtId="10" fontId="16" fillId="0" borderId="0" xfId="0" applyNumberFormat="1" applyFont="1" applyFill="1" applyBorder="1">
      <alignment vertical="top"/>
    </xf>
    <xf numFmtId="0" fontId="0" fillId="0" borderId="0" xfId="0" applyFill="1">
      <alignment vertical="top"/>
    </xf>
    <xf numFmtId="0" fontId="14" fillId="0" borderId="0" xfId="0" applyFont="1" applyAlignment="1">
      <alignment horizontal="center"/>
    </xf>
    <xf numFmtId="0" fontId="21" fillId="0" borderId="0" xfId="0" applyFont="1">
      <alignment vertical="top"/>
    </xf>
    <xf numFmtId="0" fontId="13" fillId="0" borderId="8" xfId="0" applyFont="1" applyFill="1" applyBorder="1" applyAlignment="1">
      <alignment horizontal="center"/>
    </xf>
    <xf numFmtId="0" fontId="14" fillId="24" borderId="5" xfId="0" applyFont="1" applyFill="1" applyBorder="1">
      <alignment vertical="top"/>
    </xf>
    <xf numFmtId="0" fontId="22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left" vertical="center"/>
    </xf>
    <xf numFmtId="0" fontId="22" fillId="0" borderId="0" xfId="0" applyFont="1">
      <alignment vertical="top"/>
    </xf>
    <xf numFmtId="11" fontId="0" fillId="0" borderId="0" xfId="0" applyNumberFormat="1" applyAlignment="1"/>
    <xf numFmtId="0" fontId="0" fillId="0" borderId="14" xfId="0" applyBorder="1">
      <alignment vertical="top"/>
    </xf>
    <xf numFmtId="0" fontId="0" fillId="0" borderId="15" xfId="0" applyBorder="1">
      <alignment vertical="top"/>
    </xf>
    <xf numFmtId="0" fontId="0" fillId="0" borderId="16" xfId="0" applyBorder="1">
      <alignment vertical="top"/>
    </xf>
    <xf numFmtId="0" fontId="0" fillId="0" borderId="17" xfId="0" applyBorder="1" applyAlignment="1"/>
    <xf numFmtId="0" fontId="0" fillId="0" borderId="1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4" fillId="0" borderId="8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12" fillId="0" borderId="0" xfId="0" applyFont="1" applyAlignment="1"/>
    <xf numFmtId="0" fontId="25" fillId="0" borderId="0" xfId="0" applyFont="1" applyAlignme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3" fillId="0" borderId="0" xfId="0" applyFont="1">
      <alignment vertical="top"/>
    </xf>
    <xf numFmtId="0" fontId="26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11" xfId="0" applyBorder="1">
      <alignment vertical="top"/>
    </xf>
    <xf numFmtId="0" fontId="0" fillId="0" borderId="20" xfId="0" applyBorder="1" applyAlignment="1">
      <alignment horizontal="center"/>
    </xf>
    <xf numFmtId="0" fontId="0" fillId="0" borderId="12" xfId="0" applyBorder="1">
      <alignment vertical="top"/>
    </xf>
    <xf numFmtId="0" fontId="11" fillId="0" borderId="0" xfId="39" applyAlignment="1" applyProtection="1">
      <alignment horizontal="left"/>
    </xf>
    <xf numFmtId="0" fontId="0" fillId="0" borderId="21" xfId="0" applyBorder="1" applyAlignment="1">
      <alignment horizontal="center"/>
    </xf>
    <xf numFmtId="0" fontId="0" fillId="0" borderId="13" xfId="0" applyBorder="1">
      <alignment vertical="top"/>
    </xf>
    <xf numFmtId="0" fontId="0" fillId="0" borderId="0" xfId="0" quotePrefix="1">
      <alignment vertical="top"/>
    </xf>
    <xf numFmtId="0" fontId="5" fillId="25" borderId="22" xfId="0" applyFont="1" applyFill="1" applyBorder="1" applyAlignment="1">
      <alignment horizontal="left" vertical="top" wrapText="1" indent="1"/>
    </xf>
    <xf numFmtId="0" fontId="5" fillId="25" borderId="22" xfId="0" applyFont="1" applyFill="1" applyBorder="1" applyAlignment="1">
      <alignment horizontal="center" vertical="top" wrapText="1"/>
    </xf>
    <xf numFmtId="0" fontId="5" fillId="25" borderId="22" xfId="0" applyFont="1" applyFill="1" applyBorder="1" applyAlignment="1">
      <alignment horizontal="right" vertical="top" wrapText="1"/>
    </xf>
    <xf numFmtId="0" fontId="11" fillId="25" borderId="22" xfId="39" applyFill="1" applyBorder="1" applyAlignment="1" applyProtection="1">
      <alignment horizontal="right" vertical="top" wrapText="1"/>
    </xf>
    <xf numFmtId="0" fontId="27" fillId="0" borderId="0" xfId="0" applyFont="1" applyAlignment="1">
      <alignment horizontal="left"/>
    </xf>
    <xf numFmtId="0" fontId="5" fillId="25" borderId="22" xfId="0" applyNumberFormat="1" applyFont="1" applyFill="1" applyBorder="1" applyAlignment="1">
      <alignment horizontal="center" vertical="top" wrapTex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16" fillId="0" borderId="0" xfId="0" applyFont="1" applyAlignment="1"/>
    <xf numFmtId="0" fontId="22" fillId="0" borderId="0" xfId="0" applyFont="1" applyBorder="1" applyAlignment="1">
      <alignment horizontal="left"/>
    </xf>
    <xf numFmtId="0" fontId="21" fillId="0" borderId="0" xfId="0" applyFont="1" applyAlignme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/>
    <xf numFmtId="14" fontId="42" fillId="0" borderId="0" xfId="0" applyNumberFormat="1" applyFont="1" applyAlignment="1"/>
    <xf numFmtId="0" fontId="43" fillId="26" borderId="0" xfId="0" applyFont="1" applyFill="1" applyAlignment="1"/>
    <xf numFmtId="0" fontId="12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44" applyFont="1"/>
    <xf numFmtId="0" fontId="46" fillId="0" borderId="0" xfId="44" applyFont="1" applyAlignment="1">
      <alignment horizontal="center"/>
    </xf>
    <xf numFmtId="0" fontId="46" fillId="0" borderId="23" xfId="44" applyFont="1" applyBorder="1" applyAlignment="1">
      <alignment horizontal="left"/>
    </xf>
    <xf numFmtId="0" fontId="46" fillId="0" borderId="0" xfId="44" applyFont="1" applyAlignment="1">
      <alignment horizontal="left"/>
    </xf>
    <xf numFmtId="0" fontId="46" fillId="0" borderId="0" xfId="43" applyFont="1" applyAlignment="1">
      <alignment wrapText="1"/>
    </xf>
    <xf numFmtId="0" fontId="46" fillId="0" borderId="0" xfId="43" applyFont="1" applyAlignment="1">
      <alignment horizontal="center" wrapText="1"/>
    </xf>
    <xf numFmtId="0" fontId="46" fillId="0" borderId="0" xfId="43" applyFont="1" applyAlignment="1">
      <alignment horizontal="left" wrapText="1"/>
    </xf>
    <xf numFmtId="0" fontId="7" fillId="0" borderId="23" xfId="0" applyFont="1" applyBorder="1" applyAlignment="1">
      <alignment horizontal="left"/>
    </xf>
    <xf numFmtId="0" fontId="4" fillId="27" borderId="0" xfId="28" applyNumberFormat="1" applyFont="1" applyFill="1" applyBorder="1" applyAlignment="1">
      <alignment horizontal="left"/>
    </xf>
    <xf numFmtId="0" fontId="47" fillId="0" borderId="0" xfId="0" applyFont="1">
      <alignment vertical="top"/>
    </xf>
    <xf numFmtId="0" fontId="48" fillId="0" borderId="0" xfId="0" applyFont="1">
      <alignment vertical="top"/>
    </xf>
    <xf numFmtId="0" fontId="49" fillId="0" borderId="0" xfId="0" applyFont="1">
      <alignment vertical="top"/>
    </xf>
    <xf numFmtId="0" fontId="4" fillId="0" borderId="0" xfId="0" applyFont="1" applyAlignment="1">
      <alignment horizontal="center"/>
    </xf>
    <xf numFmtId="0" fontId="4" fillId="0" borderId="19" xfId="0" applyFont="1" applyBorder="1">
      <alignment vertical="top"/>
    </xf>
    <xf numFmtId="0" fontId="50" fillId="0" borderId="14" xfId="0" applyFont="1" applyBorder="1">
      <alignment vertical="top"/>
    </xf>
    <xf numFmtId="176" fontId="50" fillId="0" borderId="14" xfId="0" applyNumberFormat="1" applyFont="1" applyBorder="1" applyAlignment="1">
      <alignment horizontal="center"/>
    </xf>
    <xf numFmtId="177" fontId="4" fillId="0" borderId="0" xfId="0" applyNumberFormat="1" applyFont="1">
      <alignment vertical="top"/>
    </xf>
    <xf numFmtId="0" fontId="4" fillId="0" borderId="20" xfId="0" applyFont="1" applyBorder="1">
      <alignment vertical="top"/>
    </xf>
    <xf numFmtId="0" fontId="50" fillId="0" borderId="15" xfId="0" applyFont="1" applyBorder="1">
      <alignment vertical="top"/>
    </xf>
    <xf numFmtId="176" fontId="50" fillId="0" borderId="15" xfId="0" applyNumberFormat="1" applyFont="1" applyBorder="1" applyAlignment="1">
      <alignment horizontal="center"/>
    </xf>
    <xf numFmtId="0" fontId="4" fillId="0" borderId="21" xfId="0" applyFont="1" applyBorder="1">
      <alignment vertical="top"/>
    </xf>
    <xf numFmtId="0" fontId="50" fillId="0" borderId="16" xfId="0" applyFont="1" applyBorder="1">
      <alignment vertical="top"/>
    </xf>
    <xf numFmtId="176" fontId="50" fillId="0" borderId="16" xfId="0" applyNumberFormat="1" applyFont="1" applyBorder="1" applyAlignment="1">
      <alignment horizontal="center"/>
    </xf>
    <xf numFmtId="0" fontId="49" fillId="0" borderId="8" xfId="0" applyFont="1" applyBorder="1">
      <alignment vertical="top"/>
    </xf>
    <xf numFmtId="0" fontId="4" fillId="0" borderId="0" xfId="0" applyFont="1" applyFill="1" applyBorder="1">
      <alignment vertical="top"/>
    </xf>
    <xf numFmtId="176" fontId="50" fillId="0" borderId="0" xfId="0" applyNumberFormat="1" applyFont="1" applyAlignment="1">
      <alignment horizontal="center"/>
    </xf>
    <xf numFmtId="0" fontId="50" fillId="0" borderId="0" xfId="0" applyFont="1" applyFill="1">
      <alignment vertical="top"/>
    </xf>
    <xf numFmtId="0" fontId="14" fillId="0" borderId="0" xfId="0" applyFont="1" applyAlignment="1" applyProtection="1">
      <alignment horizontal="left"/>
      <protection locked="0"/>
    </xf>
    <xf numFmtId="10" fontId="4" fillId="0" borderId="0" xfId="0" applyNumberFormat="1" applyFont="1" applyFill="1" applyBorder="1">
      <alignment vertical="top"/>
    </xf>
    <xf numFmtId="0" fontId="51" fillId="0" borderId="0" xfId="0" applyFont="1">
      <alignment vertical="top"/>
    </xf>
    <xf numFmtId="0" fontId="51" fillId="0" borderId="0" xfId="0" applyFont="1" applyAlignment="1">
      <alignment horizontal="left"/>
    </xf>
    <xf numFmtId="0" fontId="52" fillId="0" borderId="0" xfId="0" applyFont="1">
      <alignment vertical="top"/>
    </xf>
    <xf numFmtId="0" fontId="6" fillId="0" borderId="0" xfId="0" applyFont="1">
      <alignment vertical="top"/>
    </xf>
    <xf numFmtId="0" fontId="4" fillId="0" borderId="0" xfId="0" applyFont="1" applyFill="1" applyBorder="1" applyAlignment="1">
      <alignment horizontal="center"/>
    </xf>
    <xf numFmtId="0" fontId="14" fillId="24" borderId="24" xfId="0" applyFont="1" applyFill="1" applyBorder="1">
      <alignment vertical="top"/>
    </xf>
    <xf numFmtId="0" fontId="50" fillId="0" borderId="24" xfId="0" applyFont="1" applyFill="1" applyBorder="1">
      <alignment vertical="top"/>
    </xf>
    <xf numFmtId="0" fontId="50" fillId="0" borderId="0" xfId="0" applyFont="1">
      <alignment vertical="top"/>
    </xf>
    <xf numFmtId="0" fontId="50" fillId="0" borderId="0" xfId="0" applyFont="1" applyAlignment="1">
      <alignment horizontal="left"/>
    </xf>
    <xf numFmtId="0" fontId="0" fillId="0" borderId="5" xfId="0" applyBorder="1">
      <alignment vertical="top"/>
    </xf>
    <xf numFmtId="0" fontId="0" fillId="0" borderId="5" xfId="0" applyBorder="1" applyAlignment="1"/>
    <xf numFmtId="0" fontId="14" fillId="24" borderId="0" xfId="0" applyFont="1" applyFill="1">
      <alignment vertical="top"/>
    </xf>
    <xf numFmtId="0" fontId="14" fillId="0" borderId="0" xfId="0" applyFont="1" applyAlignment="1">
      <alignment horizontal="left" vertical="top"/>
    </xf>
    <xf numFmtId="0" fontId="5" fillId="0" borderId="0" xfId="0" applyFont="1" applyAlignment="1"/>
    <xf numFmtId="0" fontId="0" fillId="0" borderId="0" xfId="0" applyFill="1" applyBorder="1" applyAlignment="1"/>
    <xf numFmtId="0" fontId="0" fillId="0" borderId="8" xfId="0" applyFill="1" applyBorder="1" applyAlignment="1"/>
    <xf numFmtId="0" fontId="53" fillId="0" borderId="25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Continuous"/>
    </xf>
    <xf numFmtId="0" fontId="4" fillId="0" borderId="0" xfId="0" applyFont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15" fillId="0" borderId="0" xfId="0" applyFont="1" applyAlignment="1">
      <alignment vertical="top"/>
    </xf>
    <xf numFmtId="0" fontId="21" fillId="0" borderId="8" xfId="0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45" applyFont="1"/>
    <xf numFmtId="0" fontId="5" fillId="0" borderId="0" xfId="45" applyFont="1" applyAlignment="1">
      <alignment horizontal="center"/>
    </xf>
    <xf numFmtId="0" fontId="5" fillId="0" borderId="23" xfId="45" applyFont="1" applyBorder="1" applyAlignment="1">
      <alignment horizontal="left"/>
    </xf>
    <xf numFmtId="0" fontId="5" fillId="0" borderId="0" xfId="45" applyFont="1" applyAlignment="1">
      <alignment horizontal="left"/>
    </xf>
    <xf numFmtId="0" fontId="5" fillId="0" borderId="0" xfId="43" applyFont="1" applyAlignment="1">
      <alignment wrapText="1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/>
    <xf numFmtId="0" fontId="54" fillId="28" borderId="0" xfId="0" applyFont="1" applyFill="1" applyAlignment="1"/>
    <xf numFmtId="0" fontId="0" fillId="28" borderId="0" xfId="0" applyFill="1" applyAlignment="1"/>
    <xf numFmtId="0" fontId="55" fillId="0" borderId="0" xfId="43" applyFont="1" applyAlignment="1">
      <alignment horizontal="left"/>
    </xf>
    <xf numFmtId="0" fontId="55" fillId="0" borderId="0" xfId="43" applyFont="1" applyAlignment="1">
      <alignment horizontal="left" wrapText="1"/>
    </xf>
    <xf numFmtId="0" fontId="55" fillId="0" borderId="0" xfId="43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179" fontId="56" fillId="0" borderId="0" xfId="0" applyNumberFormat="1" applyFont="1" applyAlignment="1">
      <alignment vertical="center"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Currency0" xfId="30"/>
    <cellStyle name="Date" xfId="31"/>
    <cellStyle name="Explanatory Text" xfId="32" builtinId="53" customBuiltin="1"/>
    <cellStyle name="Fixed" xfId="33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A" xfId="43"/>
    <cellStyle name="Normal_A_1" xfId="44"/>
    <cellStyle name="Normal_A_1_Her_V1097" xfId="45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V1097 Her - O-C Diagr.</a:t>
            </a:r>
          </a:p>
        </c:rich>
      </c:tx>
      <c:layout>
        <c:manualLayout>
          <c:xMode val="edge"/>
          <c:yMode val="edge"/>
          <c:x val="0.37070301189929733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3457386633191"/>
          <c:y val="0.14634168126798494"/>
          <c:w val="0.82062900059119337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1'!$H$21:$H$991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62-46DD-A829-BA9CD71F3EE3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plus>
            <c:min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1'!$I$21:$I$991</c:f>
              <c:numCache>
                <c:formatCode>General</c:formatCode>
                <c:ptCount val="971"/>
                <c:pt idx="0">
                  <c:v>4.3500000174390152E-4</c:v>
                </c:pt>
                <c:pt idx="1">
                  <c:v>6.680000078631565E-4</c:v>
                </c:pt>
                <c:pt idx="2">
                  <c:v>-2.4899999698391184E-4</c:v>
                </c:pt>
                <c:pt idx="3">
                  <c:v>5.1750000420724973E-4</c:v>
                </c:pt>
                <c:pt idx="4">
                  <c:v>-4.7399999311892316E-4</c:v>
                </c:pt>
                <c:pt idx="5">
                  <c:v>-3.9999999717110768E-4</c:v>
                </c:pt>
                <c:pt idx="6">
                  <c:v>-1.5234999955282547E-3</c:v>
                </c:pt>
                <c:pt idx="7">
                  <c:v>1.2550000246847048E-4</c:v>
                </c:pt>
                <c:pt idx="8">
                  <c:v>5.9150000015506521E-4</c:v>
                </c:pt>
                <c:pt idx="9">
                  <c:v>1.2850000348407775E-4</c:v>
                </c:pt>
                <c:pt idx="10">
                  <c:v>-1.6150000010384247E-4</c:v>
                </c:pt>
                <c:pt idx="17">
                  <c:v>1.5520000088145025E-3</c:v>
                </c:pt>
                <c:pt idx="18">
                  <c:v>1.5285000044968911E-3</c:v>
                </c:pt>
                <c:pt idx="27">
                  <c:v>2.9495000053429976E-3</c:v>
                </c:pt>
                <c:pt idx="35">
                  <c:v>4.9199999994016252E-3</c:v>
                </c:pt>
                <c:pt idx="36">
                  <c:v>6.1819999973522499E-3</c:v>
                </c:pt>
                <c:pt idx="37">
                  <c:v>6.758500006981194E-3</c:v>
                </c:pt>
                <c:pt idx="44">
                  <c:v>7.7650000021094456E-3</c:v>
                </c:pt>
                <c:pt idx="45">
                  <c:v>7.1145000038086437E-3</c:v>
                </c:pt>
                <c:pt idx="51">
                  <c:v>9.853500007011462E-3</c:v>
                </c:pt>
                <c:pt idx="52">
                  <c:v>8.7360000034095719E-3</c:v>
                </c:pt>
                <c:pt idx="53">
                  <c:v>9.8125000004074536E-3</c:v>
                </c:pt>
                <c:pt idx="54">
                  <c:v>8.4950000018579885E-3</c:v>
                </c:pt>
                <c:pt idx="55">
                  <c:v>7.8540000031352974E-3</c:v>
                </c:pt>
                <c:pt idx="62">
                  <c:v>1.0691000003134832E-2</c:v>
                </c:pt>
                <c:pt idx="64">
                  <c:v>1.3065000006463379E-2</c:v>
                </c:pt>
                <c:pt idx="65">
                  <c:v>1.5183000003162306E-2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62-46DD-A829-BA9CD71F3EE3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plus>
            <c:min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1'!$J$21:$J$991</c:f>
              <c:numCache>
                <c:formatCode>General</c:formatCode>
                <c:ptCount val="971"/>
                <c:pt idx="31">
                  <c:v>3.6705000020447187E-3</c:v>
                </c:pt>
                <c:pt idx="47">
                  <c:v>8.2100000072387047E-3</c:v>
                </c:pt>
                <c:pt idx="48">
                  <c:v>7.6160000025993213E-3</c:v>
                </c:pt>
                <c:pt idx="49">
                  <c:v>1.1382500000763685E-2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62-46DD-A829-BA9CD71F3EE3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plus>
            <c:min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1'!$K$21:$K$991</c:f>
              <c:numCache>
                <c:formatCode>General</c:formatCode>
                <c:ptCount val="971"/>
                <c:pt idx="11">
                  <c:v>2.5300000561401248E-4</c:v>
                </c:pt>
                <c:pt idx="12">
                  <c:v>-1.817999997001607E-3</c:v>
                </c:pt>
                <c:pt idx="13">
                  <c:v>1.7500000103609636E-4</c:v>
                </c:pt>
                <c:pt idx="14">
                  <c:v>4.4950000301469117E-4</c:v>
                </c:pt>
                <c:pt idx="15">
                  <c:v>-1.3899999612476677E-4</c:v>
                </c:pt>
                <c:pt idx="16">
                  <c:v>7.6400000398280099E-4</c:v>
                </c:pt>
                <c:pt idx="19">
                  <c:v>1.2365000002318993E-3</c:v>
                </c:pt>
                <c:pt idx="20">
                  <c:v>1.1680000025080517E-3</c:v>
                </c:pt>
                <c:pt idx="21">
                  <c:v>8.8099999993573874E-4</c:v>
                </c:pt>
                <c:pt idx="22">
                  <c:v>1.0220000040135346E-3</c:v>
                </c:pt>
                <c:pt idx="23">
                  <c:v>2.5935000012395903E-3</c:v>
                </c:pt>
                <c:pt idx="24">
                  <c:v>1.2980000028619543E-3</c:v>
                </c:pt>
                <c:pt idx="25">
                  <c:v>2.0185000030323863E-3</c:v>
                </c:pt>
                <c:pt idx="28">
                  <c:v>2.2785000037401915E-3</c:v>
                </c:pt>
                <c:pt idx="29">
                  <c:v>2.4784999986877665E-3</c:v>
                </c:pt>
                <c:pt idx="30">
                  <c:v>2.4784999986877665E-3</c:v>
                </c:pt>
                <c:pt idx="32">
                  <c:v>4.5430000027408823E-3</c:v>
                </c:pt>
                <c:pt idx="33">
                  <c:v>4.6430000002146699E-3</c:v>
                </c:pt>
                <c:pt idx="34">
                  <c:v>5.2429999996093102E-3</c:v>
                </c:pt>
                <c:pt idx="38">
                  <c:v>7.0760000016889535E-3</c:v>
                </c:pt>
                <c:pt idx="39">
                  <c:v>6.9825000027776696E-3</c:v>
                </c:pt>
                <c:pt idx="40">
                  <c:v>7.7415000050677918E-3</c:v>
                </c:pt>
                <c:pt idx="41">
                  <c:v>8.2235000081709586E-3</c:v>
                </c:pt>
                <c:pt idx="42">
                  <c:v>7.2000000072875991E-3</c:v>
                </c:pt>
                <c:pt idx="43">
                  <c:v>7.2825000024749897E-3</c:v>
                </c:pt>
                <c:pt idx="46">
                  <c:v>8.289500001410488E-3</c:v>
                </c:pt>
                <c:pt idx="50">
                  <c:v>8.4839999981340952E-3</c:v>
                </c:pt>
                <c:pt idx="56">
                  <c:v>1.0668500006431714E-2</c:v>
                </c:pt>
                <c:pt idx="57">
                  <c:v>8.820000002742745E-3</c:v>
                </c:pt>
                <c:pt idx="58">
                  <c:v>1.0296500004187692E-2</c:v>
                </c:pt>
                <c:pt idx="59">
                  <c:v>1.0031000005255919E-2</c:v>
                </c:pt>
                <c:pt idx="60">
                  <c:v>1.1370500003977213E-2</c:v>
                </c:pt>
                <c:pt idx="61">
                  <c:v>1.3401500007603317E-2</c:v>
                </c:pt>
                <c:pt idx="63">
                  <c:v>1.1678000002575573E-2</c:v>
                </c:pt>
                <c:pt idx="66">
                  <c:v>1.3891000002331566E-2</c:v>
                </c:pt>
                <c:pt idx="67">
                  <c:v>1.5093500005605165E-2</c:v>
                </c:pt>
                <c:pt idx="68">
                  <c:v>1.5071000001626089E-2</c:v>
                </c:pt>
                <c:pt idx="69">
                  <c:v>1.4959000000089873E-2</c:v>
                </c:pt>
                <c:pt idx="70">
                  <c:v>1.9434499998169485E-2</c:v>
                </c:pt>
                <c:pt idx="72">
                  <c:v>1.9411500004935078E-2</c:v>
                </c:pt>
                <c:pt idx="73">
                  <c:v>2.1119000004546251E-2</c:v>
                </c:pt>
                <c:pt idx="74">
                  <c:v>2.1895500001846813E-2</c:v>
                </c:pt>
                <c:pt idx="75">
                  <c:v>2.1072000003186986E-2</c:v>
                </c:pt>
                <c:pt idx="76">
                  <c:v>2.1137000003363937E-2</c:v>
                </c:pt>
                <c:pt idx="77">
                  <c:v>2.2413500002585351E-2</c:v>
                </c:pt>
                <c:pt idx="79">
                  <c:v>2.5191500004439149E-2</c:v>
                </c:pt>
                <c:pt idx="80">
                  <c:v>2.529099999810569E-2</c:v>
                </c:pt>
                <c:pt idx="81">
                  <c:v>2.5571999998646788E-2</c:v>
                </c:pt>
                <c:pt idx="82">
                  <c:v>2.8777437837561592E-2</c:v>
                </c:pt>
                <c:pt idx="83">
                  <c:v>3.0498000007355586E-2</c:v>
                </c:pt>
                <c:pt idx="84">
                  <c:v>3.6435500005609356E-2</c:v>
                </c:pt>
                <c:pt idx="85">
                  <c:v>4.5802000022376888E-2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62-46DD-A829-BA9CD71F3EE3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plus>
            <c:min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62-46DD-A829-BA9CD71F3EE3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plus>
            <c:min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62-46DD-A829-BA9CD71F3EE3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plus>
            <c:min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62-46DD-A829-BA9CD71F3EE3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1'!$O$21:$O$991</c:f>
              <c:numCache>
                <c:formatCode>General</c:formatCode>
                <c:ptCount val="971"/>
                <c:pt idx="26">
                  <c:v>-3.1169755265569195E-2</c:v>
                </c:pt>
                <c:pt idx="27">
                  <c:v>-2.8331937420135098E-2</c:v>
                </c:pt>
                <c:pt idx="28">
                  <c:v>-2.79233704102981E-2</c:v>
                </c:pt>
                <c:pt idx="29">
                  <c:v>-2.79233704102981E-2</c:v>
                </c:pt>
                <c:pt idx="30">
                  <c:v>-2.79233704102981E-2</c:v>
                </c:pt>
                <c:pt idx="31">
                  <c:v>-2.3128861162331388E-2</c:v>
                </c:pt>
                <c:pt idx="32">
                  <c:v>-1.8292510714562088E-2</c:v>
                </c:pt>
                <c:pt idx="33">
                  <c:v>-1.8292510714562088E-2</c:v>
                </c:pt>
                <c:pt idx="34">
                  <c:v>-1.8292510714562088E-2</c:v>
                </c:pt>
                <c:pt idx="35">
                  <c:v>-1.7509834153549043E-2</c:v>
                </c:pt>
                <c:pt idx="36">
                  <c:v>-1.6751770063008105E-2</c:v>
                </c:pt>
                <c:pt idx="37">
                  <c:v>-1.6749308815960894E-2</c:v>
                </c:pt>
                <c:pt idx="38">
                  <c:v>-1.3315869185101775E-2</c:v>
                </c:pt>
                <c:pt idx="39">
                  <c:v>-1.3264182997110345E-2</c:v>
                </c:pt>
                <c:pt idx="40">
                  <c:v>-1.3249415514827084E-2</c:v>
                </c:pt>
                <c:pt idx="41">
                  <c:v>-1.2786701069951445E-2</c:v>
                </c:pt>
                <c:pt idx="42">
                  <c:v>-1.2784239822904234E-2</c:v>
                </c:pt>
                <c:pt idx="43">
                  <c:v>-1.2771933587668177E-2</c:v>
                </c:pt>
                <c:pt idx="44">
                  <c:v>-8.1817078446199676E-3</c:v>
                </c:pt>
                <c:pt idx="45">
                  <c:v>-7.632849753091947E-3</c:v>
                </c:pt>
                <c:pt idx="46">
                  <c:v>-7.4605624597871914E-3</c:v>
                </c:pt>
                <c:pt idx="47">
                  <c:v>-3.5791758663357015E-3</c:v>
                </c:pt>
                <c:pt idx="48">
                  <c:v>-3.0770814687046885E-3</c:v>
                </c:pt>
                <c:pt idx="49">
                  <c:v>-2.9269453988248276E-3</c:v>
                </c:pt>
                <c:pt idx="50">
                  <c:v>-2.6045220356402041E-3</c:v>
                </c:pt>
                <c:pt idx="51">
                  <c:v>-2.4002385307217086E-3</c:v>
                </c:pt>
                <c:pt idx="52">
                  <c:v>-2.3879322954856522E-3</c:v>
                </c:pt>
                <c:pt idx="53">
                  <c:v>-2.3854710484384409E-3</c:v>
                </c:pt>
                <c:pt idx="54">
                  <c:v>-2.3731648132023844E-3</c:v>
                </c:pt>
                <c:pt idx="55">
                  <c:v>-2.3583973309191236E-3</c:v>
                </c:pt>
                <c:pt idx="56">
                  <c:v>-1.6372519460863474E-3</c:v>
                </c:pt>
                <c:pt idx="57">
                  <c:v>1.687892814695495E-3</c:v>
                </c:pt>
                <c:pt idx="58">
                  <c:v>1.6903540617427062E-3</c:v>
                </c:pt>
                <c:pt idx="59">
                  <c:v>2.3622745056312636E-3</c:v>
                </c:pt>
                <c:pt idx="60">
                  <c:v>3.2064822428245834E-3</c:v>
                </c:pt>
                <c:pt idx="61">
                  <c:v>6.6866855675807094E-3</c:v>
                </c:pt>
                <c:pt idx="62">
                  <c:v>7.1370937772202922E-3</c:v>
                </c:pt>
                <c:pt idx="63">
                  <c:v>7.2306211650143004E-3</c:v>
                </c:pt>
                <c:pt idx="64">
                  <c:v>7.4225984346967464E-3</c:v>
                </c:pt>
                <c:pt idx="65">
                  <c:v>1.1882378084242792E-2</c:v>
                </c:pt>
                <c:pt idx="66">
                  <c:v>1.1911913048809314E-2</c:v>
                </c:pt>
                <c:pt idx="67">
                  <c:v>1.2170343988766458E-2</c:v>
                </c:pt>
                <c:pt idx="68">
                  <c:v>1.2551837281084138E-2</c:v>
                </c:pt>
                <c:pt idx="69">
                  <c:v>1.2827496950371747E-2</c:v>
                </c:pt>
                <c:pt idx="70">
                  <c:v>1.7176520482793306E-2</c:v>
                </c:pt>
                <c:pt idx="71">
                  <c:v>1.724789664716242E-2</c:v>
                </c:pt>
                <c:pt idx="72">
                  <c:v>1.7516172575308395E-2</c:v>
                </c:pt>
                <c:pt idx="73">
                  <c:v>2.1786436202219206E-2</c:v>
                </c:pt>
                <c:pt idx="74">
                  <c:v>2.2281146858708578E-2</c:v>
                </c:pt>
                <c:pt idx="75">
                  <c:v>2.2283608105755789E-2</c:v>
                </c:pt>
                <c:pt idx="76">
                  <c:v>2.2308220576227902E-2</c:v>
                </c:pt>
                <c:pt idx="77">
                  <c:v>2.2310681823275114E-2</c:v>
                </c:pt>
                <c:pt idx="78">
                  <c:v>2.6268367075190133E-2</c:v>
                </c:pt>
                <c:pt idx="79">
                  <c:v>2.6376661945267416E-2</c:v>
                </c:pt>
                <c:pt idx="80">
                  <c:v>2.6827070154906998E-2</c:v>
                </c:pt>
                <c:pt idx="81">
                  <c:v>2.7206102200177468E-2</c:v>
                </c:pt>
                <c:pt idx="82">
                  <c:v>3.0769987924538764E-2</c:v>
                </c:pt>
                <c:pt idx="83">
                  <c:v>3.2335341046564853E-2</c:v>
                </c:pt>
                <c:pt idx="84">
                  <c:v>3.6457929850643014E-2</c:v>
                </c:pt>
                <c:pt idx="85">
                  <c:v>4.0546061196060204E-2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62-46DD-A829-BA9CD71F3EE3}"/>
            </c:ext>
          </c:extLst>
        </c:ser>
        <c:ser>
          <c:idx val="8"/>
          <c:order val="8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1'!$V$2:$V$24</c:f>
              <c:numCache>
                <c:formatCode>General</c:formatCode>
                <c:ptCount val="23"/>
                <c:pt idx="0">
                  <c:v>-4000</c:v>
                </c:pt>
                <c:pt idx="1">
                  <c:v>-3000</c:v>
                </c:pt>
                <c:pt idx="2">
                  <c:v>-2000</c:v>
                </c:pt>
                <c:pt idx="3">
                  <c:v>-1000</c:v>
                </c:pt>
                <c:pt idx="4">
                  <c:v>0</c:v>
                </c:pt>
                <c:pt idx="5">
                  <c:v>1000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</c:numCache>
            </c:numRef>
          </c:xVal>
          <c:yVal>
            <c:numRef>
              <c:f>'Active 1'!$W$2:$W$24</c:f>
              <c:numCache>
                <c:formatCode>General</c:formatCode>
                <c:ptCount val="23"/>
                <c:pt idx="0">
                  <c:v>1.1979158186131388E-3</c:v>
                </c:pt>
                <c:pt idx="1">
                  <c:v>6.3692501464984741E-4</c:v>
                </c:pt>
                <c:pt idx="2">
                  <c:v>2.5165839082481401E-4</c:v>
                </c:pt>
                <c:pt idx="3">
                  <c:v>4.2115947138038672E-5</c:v>
                </c:pt>
                <c:pt idx="4">
                  <c:v>8.2976835895213639E-6</c:v>
                </c:pt>
                <c:pt idx="5">
                  <c:v>1.502036001792621E-4</c:v>
                </c:pt>
                <c:pt idx="6">
                  <c:v>4.6783369690726081E-4</c:v>
                </c:pt>
                <c:pt idx="7">
                  <c:v>9.6118797377351772E-4</c:v>
                </c:pt>
                <c:pt idx="8">
                  <c:v>1.6302664307780324E-3</c:v>
                </c:pt>
                <c:pt idx="9">
                  <c:v>2.4750690679208056E-3</c:v>
                </c:pt>
                <c:pt idx="10">
                  <c:v>3.4955958852018365E-3</c:v>
                </c:pt>
                <c:pt idx="11">
                  <c:v>4.691846882621125E-3</c:v>
                </c:pt>
                <c:pt idx="12">
                  <c:v>6.0638220601786719E-3</c:v>
                </c:pt>
                <c:pt idx="13">
                  <c:v>7.6115214178744776E-3</c:v>
                </c:pt>
                <c:pt idx="14">
                  <c:v>9.3349449557085414E-3</c:v>
                </c:pt>
                <c:pt idx="15">
                  <c:v>1.1234092673680862E-2</c:v>
                </c:pt>
                <c:pt idx="16">
                  <c:v>1.3308964571791442E-2</c:v>
                </c:pt>
                <c:pt idx="17">
                  <c:v>1.5559560650040277E-2</c:v>
                </c:pt>
                <c:pt idx="18">
                  <c:v>1.7985880908427371E-2</c:v>
                </c:pt>
                <c:pt idx="19">
                  <c:v>2.0587925346952727E-2</c:v>
                </c:pt>
                <c:pt idx="20">
                  <c:v>2.3365693965616337E-2</c:v>
                </c:pt>
                <c:pt idx="21">
                  <c:v>2.6319186764418207E-2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662-46DD-A829-BA9CD71F3EE3}"/>
            </c:ext>
          </c:extLst>
        </c:ser>
        <c:ser>
          <c:idx val="9"/>
          <c:order val="9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1'!$U$21:$U$991</c:f>
              <c:numCache>
                <c:formatCode>General</c:formatCode>
                <c:ptCount val="971"/>
                <c:pt idx="71">
                  <c:v>1.5552999997453298E-2</c:v>
                </c:pt>
                <c:pt idx="78">
                  <c:v>2.0025500001793262E-2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662-46DD-A829-BA9CD71F3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508760"/>
        <c:axId val="1"/>
      </c:scatterChart>
      <c:valAx>
        <c:axId val="766508760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68011958146487295"/>
              <c:y val="0.82317073170731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327354260089683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5087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2212257100149483E-2"/>
          <c:y val="0.92073170731707321"/>
          <c:w val="0.87742899850523171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V1097 Her - Quadr. Residuals</a:t>
            </a:r>
          </a:p>
        </c:rich>
      </c:tx>
      <c:layout>
        <c:manualLayout>
          <c:xMode val="edge"/>
          <c:yMode val="edge"/>
          <c:x val="0.37070302033141378"/>
          <c:y val="3.353644624209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3457386633191"/>
          <c:y val="0.14634168126798494"/>
          <c:w val="0.82062900059119337"/>
          <c:h val="0.63109850046818505"/>
        </c:manualLayout>
      </c:layout>
      <c:scatterChart>
        <c:scatterStyle val="lineMarker"/>
        <c:varyColors val="0"/>
        <c:ser>
          <c:idx val="4"/>
          <c:order val="0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plus>
            <c:minus>
              <c:numRef>
                <c:f>'Active 1'!$D$21:$D$991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5.9999999999999995E-4</c:v>
                  </c:pt>
                  <c:pt idx="74">
                    <c:v>2.0000000000000001E-4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2.0000000000000001E-4</c:v>
                  </c:pt>
                  <c:pt idx="79">
                    <c:v>2.0000000000000001E-4</c:v>
                  </c:pt>
                  <c:pt idx="80">
                    <c:v>1E-4</c:v>
                  </c:pt>
                  <c:pt idx="81">
                    <c:v>1E-4</c:v>
                  </c:pt>
                  <c:pt idx="82">
                    <c:v>2.0000000000000001E-4</c:v>
                  </c:pt>
                  <c:pt idx="83">
                    <c:v>2.0000000000000001E-4</c:v>
                  </c:pt>
                  <c:pt idx="84">
                    <c:v>2.9999999999999997E-4</c:v>
                  </c:pt>
                  <c:pt idx="85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15023</c:v>
                </c:pt>
                <c:pt idx="74">
                  <c:v>15123.5</c:v>
                </c:pt>
                <c:pt idx="75">
                  <c:v>15124</c:v>
                </c:pt>
                <c:pt idx="76">
                  <c:v>15129</c:v>
                </c:pt>
                <c:pt idx="77">
                  <c:v>15129.5</c:v>
                </c:pt>
                <c:pt idx="78">
                  <c:v>15933.5</c:v>
                </c:pt>
                <c:pt idx="79">
                  <c:v>15955.5</c:v>
                </c:pt>
                <c:pt idx="80">
                  <c:v>16047</c:v>
                </c:pt>
                <c:pt idx="81">
                  <c:v>16124</c:v>
                </c:pt>
                <c:pt idx="82">
                  <c:v>16848</c:v>
                </c:pt>
                <c:pt idx="83">
                  <c:v>17166</c:v>
                </c:pt>
                <c:pt idx="84">
                  <c:v>18003.5</c:v>
                </c:pt>
                <c:pt idx="85">
                  <c:v>18834</c:v>
                </c:pt>
              </c:numCache>
            </c:numRef>
          </c:xVal>
          <c:yVal>
            <c:numRef>
              <c:f>'Active 1'!$X$21:$X$991</c:f>
              <c:numCache>
                <c:formatCode>General</c:formatCode>
                <c:ptCount val="971"/>
                <c:pt idx="0">
                  <c:v>-3.0260880358940433E-4</c:v>
                </c:pt>
                <c:pt idx="1">
                  <c:v>6.6566272699292975E-4</c:v>
                </c:pt>
                <c:pt idx="2">
                  <c:v>-2.5166404415742465E-4</c:v>
                </c:pt>
                <c:pt idx="3">
                  <c:v>5.1381871175230226E-4</c:v>
                </c:pt>
                <c:pt idx="4">
                  <c:v>-4.7945870284124158E-4</c:v>
                </c:pt>
                <c:pt idx="5">
                  <c:v>-4.0829768076062903E-4</c:v>
                </c:pt>
                <c:pt idx="6">
                  <c:v>-1.5318247229965589E-3</c:v>
                </c:pt>
                <c:pt idx="7">
                  <c:v>1.1529324745992855E-4</c:v>
                </c:pt>
                <c:pt idx="8">
                  <c:v>5.7993224699071446E-4</c:v>
                </c:pt>
                <c:pt idx="9">
                  <c:v>2.3731071311469215E-5</c:v>
                </c:pt>
                <c:pt idx="10">
                  <c:v>-5.350808352863974E-4</c:v>
                </c:pt>
                <c:pt idx="11">
                  <c:v>-2.1523927134213555E-4</c:v>
                </c:pt>
                <c:pt idx="12">
                  <c:v>-2.3417472986289644E-3</c:v>
                </c:pt>
                <c:pt idx="13">
                  <c:v>-3.5347736340045149E-4</c:v>
                </c:pt>
                <c:pt idx="14">
                  <c:v>-4.5529061857906418E-4</c:v>
                </c:pt>
                <c:pt idx="15">
                  <c:v>-1.0468947669903014E-3</c:v>
                </c:pt>
                <c:pt idx="16">
                  <c:v>-1.5011901239563984E-4</c:v>
                </c:pt>
                <c:pt idx="17">
                  <c:v>4.8089356460349333E-4</c:v>
                </c:pt>
                <c:pt idx="18">
                  <c:v>4.5708676351231912E-4</c:v>
                </c:pt>
                <c:pt idx="19">
                  <c:v>1.2420395842370718E-4</c:v>
                </c:pt>
                <c:pt idx="20">
                  <c:v>5.2262508864304828E-5</c:v>
                </c:pt>
                <c:pt idx="21">
                  <c:v>-5.633844369558967E-4</c:v>
                </c:pt>
                <c:pt idx="22">
                  <c:v>-4.5606518972150095E-4</c:v>
                </c:pt>
                <c:pt idx="23">
                  <c:v>1.1114680721635219E-3</c:v>
                </c:pt>
                <c:pt idx="24">
                  <c:v>-3.6727160926405215E-4</c:v>
                </c:pt>
                <c:pt idx="25">
                  <c:v>2.0589945566716031E-4</c:v>
                </c:pt>
                <c:pt idx="26">
                  <c:v>-1.8370257910276526E-3</c:v>
                </c:pt>
                <c:pt idx="27">
                  <c:v>6.2005100329303939E-4</c:v>
                </c:pt>
                <c:pt idx="28">
                  <c:v>-1.26653713155032E-4</c:v>
                </c:pt>
                <c:pt idx="29">
                  <c:v>7.3346281792543034E-5</c:v>
                </c:pt>
                <c:pt idx="30">
                  <c:v>7.3346281792543034E-5</c:v>
                </c:pt>
                <c:pt idx="31">
                  <c:v>2.8650041372150917E-4</c:v>
                </c:pt>
                <c:pt idx="32">
                  <c:v>2.718362473410306E-6</c:v>
                </c:pt>
                <c:pt idx="33">
                  <c:v>1.0271835994719782E-4</c:v>
                </c:pt>
                <c:pt idx="34">
                  <c:v>7.0271835934183815E-4</c:v>
                </c:pt>
                <c:pt idx="35">
                  <c:v>1.7664801393685314E-4</c:v>
                </c:pt>
                <c:pt idx="36">
                  <c:v>1.2377283981365294E-3</c:v>
                </c:pt>
                <c:pt idx="37">
                  <c:v>1.8135692840107343E-3</c:v>
                </c:pt>
                <c:pt idx="38">
                  <c:v>1.1688155429953953E-3</c:v>
                </c:pt>
                <c:pt idx="39">
                  <c:v>1.0601768371988783E-3</c:v>
                </c:pt>
                <c:pt idx="40">
                  <c:v>1.8148479362500008E-3</c:v>
                </c:pt>
                <c:pt idx="41">
                  <c:v>2.1604078446605772E-3</c:v>
                </c:pt>
                <c:pt idx="42">
                  <c:v>1.1361779471089272E-3</c:v>
                </c:pt>
                <c:pt idx="43">
                  <c:v>1.2150277999891882E-3</c:v>
                </c:pt>
                <c:pt idx="44">
                  <c:v>2.5941886100914677E-4</c:v>
                </c:pt>
                <c:pt idx="45">
                  <c:v>-5.7326500119115557E-4</c:v>
                </c:pt>
                <c:pt idx="46">
                  <c:v>5.4409672357540705E-4</c:v>
                </c:pt>
                <c:pt idx="47">
                  <c:v>-8.9096268616458904E-4</c:v>
                </c:pt>
                <c:pt idx="48">
                  <c:v>-1.6682978394065451E-3</c:v>
                </c:pt>
                <c:pt idx="49">
                  <c:v>2.0430262818473231E-3</c:v>
                </c:pt>
                <c:pt idx="50">
                  <c:v>-9.7451865457634339E-4</c:v>
                </c:pt>
                <c:pt idx="51">
                  <c:v>3.1916578662207103E-4</c:v>
                </c:pt>
                <c:pt idx="52">
                  <c:v>-8.0291108468195233E-4</c:v>
                </c:pt>
                <c:pt idx="53">
                  <c:v>2.7267340698236726E-4</c:v>
                </c:pt>
                <c:pt idx="54">
                  <c:v>-1.0494047772005837E-3</c:v>
                </c:pt>
                <c:pt idx="55">
                  <c:v>-1.6959000484079428E-3</c:v>
                </c:pt>
                <c:pt idx="56">
                  <c:v>8.4832314835601996E-4</c:v>
                </c:pt>
                <c:pt idx="57">
                  <c:v>-2.2951883859798801E-3</c:v>
                </c:pt>
                <c:pt idx="58">
                  <c:v>-8.1967663967907022E-4</c:v>
                </c:pt>
                <c:pt idx="59">
                  <c:v>-1.3566133579761535E-3</c:v>
                </c:pt>
                <c:pt idx="60">
                  <c:v>-3.6279028875342047E-4</c:v>
                </c:pt>
                <c:pt idx="61">
                  <c:v>1.8860310938201459E-4</c:v>
                </c:pt>
                <c:pt idx="62">
                  <c:v>-2.7198071534580183E-3</c:v>
                </c:pt>
                <c:pt idx="63">
                  <c:v>-1.7740877397000709E-3</c:v>
                </c:pt>
                <c:pt idx="64">
                  <c:v>-4.7202031362994501E-4</c:v>
                </c:pt>
                <c:pt idx="65">
                  <c:v>-4.022943180423677E-4</c:v>
                </c:pt>
                <c:pt idx="66">
                  <c:v>-1.7083398287141491E-3</c:v>
                </c:pt>
                <c:pt idx="67">
                  <c:v>-6.2900788299376925E-4</c:v>
                </c:pt>
                <c:pt idx="68">
                  <c:v>-8.3421261106123371E-4</c:v>
                </c:pt>
                <c:pt idx="69">
                  <c:v>-1.0788883669886132E-3</c:v>
                </c:pt>
                <c:pt idx="70">
                  <c:v>1.2304849104772288E-3</c:v>
                </c:pt>
                <c:pt idx="71">
                  <c:v>-2.6877096093489462E-3</c:v>
                </c:pt>
                <c:pt idx="72">
                  <c:v>1.0325392140193707E-3</c:v>
                </c:pt>
                <c:pt idx="73">
                  <c:v>4.6916032839020363E-4</c:v>
                </c:pt>
                <c:pt idx="74">
                  <c:v>9.7403110404941165E-4</c:v>
                </c:pt>
                <c:pt idx="75">
                  <c:v>1.4917527919163995E-4</c:v>
                </c:pt>
                <c:pt idx="76">
                  <c:v>2.0061460118168256E-4</c:v>
                </c:pt>
                <c:pt idx="77">
                  <c:v>1.4757582909636566E-3</c:v>
                </c:pt>
                <c:pt idx="78">
                  <c:v>-3.1500180698201541E-3</c:v>
                </c:pt>
                <c:pt idx="79">
                  <c:v>1.9531526164575583E-3</c:v>
                </c:pt>
                <c:pt idx="80">
                  <c:v>1.7904273018219535E-3</c:v>
                </c:pt>
                <c:pt idx="81">
                  <c:v>1.8496168576506884E-3</c:v>
                </c:pt>
                <c:pt idx="82">
                  <c:v>2.9185070505228193E-3</c:v>
                </c:pt>
                <c:pt idx="83">
                  <c:v>3.6715272036308491E-3</c:v>
                </c:pt>
                <c:pt idx="84">
                  <c:v>6.9758354091988863E-3</c:v>
                </c:pt>
                <c:pt idx="85">
                  <c:v>1.3609439331544709E-2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B-49BF-9E6E-7737FEA1C0D4}"/>
            </c:ext>
          </c:extLst>
        </c:ser>
        <c:ser>
          <c:idx val="8"/>
          <c:order val="1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1'!$V$2:$V$24</c:f>
              <c:numCache>
                <c:formatCode>General</c:formatCode>
                <c:ptCount val="23"/>
                <c:pt idx="0">
                  <c:v>-4000</c:v>
                </c:pt>
                <c:pt idx="1">
                  <c:v>-3000</c:v>
                </c:pt>
                <c:pt idx="2">
                  <c:v>-2000</c:v>
                </c:pt>
                <c:pt idx="3">
                  <c:v>-1000</c:v>
                </c:pt>
                <c:pt idx="4">
                  <c:v>0</c:v>
                </c:pt>
                <c:pt idx="5">
                  <c:v>1000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</c:numCache>
            </c:numRef>
          </c:xVal>
          <c:yVal>
            <c:numRef>
              <c:f>'Active 1'!$W$2:$W$24</c:f>
              <c:numCache>
                <c:formatCode>General</c:formatCode>
                <c:ptCount val="23"/>
                <c:pt idx="0">
                  <c:v>1.1979158186131388E-3</c:v>
                </c:pt>
                <c:pt idx="1">
                  <c:v>6.3692501464984741E-4</c:v>
                </c:pt>
                <c:pt idx="2">
                  <c:v>2.5165839082481401E-4</c:v>
                </c:pt>
                <c:pt idx="3">
                  <c:v>4.2115947138038672E-5</c:v>
                </c:pt>
                <c:pt idx="4">
                  <c:v>8.2976835895213639E-6</c:v>
                </c:pt>
                <c:pt idx="5">
                  <c:v>1.502036001792621E-4</c:v>
                </c:pt>
                <c:pt idx="6">
                  <c:v>4.6783369690726081E-4</c:v>
                </c:pt>
                <c:pt idx="7">
                  <c:v>9.6118797377351772E-4</c:v>
                </c:pt>
                <c:pt idx="8">
                  <c:v>1.6302664307780324E-3</c:v>
                </c:pt>
                <c:pt idx="9">
                  <c:v>2.4750690679208056E-3</c:v>
                </c:pt>
                <c:pt idx="10">
                  <c:v>3.4955958852018365E-3</c:v>
                </c:pt>
                <c:pt idx="11">
                  <c:v>4.691846882621125E-3</c:v>
                </c:pt>
                <c:pt idx="12">
                  <c:v>6.0638220601786719E-3</c:v>
                </c:pt>
                <c:pt idx="13">
                  <c:v>7.6115214178744776E-3</c:v>
                </c:pt>
                <c:pt idx="14">
                  <c:v>9.3349449557085414E-3</c:v>
                </c:pt>
                <c:pt idx="15">
                  <c:v>1.1234092673680862E-2</c:v>
                </c:pt>
                <c:pt idx="16">
                  <c:v>1.3308964571791442E-2</c:v>
                </c:pt>
                <c:pt idx="17">
                  <c:v>1.5559560650040277E-2</c:v>
                </c:pt>
                <c:pt idx="18">
                  <c:v>1.7985880908427371E-2</c:v>
                </c:pt>
                <c:pt idx="19">
                  <c:v>2.0587925346952727E-2</c:v>
                </c:pt>
                <c:pt idx="20">
                  <c:v>2.3365693965616337E-2</c:v>
                </c:pt>
                <c:pt idx="21">
                  <c:v>2.6319186764418207E-2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DB-49BF-9E6E-7737FEA1C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85456"/>
        <c:axId val="1"/>
      </c:scatterChart>
      <c:valAx>
        <c:axId val="837885456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68358255964273129"/>
              <c:y val="0.82370820668693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327378853762684E-2"/>
              <c:y val="0.36890314242634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854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582089552238809E-2"/>
          <c:y val="0.92097264437689974"/>
          <c:w val="0.87612002977239778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V1097 Her - O-C Diagr.</a:t>
            </a:r>
          </a:p>
        </c:rich>
      </c:tx>
      <c:layout>
        <c:manualLayout>
          <c:xMode val="edge"/>
          <c:yMode val="edge"/>
          <c:x val="0.37070301189929733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3457386633191"/>
          <c:y val="0.14634168126798494"/>
          <c:w val="0.82062900059119337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2'!$H$21:$H$991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2E-4A79-9548-4888B9D365E4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2'!$I$21:$I$991</c:f>
              <c:numCache>
                <c:formatCode>General</c:formatCode>
                <c:ptCount val="971"/>
                <c:pt idx="0">
                  <c:v>4.3500000174390152E-4</c:v>
                </c:pt>
                <c:pt idx="1">
                  <c:v>6.680000078631565E-4</c:v>
                </c:pt>
                <c:pt idx="2">
                  <c:v>-2.4899999698391184E-4</c:v>
                </c:pt>
                <c:pt idx="3">
                  <c:v>5.1750000420724973E-4</c:v>
                </c:pt>
                <c:pt idx="4">
                  <c:v>-4.7399999311892316E-4</c:v>
                </c:pt>
                <c:pt idx="5">
                  <c:v>-3.9999999717110768E-4</c:v>
                </c:pt>
                <c:pt idx="6">
                  <c:v>-1.5234999955282547E-3</c:v>
                </c:pt>
                <c:pt idx="7">
                  <c:v>1.2550000246847048E-4</c:v>
                </c:pt>
                <c:pt idx="8">
                  <c:v>5.9150000015506521E-4</c:v>
                </c:pt>
                <c:pt idx="9">
                  <c:v>1.2850000348407775E-4</c:v>
                </c:pt>
                <c:pt idx="10">
                  <c:v>-1.6150000010384247E-4</c:v>
                </c:pt>
                <c:pt idx="17">
                  <c:v>1.5520000088145025E-3</c:v>
                </c:pt>
                <c:pt idx="18">
                  <c:v>1.5285000044968911E-3</c:v>
                </c:pt>
                <c:pt idx="27">
                  <c:v>2.9495000053429976E-3</c:v>
                </c:pt>
                <c:pt idx="35">
                  <c:v>4.9199999994016252E-3</c:v>
                </c:pt>
                <c:pt idx="36">
                  <c:v>6.1819999973522499E-3</c:v>
                </c:pt>
                <c:pt idx="37">
                  <c:v>6.758500006981194E-3</c:v>
                </c:pt>
                <c:pt idx="44">
                  <c:v>7.7650000021094456E-3</c:v>
                </c:pt>
                <c:pt idx="45">
                  <c:v>7.1145000038086437E-3</c:v>
                </c:pt>
                <c:pt idx="51">
                  <c:v>9.853500007011462E-3</c:v>
                </c:pt>
                <c:pt idx="52">
                  <c:v>8.7360000034095719E-3</c:v>
                </c:pt>
                <c:pt idx="53">
                  <c:v>9.8125000004074536E-3</c:v>
                </c:pt>
                <c:pt idx="54">
                  <c:v>8.4950000018579885E-3</c:v>
                </c:pt>
                <c:pt idx="55">
                  <c:v>7.8540000031352974E-3</c:v>
                </c:pt>
                <c:pt idx="62">
                  <c:v>1.0691000003134832E-2</c:v>
                </c:pt>
                <c:pt idx="64">
                  <c:v>1.3065000006463379E-2</c:v>
                </c:pt>
                <c:pt idx="65">
                  <c:v>1.5183000003162306E-2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2E-4A79-9548-4888B9D365E4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2'!$J$21:$J$991</c:f>
              <c:numCache>
                <c:formatCode>General</c:formatCode>
                <c:ptCount val="971"/>
                <c:pt idx="31">
                  <c:v>3.6705000020447187E-3</c:v>
                </c:pt>
                <c:pt idx="47">
                  <c:v>8.2100000072387047E-3</c:v>
                </c:pt>
                <c:pt idx="48">
                  <c:v>7.6160000025993213E-3</c:v>
                </c:pt>
                <c:pt idx="49">
                  <c:v>1.1382500000763685E-2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2E-4A79-9548-4888B9D365E4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2'!$K$21:$K$991</c:f>
              <c:numCache>
                <c:formatCode>General</c:formatCode>
                <c:ptCount val="971"/>
                <c:pt idx="11">
                  <c:v>2.5300000561401248E-4</c:v>
                </c:pt>
                <c:pt idx="12">
                  <c:v>-1.817999997001607E-3</c:v>
                </c:pt>
                <c:pt idx="13">
                  <c:v>1.7500000103609636E-4</c:v>
                </c:pt>
                <c:pt idx="14">
                  <c:v>4.4950000301469117E-4</c:v>
                </c:pt>
                <c:pt idx="15">
                  <c:v>-1.3899999612476677E-4</c:v>
                </c:pt>
                <c:pt idx="16">
                  <c:v>7.6400000398280099E-4</c:v>
                </c:pt>
                <c:pt idx="19">
                  <c:v>1.2365000002318993E-3</c:v>
                </c:pt>
                <c:pt idx="20">
                  <c:v>1.1680000025080517E-3</c:v>
                </c:pt>
                <c:pt idx="21">
                  <c:v>8.8099999993573874E-4</c:v>
                </c:pt>
                <c:pt idx="22">
                  <c:v>1.0220000040135346E-3</c:v>
                </c:pt>
                <c:pt idx="23">
                  <c:v>2.5935000012395903E-3</c:v>
                </c:pt>
                <c:pt idx="24">
                  <c:v>1.2980000028619543E-3</c:v>
                </c:pt>
                <c:pt idx="25">
                  <c:v>2.0185000030323863E-3</c:v>
                </c:pt>
                <c:pt idx="28">
                  <c:v>2.2785000037401915E-3</c:v>
                </c:pt>
                <c:pt idx="29">
                  <c:v>2.4784999986877665E-3</c:v>
                </c:pt>
                <c:pt idx="30">
                  <c:v>2.4784999986877665E-3</c:v>
                </c:pt>
                <c:pt idx="32">
                  <c:v>4.5430000027408823E-3</c:v>
                </c:pt>
                <c:pt idx="33">
                  <c:v>4.6430000002146699E-3</c:v>
                </c:pt>
                <c:pt idx="34">
                  <c:v>5.2429999996093102E-3</c:v>
                </c:pt>
                <c:pt idx="38">
                  <c:v>7.0760000016889535E-3</c:v>
                </c:pt>
                <c:pt idx="39">
                  <c:v>6.9825000027776696E-3</c:v>
                </c:pt>
                <c:pt idx="40">
                  <c:v>7.7415000050677918E-3</c:v>
                </c:pt>
                <c:pt idx="41">
                  <c:v>8.2235000081709586E-3</c:v>
                </c:pt>
                <c:pt idx="42">
                  <c:v>7.2000000072875991E-3</c:v>
                </c:pt>
                <c:pt idx="43">
                  <c:v>7.2825000024749897E-3</c:v>
                </c:pt>
                <c:pt idx="46">
                  <c:v>8.289500001410488E-3</c:v>
                </c:pt>
                <c:pt idx="50">
                  <c:v>8.4839999981340952E-3</c:v>
                </c:pt>
                <c:pt idx="56">
                  <c:v>1.0668500006431714E-2</c:v>
                </c:pt>
                <c:pt idx="57">
                  <c:v>8.820000002742745E-3</c:v>
                </c:pt>
                <c:pt idx="58">
                  <c:v>1.0296500004187692E-2</c:v>
                </c:pt>
                <c:pt idx="59">
                  <c:v>1.0031000005255919E-2</c:v>
                </c:pt>
                <c:pt idx="60">
                  <c:v>1.1370500003977213E-2</c:v>
                </c:pt>
                <c:pt idx="61">
                  <c:v>1.3401500007603317E-2</c:v>
                </c:pt>
                <c:pt idx="63">
                  <c:v>1.1678000002575573E-2</c:v>
                </c:pt>
                <c:pt idx="66">
                  <c:v>1.3891000002331566E-2</c:v>
                </c:pt>
                <c:pt idx="67">
                  <c:v>1.5093500005605165E-2</c:v>
                </c:pt>
                <c:pt idx="68">
                  <c:v>1.5071000001626089E-2</c:v>
                </c:pt>
                <c:pt idx="69">
                  <c:v>1.4959000000089873E-2</c:v>
                </c:pt>
                <c:pt idx="70">
                  <c:v>1.9434499998169485E-2</c:v>
                </c:pt>
                <c:pt idx="71">
                  <c:v>1.5552999997453298E-2</c:v>
                </c:pt>
                <c:pt idx="72">
                  <c:v>1.9411500004935078E-2</c:v>
                </c:pt>
                <c:pt idx="73">
                  <c:v>2.1895500001846813E-2</c:v>
                </c:pt>
                <c:pt idx="74">
                  <c:v>2.1072000003186986E-2</c:v>
                </c:pt>
                <c:pt idx="75">
                  <c:v>2.1137000003363937E-2</c:v>
                </c:pt>
                <c:pt idx="76">
                  <c:v>2.2413500002585351E-2</c:v>
                </c:pt>
                <c:pt idx="77">
                  <c:v>2.0025500001793262E-2</c:v>
                </c:pt>
                <c:pt idx="78">
                  <c:v>2.5191500004439149E-2</c:v>
                </c:pt>
                <c:pt idx="79">
                  <c:v>2.529099999810569E-2</c:v>
                </c:pt>
                <c:pt idx="80">
                  <c:v>2.8777437837561592E-2</c:v>
                </c:pt>
                <c:pt idx="81">
                  <c:v>3.0498000007355586E-2</c:v>
                </c:pt>
                <c:pt idx="82">
                  <c:v>3.6435500005609356E-2</c:v>
                </c:pt>
                <c:pt idx="83">
                  <c:v>4.5802000022376888E-2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2E-4A79-9548-4888B9D365E4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2E-4A79-9548-4888B9D365E4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2E-4A79-9548-4888B9D365E4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2E-4A79-9548-4888B9D365E4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2'!$O$21:$O$991</c:f>
              <c:numCache>
                <c:formatCode>General</c:formatCode>
                <c:ptCount val="971"/>
                <c:pt idx="26">
                  <c:v>-5.5972509018077394E-4</c:v>
                </c:pt>
                <c:pt idx="27">
                  <c:v>4.887172658936817E-4</c:v>
                </c:pt>
                <c:pt idx="28">
                  <c:v>6.3966386702842687E-4</c:v>
                </c:pt>
                <c:pt idx="29">
                  <c:v>6.3966386702842687E-4</c:v>
                </c:pt>
                <c:pt idx="30">
                  <c:v>6.3966386702842687E-4</c:v>
                </c:pt>
                <c:pt idx="31">
                  <c:v>2.4110131381759031E-3</c:v>
                </c:pt>
                <c:pt idx="32">
                  <c:v>4.1978207961865781E-3</c:v>
                </c:pt>
                <c:pt idx="33">
                  <c:v>4.1978207961865781E-3</c:v>
                </c:pt>
                <c:pt idx="34">
                  <c:v>4.1978207961865781E-3</c:v>
                </c:pt>
                <c:pt idx="35">
                  <c:v>4.486983562215786E-3</c:v>
                </c:pt>
                <c:pt idx="36">
                  <c:v>4.767053159501938E-3</c:v>
                </c:pt>
                <c:pt idx="37">
                  <c:v>4.7679624763762429E-3</c:v>
                </c:pt>
                <c:pt idx="38">
                  <c:v>6.0364595160326759E-3</c:v>
                </c:pt>
                <c:pt idx="39">
                  <c:v>6.0555551703930944E-3</c:v>
                </c:pt>
                <c:pt idx="40">
                  <c:v>6.061011071638929E-3</c:v>
                </c:pt>
                <c:pt idx="41">
                  <c:v>6.2319626440083976E-3</c:v>
                </c:pt>
                <c:pt idx="42">
                  <c:v>6.2328719608827042E-3</c:v>
                </c:pt>
                <c:pt idx="43">
                  <c:v>6.2374185452542322E-3</c:v>
                </c:pt>
                <c:pt idx="44">
                  <c:v>7.9332945158343375E-3</c:v>
                </c:pt>
                <c:pt idx="45">
                  <c:v>8.1360721788045071E-3</c:v>
                </c:pt>
                <c:pt idx="46">
                  <c:v>8.1997243600059021E-3</c:v>
                </c:pt>
                <c:pt idx="47">
                  <c:v>9.6337170707859708E-3</c:v>
                </c:pt>
                <c:pt idx="48">
                  <c:v>9.8192177131443299E-3</c:v>
                </c:pt>
                <c:pt idx="49">
                  <c:v>9.8746860424769774E-3</c:v>
                </c:pt>
                <c:pt idx="50">
                  <c:v>9.9938065530110233E-3</c:v>
                </c:pt>
                <c:pt idx="51">
                  <c:v>1.0069279853578396E-2</c:v>
                </c:pt>
                <c:pt idx="52">
                  <c:v>1.0073826437949924E-2</c:v>
                </c:pt>
                <c:pt idx="53">
                  <c:v>1.0074735754824229E-2</c:v>
                </c:pt>
                <c:pt idx="54">
                  <c:v>1.0079282339195757E-2</c:v>
                </c:pt>
                <c:pt idx="55">
                  <c:v>1.0084738240441593E-2</c:v>
                </c:pt>
                <c:pt idx="56">
                  <c:v>1.0351168084613158E-2</c:v>
                </c:pt>
                <c:pt idx="57">
                  <c:v>1.1579655181800142E-2</c:v>
                </c:pt>
                <c:pt idx="58">
                  <c:v>1.1580564498674447E-2</c:v>
                </c:pt>
                <c:pt idx="59">
                  <c:v>1.18288080053599E-2</c:v>
                </c:pt>
                <c:pt idx="60">
                  <c:v>1.2140703693246747E-2</c:v>
                </c:pt>
                <c:pt idx="61">
                  <c:v>1.3426477753514989E-2</c:v>
                </c:pt>
                <c:pt idx="62">
                  <c:v>1.3592882741512931E-2</c:v>
                </c:pt>
                <c:pt idx="63">
                  <c:v>1.3627436782736545E-2</c:v>
                </c:pt>
                <c:pt idx="64">
                  <c:v>1.369836349893239E-2</c:v>
                </c:pt>
                <c:pt idx="65">
                  <c:v>1.5346045675174294E-2</c:v>
                </c:pt>
                <c:pt idx="66">
                  <c:v>1.5356957477665963E-2</c:v>
                </c:pt>
                <c:pt idx="67">
                  <c:v>1.5452435749468058E-2</c:v>
                </c:pt>
                <c:pt idx="68">
                  <c:v>1.5593379864985442E-2</c:v>
                </c:pt>
                <c:pt idx="69">
                  <c:v>1.5695223354907677E-2</c:v>
                </c:pt>
                <c:pt idx="70">
                  <c:v>1.7301986271805826E-2</c:v>
                </c:pt>
                <c:pt idx="71">
                  <c:v>1.7328356461160689E-2</c:v>
                </c:pt>
                <c:pt idx="72">
                  <c:v>1.742747200046001E-2</c:v>
                </c:pt>
                <c:pt idx="73">
                  <c:v>1.9187909469115819E-2</c:v>
                </c:pt>
                <c:pt idx="74">
                  <c:v>1.9188818785990124E-2</c:v>
                </c:pt>
                <c:pt idx="75">
                  <c:v>1.9197911954733183E-2</c:v>
                </c:pt>
                <c:pt idx="76">
                  <c:v>1.9198821271607488E-2</c:v>
                </c:pt>
                <c:pt idx="77">
                  <c:v>2.0661002805491033E-2</c:v>
                </c:pt>
                <c:pt idx="78">
                  <c:v>2.0701012747960483E-2</c:v>
                </c:pt>
                <c:pt idx="79">
                  <c:v>2.0867417735958422E-2</c:v>
                </c:pt>
                <c:pt idx="80">
                  <c:v>2.232414336859613E-2</c:v>
                </c:pt>
                <c:pt idx="81">
                  <c:v>2.290246890065455E-2</c:v>
                </c:pt>
                <c:pt idx="82">
                  <c:v>2.4425574665116571E-2</c:v>
                </c:pt>
                <c:pt idx="83">
                  <c:v>2.5935949993338321E-2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2E-4A79-9548-4888B9D365E4}"/>
            </c:ext>
          </c:extLst>
        </c:ser>
        <c:ser>
          <c:idx val="8"/>
          <c:order val="8"/>
          <c:tx>
            <c:strRef>
              <c:f>'Active 2'!$W$1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2'!$V$2:$V$24</c:f>
              <c:numCache>
                <c:formatCode>General</c:formatCode>
                <c:ptCount val="23"/>
                <c:pt idx="0">
                  <c:v>-4000</c:v>
                </c:pt>
                <c:pt idx="1">
                  <c:v>-3000</c:v>
                </c:pt>
                <c:pt idx="2">
                  <c:v>-2000</c:v>
                </c:pt>
                <c:pt idx="3">
                  <c:v>-1000</c:v>
                </c:pt>
                <c:pt idx="4">
                  <c:v>0</c:v>
                </c:pt>
                <c:pt idx="5">
                  <c:v>1000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</c:numCache>
            </c:numRef>
          </c:xVal>
          <c:yVal>
            <c:numRef>
              <c:f>'Active 2'!$W$2:$W$24</c:f>
              <c:numCache>
                <c:formatCode>General</c:formatCode>
                <c:ptCount val="23"/>
                <c:pt idx="0">
                  <c:v>1.1979158186131388E-3</c:v>
                </c:pt>
                <c:pt idx="1">
                  <c:v>6.3692501464984741E-4</c:v>
                </c:pt>
                <c:pt idx="2">
                  <c:v>2.5165839082481401E-4</c:v>
                </c:pt>
                <c:pt idx="3">
                  <c:v>4.2115947138038672E-5</c:v>
                </c:pt>
                <c:pt idx="4">
                  <c:v>8.2976835895213639E-6</c:v>
                </c:pt>
                <c:pt idx="5">
                  <c:v>1.502036001792621E-4</c:v>
                </c:pt>
                <c:pt idx="6">
                  <c:v>4.6783369690726081E-4</c:v>
                </c:pt>
                <c:pt idx="7">
                  <c:v>9.6118797377351772E-4</c:v>
                </c:pt>
                <c:pt idx="8">
                  <c:v>1.6302664307780324E-3</c:v>
                </c:pt>
                <c:pt idx="9">
                  <c:v>2.4750690679208056E-3</c:v>
                </c:pt>
                <c:pt idx="10">
                  <c:v>3.4955958852018365E-3</c:v>
                </c:pt>
                <c:pt idx="11">
                  <c:v>4.691846882621125E-3</c:v>
                </c:pt>
                <c:pt idx="12">
                  <c:v>6.0638220601786719E-3</c:v>
                </c:pt>
                <c:pt idx="13">
                  <c:v>7.6115214178744776E-3</c:v>
                </c:pt>
                <c:pt idx="14">
                  <c:v>9.3349449557085414E-3</c:v>
                </c:pt>
                <c:pt idx="15">
                  <c:v>1.1234092673680862E-2</c:v>
                </c:pt>
                <c:pt idx="16">
                  <c:v>1.3308964571791442E-2</c:v>
                </c:pt>
                <c:pt idx="17">
                  <c:v>1.5559560650040277E-2</c:v>
                </c:pt>
                <c:pt idx="18">
                  <c:v>1.7985880908427371E-2</c:v>
                </c:pt>
                <c:pt idx="19">
                  <c:v>2.0587925346952727E-2</c:v>
                </c:pt>
                <c:pt idx="20">
                  <c:v>2.3365693965616337E-2</c:v>
                </c:pt>
                <c:pt idx="21">
                  <c:v>2.6319186764418207E-2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A2E-4A79-9548-4888B9D365E4}"/>
            </c:ext>
          </c:extLst>
        </c:ser>
        <c:ser>
          <c:idx val="9"/>
          <c:order val="9"/>
          <c:tx>
            <c:strRef>
              <c:f>'Active 2'!$U$20</c:f>
              <c:strCache>
                <c:ptCount val="1"/>
                <c:pt idx="0">
                  <c:v>BAD?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2'!$U$21:$U$991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A2E-4A79-9548-4888B9D36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504496"/>
        <c:axId val="1"/>
      </c:scatterChart>
      <c:valAx>
        <c:axId val="766504496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68310911808669661"/>
              <c:y val="0.82317073170731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327354260089683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5044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2212257100149483E-2"/>
          <c:y val="0.92073170731707321"/>
          <c:w val="0.87742899850523171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86576409876699"/>
          <c:y val="5.7750759878419454E-2"/>
          <c:w val="0.83432896624953812"/>
          <c:h val="0.78419452887537999"/>
        </c:manualLayout>
      </c:layout>
      <c:scatterChart>
        <c:scatterStyle val="lineMarker"/>
        <c:varyColors val="0"/>
        <c:ser>
          <c:idx val="1"/>
          <c:order val="0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2'!$I$21:$I$991</c:f>
              <c:numCache>
                <c:formatCode>General</c:formatCode>
                <c:ptCount val="971"/>
                <c:pt idx="0">
                  <c:v>4.3500000174390152E-4</c:v>
                </c:pt>
                <c:pt idx="1">
                  <c:v>6.680000078631565E-4</c:v>
                </c:pt>
                <c:pt idx="2">
                  <c:v>-2.4899999698391184E-4</c:v>
                </c:pt>
                <c:pt idx="3">
                  <c:v>5.1750000420724973E-4</c:v>
                </c:pt>
                <c:pt idx="4">
                  <c:v>-4.7399999311892316E-4</c:v>
                </c:pt>
                <c:pt idx="5">
                  <c:v>-3.9999999717110768E-4</c:v>
                </c:pt>
                <c:pt idx="6">
                  <c:v>-1.5234999955282547E-3</c:v>
                </c:pt>
                <c:pt idx="7">
                  <c:v>1.2550000246847048E-4</c:v>
                </c:pt>
                <c:pt idx="8">
                  <c:v>5.9150000015506521E-4</c:v>
                </c:pt>
                <c:pt idx="9">
                  <c:v>1.2850000348407775E-4</c:v>
                </c:pt>
                <c:pt idx="10">
                  <c:v>-1.6150000010384247E-4</c:v>
                </c:pt>
                <c:pt idx="17">
                  <c:v>1.5520000088145025E-3</c:v>
                </c:pt>
                <c:pt idx="18">
                  <c:v>1.5285000044968911E-3</c:v>
                </c:pt>
                <c:pt idx="27">
                  <c:v>2.9495000053429976E-3</c:v>
                </c:pt>
                <c:pt idx="35">
                  <c:v>4.9199999994016252E-3</c:v>
                </c:pt>
                <c:pt idx="36">
                  <c:v>6.1819999973522499E-3</c:v>
                </c:pt>
                <c:pt idx="37">
                  <c:v>6.758500006981194E-3</c:v>
                </c:pt>
                <c:pt idx="44">
                  <c:v>7.7650000021094456E-3</c:v>
                </c:pt>
                <c:pt idx="45">
                  <c:v>7.1145000038086437E-3</c:v>
                </c:pt>
                <c:pt idx="51">
                  <c:v>9.853500007011462E-3</c:v>
                </c:pt>
                <c:pt idx="52">
                  <c:v>8.7360000034095719E-3</c:v>
                </c:pt>
                <c:pt idx="53">
                  <c:v>9.8125000004074536E-3</c:v>
                </c:pt>
                <c:pt idx="54">
                  <c:v>8.4950000018579885E-3</c:v>
                </c:pt>
                <c:pt idx="55">
                  <c:v>7.8540000031352974E-3</c:v>
                </c:pt>
                <c:pt idx="62">
                  <c:v>1.0691000003134832E-2</c:v>
                </c:pt>
                <c:pt idx="64">
                  <c:v>1.3065000006463379E-2</c:v>
                </c:pt>
                <c:pt idx="65">
                  <c:v>1.5183000003162306E-2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8B-471D-A00B-893D618A9C70}"/>
            </c:ext>
          </c:extLst>
        </c:ser>
        <c:ser>
          <c:idx val="3"/>
          <c:order val="1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2'!$J$21:$J$991</c:f>
              <c:numCache>
                <c:formatCode>General</c:formatCode>
                <c:ptCount val="971"/>
                <c:pt idx="31">
                  <c:v>3.6705000020447187E-3</c:v>
                </c:pt>
                <c:pt idx="47">
                  <c:v>8.2100000072387047E-3</c:v>
                </c:pt>
                <c:pt idx="48">
                  <c:v>7.6160000025993213E-3</c:v>
                </c:pt>
                <c:pt idx="49">
                  <c:v>1.1382500000763685E-2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8B-471D-A00B-893D618A9C70}"/>
            </c:ext>
          </c:extLst>
        </c:ser>
        <c:ser>
          <c:idx val="4"/>
          <c:order val="2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plus>
            <c:minus>
              <c:numRef>
                <c:f>'Active 2'!$D$21:$D$991</c:f>
                <c:numCache>
                  <c:formatCode>General</c:formatCode>
                  <c:ptCount val="971"/>
                  <c:pt idx="0">
                    <c:v>5.0000000000000001E-4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8.9999999999999998E-4</c:v>
                  </c:pt>
                  <c:pt idx="5">
                    <c:v>8.0000000000000004E-4</c:v>
                  </c:pt>
                  <c:pt idx="6">
                    <c:v>1.2999999999999999E-3</c:v>
                  </c:pt>
                  <c:pt idx="7">
                    <c:v>5.9999999999999995E-4</c:v>
                  </c:pt>
                  <c:pt idx="8">
                    <c:v>8.0000000000000004E-4</c:v>
                  </c:pt>
                  <c:pt idx="9">
                    <c:v>8.0000000000000004E-4</c:v>
                  </c:pt>
                  <c:pt idx="10">
                    <c:v>1.1000000000000001E-3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1E-3</c:v>
                  </c:pt>
                  <c:pt idx="18">
                    <c:v>6.9999999999999999E-4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1E-3</c:v>
                  </c:pt>
                  <c:pt idx="27">
                    <c:v>2.0000000000000001E-4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2.9999999999999997E-4</c:v>
                  </c:pt>
                  <c:pt idx="34">
                    <c:v>5.9999999999999995E-4</c:v>
                  </c:pt>
                  <c:pt idx="35">
                    <c:v>2.0000000000000001E-4</c:v>
                  </c:pt>
                  <c:pt idx="36">
                    <c:v>2.0000000000000001E-4</c:v>
                  </c:pt>
                  <c:pt idx="37">
                    <c:v>8.0000000000000004E-4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1E-4</c:v>
                  </c:pt>
                  <c:pt idx="45">
                    <c:v>6.9999999999999999E-4</c:v>
                  </c:pt>
                  <c:pt idx="46">
                    <c:v>1E-4</c:v>
                  </c:pt>
                  <c:pt idx="47">
                    <c:v>2.0000000000000001E-4</c:v>
                  </c:pt>
                  <c:pt idx="48">
                    <c:v>2.0000000000000001E-4</c:v>
                  </c:pt>
                  <c:pt idx="49">
                    <c:v>2E-3</c:v>
                  </c:pt>
                  <c:pt idx="50">
                    <c:v>2.9999999999999997E-4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2.9999999999999997E-4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2">
                    <c:v>2E-3</c:v>
                  </c:pt>
                  <c:pt idx="63">
                    <c:v>1E-4</c:v>
                  </c:pt>
                  <c:pt idx="64">
                    <c:v>4.0000000000000001E-3</c:v>
                  </c:pt>
                  <c:pt idx="65">
                    <c:v>3.2000000000000002E-3</c:v>
                  </c:pt>
                  <c:pt idx="66">
                    <c:v>1E-4</c:v>
                  </c:pt>
                  <c:pt idx="67">
                    <c:v>1E-4</c:v>
                  </c:pt>
                  <c:pt idx="68">
                    <c:v>1E-4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1E-4</c:v>
                  </c:pt>
                  <c:pt idx="73">
                    <c:v>2.0000000000000001E-4</c:v>
                  </c:pt>
                  <c:pt idx="74">
                    <c:v>2.9999999999999997E-4</c:v>
                  </c:pt>
                  <c:pt idx="75">
                    <c:v>2.0000000000000001E-4</c:v>
                  </c:pt>
                  <c:pt idx="76">
                    <c:v>2.9999999999999997E-4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2.0000000000000001E-4</c:v>
                  </c:pt>
                  <c:pt idx="81">
                    <c:v>2.0000000000000001E-4</c:v>
                  </c:pt>
                  <c:pt idx="82">
                    <c:v>2.9999999999999997E-4</c:v>
                  </c:pt>
                  <c:pt idx="83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2'!$K$21:$K$991</c:f>
              <c:numCache>
                <c:formatCode>General</c:formatCode>
                <c:ptCount val="971"/>
                <c:pt idx="11">
                  <c:v>2.5300000561401248E-4</c:v>
                </c:pt>
                <c:pt idx="12">
                  <c:v>-1.817999997001607E-3</c:v>
                </c:pt>
                <c:pt idx="13">
                  <c:v>1.7500000103609636E-4</c:v>
                </c:pt>
                <c:pt idx="14">
                  <c:v>4.4950000301469117E-4</c:v>
                </c:pt>
                <c:pt idx="15">
                  <c:v>-1.3899999612476677E-4</c:v>
                </c:pt>
                <c:pt idx="16">
                  <c:v>7.6400000398280099E-4</c:v>
                </c:pt>
                <c:pt idx="19">
                  <c:v>1.2365000002318993E-3</c:v>
                </c:pt>
                <c:pt idx="20">
                  <c:v>1.1680000025080517E-3</c:v>
                </c:pt>
                <c:pt idx="21">
                  <c:v>8.8099999993573874E-4</c:v>
                </c:pt>
                <c:pt idx="22">
                  <c:v>1.0220000040135346E-3</c:v>
                </c:pt>
                <c:pt idx="23">
                  <c:v>2.5935000012395903E-3</c:v>
                </c:pt>
                <c:pt idx="24">
                  <c:v>1.2980000028619543E-3</c:v>
                </c:pt>
                <c:pt idx="25">
                  <c:v>2.0185000030323863E-3</c:v>
                </c:pt>
                <c:pt idx="28">
                  <c:v>2.2785000037401915E-3</c:v>
                </c:pt>
                <c:pt idx="29">
                  <c:v>2.4784999986877665E-3</c:v>
                </c:pt>
                <c:pt idx="30">
                  <c:v>2.4784999986877665E-3</c:v>
                </c:pt>
                <c:pt idx="32">
                  <c:v>4.5430000027408823E-3</c:v>
                </c:pt>
                <c:pt idx="33">
                  <c:v>4.6430000002146699E-3</c:v>
                </c:pt>
                <c:pt idx="34">
                  <c:v>5.2429999996093102E-3</c:v>
                </c:pt>
                <c:pt idx="38">
                  <c:v>7.0760000016889535E-3</c:v>
                </c:pt>
                <c:pt idx="39">
                  <c:v>6.9825000027776696E-3</c:v>
                </c:pt>
                <c:pt idx="40">
                  <c:v>7.7415000050677918E-3</c:v>
                </c:pt>
                <c:pt idx="41">
                  <c:v>8.2235000081709586E-3</c:v>
                </c:pt>
                <c:pt idx="42">
                  <c:v>7.2000000072875991E-3</c:v>
                </c:pt>
                <c:pt idx="43">
                  <c:v>7.2825000024749897E-3</c:v>
                </c:pt>
                <c:pt idx="46">
                  <c:v>8.289500001410488E-3</c:v>
                </c:pt>
                <c:pt idx="50">
                  <c:v>8.4839999981340952E-3</c:v>
                </c:pt>
                <c:pt idx="56">
                  <c:v>1.0668500006431714E-2</c:v>
                </c:pt>
                <c:pt idx="57">
                  <c:v>8.820000002742745E-3</c:v>
                </c:pt>
                <c:pt idx="58">
                  <c:v>1.0296500004187692E-2</c:v>
                </c:pt>
                <c:pt idx="59">
                  <c:v>1.0031000005255919E-2</c:v>
                </c:pt>
                <c:pt idx="60">
                  <c:v>1.1370500003977213E-2</c:v>
                </c:pt>
                <c:pt idx="61">
                  <c:v>1.3401500007603317E-2</c:v>
                </c:pt>
                <c:pt idx="63">
                  <c:v>1.1678000002575573E-2</c:v>
                </c:pt>
                <c:pt idx="66">
                  <c:v>1.3891000002331566E-2</c:v>
                </c:pt>
                <c:pt idx="67">
                  <c:v>1.5093500005605165E-2</c:v>
                </c:pt>
                <c:pt idx="68">
                  <c:v>1.5071000001626089E-2</c:v>
                </c:pt>
                <c:pt idx="69">
                  <c:v>1.4959000000089873E-2</c:v>
                </c:pt>
                <c:pt idx="70">
                  <c:v>1.9434499998169485E-2</c:v>
                </c:pt>
                <c:pt idx="71">
                  <c:v>1.5552999997453298E-2</c:v>
                </c:pt>
                <c:pt idx="72">
                  <c:v>1.9411500004935078E-2</c:v>
                </c:pt>
                <c:pt idx="73">
                  <c:v>2.1895500001846813E-2</c:v>
                </c:pt>
                <c:pt idx="74">
                  <c:v>2.1072000003186986E-2</c:v>
                </c:pt>
                <c:pt idx="75">
                  <c:v>2.1137000003363937E-2</c:v>
                </c:pt>
                <c:pt idx="76">
                  <c:v>2.2413500002585351E-2</c:v>
                </c:pt>
                <c:pt idx="77">
                  <c:v>2.0025500001793262E-2</c:v>
                </c:pt>
                <c:pt idx="78">
                  <c:v>2.5191500004439149E-2</c:v>
                </c:pt>
                <c:pt idx="79">
                  <c:v>2.529099999810569E-2</c:v>
                </c:pt>
                <c:pt idx="80">
                  <c:v>2.8777437837561592E-2</c:v>
                </c:pt>
                <c:pt idx="81">
                  <c:v>3.0498000007355586E-2</c:v>
                </c:pt>
                <c:pt idx="82">
                  <c:v>3.6435500005609356E-2</c:v>
                </c:pt>
                <c:pt idx="83">
                  <c:v>4.5802000022376888E-2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8B-471D-A00B-893D618A9C70}"/>
            </c:ext>
          </c:extLst>
        </c:ser>
        <c:ser>
          <c:idx val="7"/>
          <c:order val="3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2'!$F$21:$F$991</c:f>
              <c:numCache>
                <c:formatCode>General</c:formatCode>
                <c:ptCount val="971"/>
                <c:pt idx="0">
                  <c:v>-3205</c:v>
                </c:pt>
                <c:pt idx="1">
                  <c:v>-144</c:v>
                </c:pt>
                <c:pt idx="2">
                  <c:v>-133</c:v>
                </c:pt>
                <c:pt idx="3">
                  <c:v>-102.5</c:v>
                </c:pt>
                <c:pt idx="4">
                  <c:v>-58</c:v>
                </c:pt>
                <c:pt idx="5">
                  <c:v>0</c:v>
                </c:pt>
                <c:pt idx="6">
                  <c:v>0.5</c:v>
                </c:pt>
                <c:pt idx="7">
                  <c:v>33.5</c:v>
                </c:pt>
                <c:pt idx="8">
                  <c:v>55.5</c:v>
                </c:pt>
                <c:pt idx="9">
                  <c:v>784.5</c:v>
                </c:pt>
                <c:pt idx="10">
                  <c:v>1754.5</c:v>
                </c:pt>
                <c:pt idx="11">
                  <c:v>2001</c:v>
                </c:pt>
                <c:pt idx="12">
                  <c:v>2134</c:v>
                </c:pt>
                <c:pt idx="13">
                  <c:v>2145</c:v>
                </c:pt>
                <c:pt idx="14">
                  <c:v>2901.5</c:v>
                </c:pt>
                <c:pt idx="15">
                  <c:v>2907</c:v>
                </c:pt>
                <c:pt idx="16">
                  <c:v>2918</c:v>
                </c:pt>
                <c:pt idx="17">
                  <c:v>3184</c:v>
                </c:pt>
                <c:pt idx="18">
                  <c:v>3184.5</c:v>
                </c:pt>
                <c:pt idx="19">
                  <c:v>3250.5</c:v>
                </c:pt>
                <c:pt idx="20">
                  <c:v>3256</c:v>
                </c:pt>
                <c:pt idx="21">
                  <c:v>3747</c:v>
                </c:pt>
                <c:pt idx="22">
                  <c:v>3794</c:v>
                </c:pt>
                <c:pt idx="23">
                  <c:v>3799.5</c:v>
                </c:pt>
                <c:pt idx="24">
                  <c:v>4046</c:v>
                </c:pt>
                <c:pt idx="25">
                  <c:v>4234.5</c:v>
                </c:pt>
                <c:pt idx="26">
                  <c:v>4265</c:v>
                </c:pt>
                <c:pt idx="27">
                  <c:v>4841.5</c:v>
                </c:pt>
                <c:pt idx="28">
                  <c:v>4924.5</c:v>
                </c:pt>
                <c:pt idx="29">
                  <c:v>4924.5</c:v>
                </c:pt>
                <c:pt idx="30">
                  <c:v>4924.5</c:v>
                </c:pt>
                <c:pt idx="31">
                  <c:v>5898.5</c:v>
                </c:pt>
                <c:pt idx="32">
                  <c:v>6881</c:v>
                </c:pt>
                <c:pt idx="33">
                  <c:v>6881</c:v>
                </c:pt>
                <c:pt idx="34">
                  <c:v>6881</c:v>
                </c:pt>
                <c:pt idx="35">
                  <c:v>7040</c:v>
                </c:pt>
                <c:pt idx="36">
                  <c:v>7194</c:v>
                </c:pt>
                <c:pt idx="37">
                  <c:v>7194.5</c:v>
                </c:pt>
                <c:pt idx="38">
                  <c:v>7892</c:v>
                </c:pt>
                <c:pt idx="39">
                  <c:v>7902.5</c:v>
                </c:pt>
                <c:pt idx="40">
                  <c:v>7905.5</c:v>
                </c:pt>
                <c:pt idx="41">
                  <c:v>7999.5</c:v>
                </c:pt>
                <c:pt idx="42">
                  <c:v>8000</c:v>
                </c:pt>
                <c:pt idx="43">
                  <c:v>8002.5</c:v>
                </c:pt>
                <c:pt idx="44">
                  <c:v>8935</c:v>
                </c:pt>
                <c:pt idx="45">
                  <c:v>9046.5</c:v>
                </c:pt>
                <c:pt idx="46">
                  <c:v>9081.5</c:v>
                </c:pt>
                <c:pt idx="47">
                  <c:v>9870</c:v>
                </c:pt>
                <c:pt idx="48">
                  <c:v>9972</c:v>
                </c:pt>
                <c:pt idx="49">
                  <c:v>10002.5</c:v>
                </c:pt>
                <c:pt idx="50">
                  <c:v>10068</c:v>
                </c:pt>
                <c:pt idx="51">
                  <c:v>10109.5</c:v>
                </c:pt>
                <c:pt idx="52">
                  <c:v>10112</c:v>
                </c:pt>
                <c:pt idx="53">
                  <c:v>10112.5</c:v>
                </c:pt>
                <c:pt idx="54">
                  <c:v>10115</c:v>
                </c:pt>
                <c:pt idx="55">
                  <c:v>10118</c:v>
                </c:pt>
                <c:pt idx="56">
                  <c:v>10264.5</c:v>
                </c:pt>
                <c:pt idx="57">
                  <c:v>10940</c:v>
                </c:pt>
                <c:pt idx="58">
                  <c:v>10940.5</c:v>
                </c:pt>
                <c:pt idx="59">
                  <c:v>11077</c:v>
                </c:pt>
                <c:pt idx="60">
                  <c:v>11248.5</c:v>
                </c:pt>
                <c:pt idx="61">
                  <c:v>11955.5</c:v>
                </c:pt>
                <c:pt idx="62">
                  <c:v>12047</c:v>
                </c:pt>
                <c:pt idx="63">
                  <c:v>12066</c:v>
                </c:pt>
                <c:pt idx="64">
                  <c:v>12105</c:v>
                </c:pt>
                <c:pt idx="65">
                  <c:v>13011</c:v>
                </c:pt>
                <c:pt idx="66">
                  <c:v>13017</c:v>
                </c:pt>
                <c:pt idx="67">
                  <c:v>13069.5</c:v>
                </c:pt>
                <c:pt idx="68">
                  <c:v>13147</c:v>
                </c:pt>
                <c:pt idx="69">
                  <c:v>13203</c:v>
                </c:pt>
                <c:pt idx="70">
                  <c:v>14086.5</c:v>
                </c:pt>
                <c:pt idx="71">
                  <c:v>14101</c:v>
                </c:pt>
                <c:pt idx="72">
                  <c:v>14155.5</c:v>
                </c:pt>
                <c:pt idx="73">
                  <c:v>15123.5</c:v>
                </c:pt>
                <c:pt idx="74">
                  <c:v>15124</c:v>
                </c:pt>
                <c:pt idx="75">
                  <c:v>15129</c:v>
                </c:pt>
                <c:pt idx="76">
                  <c:v>15129.5</c:v>
                </c:pt>
                <c:pt idx="77">
                  <c:v>15933.5</c:v>
                </c:pt>
                <c:pt idx="78">
                  <c:v>15955.5</c:v>
                </c:pt>
                <c:pt idx="79">
                  <c:v>16047</c:v>
                </c:pt>
                <c:pt idx="80">
                  <c:v>16848</c:v>
                </c:pt>
                <c:pt idx="81">
                  <c:v>17166</c:v>
                </c:pt>
                <c:pt idx="82">
                  <c:v>18003.5</c:v>
                </c:pt>
                <c:pt idx="83">
                  <c:v>18834</c:v>
                </c:pt>
              </c:numCache>
            </c:numRef>
          </c:xVal>
          <c:yVal>
            <c:numRef>
              <c:f>'Active 2'!$O$21:$O$991</c:f>
              <c:numCache>
                <c:formatCode>General</c:formatCode>
                <c:ptCount val="971"/>
                <c:pt idx="26">
                  <c:v>-5.5972509018077394E-4</c:v>
                </c:pt>
                <c:pt idx="27">
                  <c:v>4.887172658936817E-4</c:v>
                </c:pt>
                <c:pt idx="28">
                  <c:v>6.3966386702842687E-4</c:v>
                </c:pt>
                <c:pt idx="29">
                  <c:v>6.3966386702842687E-4</c:v>
                </c:pt>
                <c:pt idx="30">
                  <c:v>6.3966386702842687E-4</c:v>
                </c:pt>
                <c:pt idx="31">
                  <c:v>2.4110131381759031E-3</c:v>
                </c:pt>
                <c:pt idx="32">
                  <c:v>4.1978207961865781E-3</c:v>
                </c:pt>
                <c:pt idx="33">
                  <c:v>4.1978207961865781E-3</c:v>
                </c:pt>
                <c:pt idx="34">
                  <c:v>4.1978207961865781E-3</c:v>
                </c:pt>
                <c:pt idx="35">
                  <c:v>4.486983562215786E-3</c:v>
                </c:pt>
                <c:pt idx="36">
                  <c:v>4.767053159501938E-3</c:v>
                </c:pt>
                <c:pt idx="37">
                  <c:v>4.7679624763762429E-3</c:v>
                </c:pt>
                <c:pt idx="38">
                  <c:v>6.0364595160326759E-3</c:v>
                </c:pt>
                <c:pt idx="39">
                  <c:v>6.0555551703930944E-3</c:v>
                </c:pt>
                <c:pt idx="40">
                  <c:v>6.061011071638929E-3</c:v>
                </c:pt>
                <c:pt idx="41">
                  <c:v>6.2319626440083976E-3</c:v>
                </c:pt>
                <c:pt idx="42">
                  <c:v>6.2328719608827042E-3</c:v>
                </c:pt>
                <c:pt idx="43">
                  <c:v>6.2374185452542322E-3</c:v>
                </c:pt>
                <c:pt idx="44">
                  <c:v>7.9332945158343375E-3</c:v>
                </c:pt>
                <c:pt idx="45">
                  <c:v>8.1360721788045071E-3</c:v>
                </c:pt>
                <c:pt idx="46">
                  <c:v>8.1997243600059021E-3</c:v>
                </c:pt>
                <c:pt idx="47">
                  <c:v>9.6337170707859708E-3</c:v>
                </c:pt>
                <c:pt idx="48">
                  <c:v>9.8192177131443299E-3</c:v>
                </c:pt>
                <c:pt idx="49">
                  <c:v>9.8746860424769774E-3</c:v>
                </c:pt>
                <c:pt idx="50">
                  <c:v>9.9938065530110233E-3</c:v>
                </c:pt>
                <c:pt idx="51">
                  <c:v>1.0069279853578396E-2</c:v>
                </c:pt>
                <c:pt idx="52">
                  <c:v>1.0073826437949924E-2</c:v>
                </c:pt>
                <c:pt idx="53">
                  <c:v>1.0074735754824229E-2</c:v>
                </c:pt>
                <c:pt idx="54">
                  <c:v>1.0079282339195757E-2</c:v>
                </c:pt>
                <c:pt idx="55">
                  <c:v>1.0084738240441593E-2</c:v>
                </c:pt>
                <c:pt idx="56">
                  <c:v>1.0351168084613158E-2</c:v>
                </c:pt>
                <c:pt idx="57">
                  <c:v>1.1579655181800142E-2</c:v>
                </c:pt>
                <c:pt idx="58">
                  <c:v>1.1580564498674447E-2</c:v>
                </c:pt>
                <c:pt idx="59">
                  <c:v>1.18288080053599E-2</c:v>
                </c:pt>
                <c:pt idx="60">
                  <c:v>1.2140703693246747E-2</c:v>
                </c:pt>
                <c:pt idx="61">
                  <c:v>1.3426477753514989E-2</c:v>
                </c:pt>
                <c:pt idx="62">
                  <c:v>1.3592882741512931E-2</c:v>
                </c:pt>
                <c:pt idx="63">
                  <c:v>1.3627436782736545E-2</c:v>
                </c:pt>
                <c:pt idx="64">
                  <c:v>1.369836349893239E-2</c:v>
                </c:pt>
                <c:pt idx="65">
                  <c:v>1.5346045675174294E-2</c:v>
                </c:pt>
                <c:pt idx="66">
                  <c:v>1.5356957477665963E-2</c:v>
                </c:pt>
                <c:pt idx="67">
                  <c:v>1.5452435749468058E-2</c:v>
                </c:pt>
                <c:pt idx="68">
                  <c:v>1.5593379864985442E-2</c:v>
                </c:pt>
                <c:pt idx="69">
                  <c:v>1.5695223354907677E-2</c:v>
                </c:pt>
                <c:pt idx="70">
                  <c:v>1.7301986271805826E-2</c:v>
                </c:pt>
                <c:pt idx="71">
                  <c:v>1.7328356461160689E-2</c:v>
                </c:pt>
                <c:pt idx="72">
                  <c:v>1.742747200046001E-2</c:v>
                </c:pt>
                <c:pt idx="73">
                  <c:v>1.9187909469115819E-2</c:v>
                </c:pt>
                <c:pt idx="74">
                  <c:v>1.9188818785990124E-2</c:v>
                </c:pt>
                <c:pt idx="75">
                  <c:v>1.9197911954733183E-2</c:v>
                </c:pt>
                <c:pt idx="76">
                  <c:v>1.9198821271607488E-2</c:v>
                </c:pt>
                <c:pt idx="77">
                  <c:v>2.0661002805491033E-2</c:v>
                </c:pt>
                <c:pt idx="78">
                  <c:v>2.0701012747960483E-2</c:v>
                </c:pt>
                <c:pt idx="79">
                  <c:v>2.0867417735958422E-2</c:v>
                </c:pt>
                <c:pt idx="80">
                  <c:v>2.232414336859613E-2</c:v>
                </c:pt>
                <c:pt idx="81">
                  <c:v>2.290246890065455E-2</c:v>
                </c:pt>
                <c:pt idx="82">
                  <c:v>2.4425574665116571E-2</c:v>
                </c:pt>
                <c:pt idx="83">
                  <c:v>2.5935949993338321E-2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8B-471D-A00B-893D618A9C70}"/>
            </c:ext>
          </c:extLst>
        </c:ser>
        <c:ser>
          <c:idx val="8"/>
          <c:order val="4"/>
          <c:tx>
            <c:strRef>
              <c:f>'Active 2'!$W$1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2'!$V$2:$V$24</c:f>
              <c:numCache>
                <c:formatCode>General</c:formatCode>
                <c:ptCount val="23"/>
                <c:pt idx="0">
                  <c:v>-4000</c:v>
                </c:pt>
                <c:pt idx="1">
                  <c:v>-3000</c:v>
                </c:pt>
                <c:pt idx="2">
                  <c:v>-2000</c:v>
                </c:pt>
                <c:pt idx="3">
                  <c:v>-1000</c:v>
                </c:pt>
                <c:pt idx="4">
                  <c:v>0</c:v>
                </c:pt>
                <c:pt idx="5">
                  <c:v>1000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</c:numCache>
            </c:numRef>
          </c:xVal>
          <c:yVal>
            <c:numRef>
              <c:f>'Active 2'!$W$2:$W$24</c:f>
              <c:numCache>
                <c:formatCode>General</c:formatCode>
                <c:ptCount val="23"/>
                <c:pt idx="0">
                  <c:v>1.1979158186131388E-3</c:v>
                </c:pt>
                <c:pt idx="1">
                  <c:v>6.3692501464984741E-4</c:v>
                </c:pt>
                <c:pt idx="2">
                  <c:v>2.5165839082481401E-4</c:v>
                </c:pt>
                <c:pt idx="3">
                  <c:v>4.2115947138038672E-5</c:v>
                </c:pt>
                <c:pt idx="4">
                  <c:v>8.2976835895213639E-6</c:v>
                </c:pt>
                <c:pt idx="5">
                  <c:v>1.502036001792621E-4</c:v>
                </c:pt>
                <c:pt idx="6">
                  <c:v>4.6783369690726081E-4</c:v>
                </c:pt>
                <c:pt idx="7">
                  <c:v>9.6118797377351772E-4</c:v>
                </c:pt>
                <c:pt idx="8">
                  <c:v>1.6302664307780324E-3</c:v>
                </c:pt>
                <c:pt idx="9">
                  <c:v>2.4750690679208056E-3</c:v>
                </c:pt>
                <c:pt idx="10">
                  <c:v>3.4955958852018365E-3</c:v>
                </c:pt>
                <c:pt idx="11">
                  <c:v>4.691846882621125E-3</c:v>
                </c:pt>
                <c:pt idx="12">
                  <c:v>6.0638220601786719E-3</c:v>
                </c:pt>
                <c:pt idx="13">
                  <c:v>7.6115214178744776E-3</c:v>
                </c:pt>
                <c:pt idx="14">
                  <c:v>9.3349449557085414E-3</c:v>
                </c:pt>
                <c:pt idx="15">
                  <c:v>1.1234092673680862E-2</c:v>
                </c:pt>
                <c:pt idx="16">
                  <c:v>1.3308964571791442E-2</c:v>
                </c:pt>
                <c:pt idx="17">
                  <c:v>1.5559560650040277E-2</c:v>
                </c:pt>
                <c:pt idx="18">
                  <c:v>1.7985880908427371E-2</c:v>
                </c:pt>
                <c:pt idx="19">
                  <c:v>2.0587925346952727E-2</c:v>
                </c:pt>
                <c:pt idx="20">
                  <c:v>2.3365693965616337E-2</c:v>
                </c:pt>
                <c:pt idx="21">
                  <c:v>2.6319186764418207E-2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8B-471D-A00B-893D618A9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506136"/>
        <c:axId val="1"/>
      </c:scatterChart>
      <c:valAx>
        <c:axId val="766506136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4029913425000979"/>
              <c:y val="0.90273556231003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327378853762684E-2"/>
              <c:y val="0.36890314242634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506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V1097 Her -- O-C Diagr</a:t>
            </a:r>
          </a:p>
        </c:rich>
      </c:tx>
      <c:layout>
        <c:manualLayout>
          <c:xMode val="edge"/>
          <c:yMode val="edge"/>
          <c:x val="0.41567695961995249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9073634204276"/>
          <c:y val="0.11294117647058824"/>
          <c:w val="0.84204275534441808"/>
          <c:h val="0.7576470588235294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Q_fit!$D$21:$D$99</c:f>
              <c:numCache>
                <c:formatCode>General</c:formatCode>
                <c:ptCount val="79"/>
                <c:pt idx="0">
                  <c:v>-0.32050000000000001</c:v>
                </c:pt>
                <c:pt idx="1">
                  <c:v>-1.44E-2</c:v>
                </c:pt>
                <c:pt idx="2">
                  <c:v>-1.3299999999999999E-2</c:v>
                </c:pt>
                <c:pt idx="3">
                  <c:v>-1.025E-2</c:v>
                </c:pt>
                <c:pt idx="4">
                  <c:v>-5.7999999999999996E-3</c:v>
                </c:pt>
                <c:pt idx="5">
                  <c:v>0</c:v>
                </c:pt>
                <c:pt idx="6">
                  <c:v>5.0000000000000002E-5</c:v>
                </c:pt>
                <c:pt idx="7">
                  <c:v>3.3500000000000001E-3</c:v>
                </c:pt>
                <c:pt idx="8">
                  <c:v>5.5500000000000002E-3</c:v>
                </c:pt>
                <c:pt idx="9">
                  <c:v>7.8450000000000006E-2</c:v>
                </c:pt>
                <c:pt idx="10">
                  <c:v>0.17544999999999999</c:v>
                </c:pt>
                <c:pt idx="11">
                  <c:v>0.2001</c:v>
                </c:pt>
                <c:pt idx="12">
                  <c:v>0.21340000000000001</c:v>
                </c:pt>
                <c:pt idx="13">
                  <c:v>0.2145</c:v>
                </c:pt>
                <c:pt idx="14">
                  <c:v>0.29015000000000002</c:v>
                </c:pt>
                <c:pt idx="15">
                  <c:v>0.29070000000000001</c:v>
                </c:pt>
                <c:pt idx="16">
                  <c:v>0.2918</c:v>
                </c:pt>
                <c:pt idx="17">
                  <c:v>0.31840000000000002</c:v>
                </c:pt>
                <c:pt idx="18">
                  <c:v>0.31845000000000001</c:v>
                </c:pt>
                <c:pt idx="19">
                  <c:v>0.32505000000000001</c:v>
                </c:pt>
                <c:pt idx="20">
                  <c:v>0.3256</c:v>
                </c:pt>
                <c:pt idx="21">
                  <c:v>0.37469999999999998</c:v>
                </c:pt>
                <c:pt idx="22">
                  <c:v>0.37940000000000002</c:v>
                </c:pt>
                <c:pt idx="23">
                  <c:v>0.37995000000000001</c:v>
                </c:pt>
                <c:pt idx="24">
                  <c:v>0.40460000000000002</c:v>
                </c:pt>
                <c:pt idx="25">
                  <c:v>0.42344999999999999</c:v>
                </c:pt>
                <c:pt idx="26">
                  <c:v>0.48415000000000002</c:v>
                </c:pt>
                <c:pt idx="27">
                  <c:v>0.49245</c:v>
                </c:pt>
                <c:pt idx="28">
                  <c:v>0.49245</c:v>
                </c:pt>
                <c:pt idx="29">
                  <c:v>0.49245</c:v>
                </c:pt>
                <c:pt idx="30">
                  <c:v>0.58984999999999999</c:v>
                </c:pt>
                <c:pt idx="31">
                  <c:v>0.68810000000000004</c:v>
                </c:pt>
                <c:pt idx="32">
                  <c:v>0.68810000000000004</c:v>
                </c:pt>
                <c:pt idx="33">
                  <c:v>0.68810000000000004</c:v>
                </c:pt>
                <c:pt idx="34">
                  <c:v>0.70399999999999996</c:v>
                </c:pt>
                <c:pt idx="35">
                  <c:v>0.71940000000000004</c:v>
                </c:pt>
                <c:pt idx="36">
                  <c:v>0.71945000000000003</c:v>
                </c:pt>
                <c:pt idx="37">
                  <c:v>0.78920000000000001</c:v>
                </c:pt>
                <c:pt idx="38">
                  <c:v>0.79025000000000001</c:v>
                </c:pt>
                <c:pt idx="39">
                  <c:v>0.79054999999999997</c:v>
                </c:pt>
                <c:pt idx="40">
                  <c:v>0.79995000000000005</c:v>
                </c:pt>
                <c:pt idx="41">
                  <c:v>0.8</c:v>
                </c:pt>
                <c:pt idx="42">
                  <c:v>0.80025000000000002</c:v>
                </c:pt>
                <c:pt idx="43">
                  <c:v>0.89349999999999996</c:v>
                </c:pt>
                <c:pt idx="44">
                  <c:v>0.90464999999999995</c:v>
                </c:pt>
                <c:pt idx="45">
                  <c:v>0.90815000000000001</c:v>
                </c:pt>
                <c:pt idx="46">
                  <c:v>0.98699999999999999</c:v>
                </c:pt>
                <c:pt idx="47">
                  <c:v>0.99719999999999998</c:v>
                </c:pt>
                <c:pt idx="48">
                  <c:v>1.0002500000000001</c:v>
                </c:pt>
                <c:pt idx="49">
                  <c:v>1.0067999999999999</c:v>
                </c:pt>
                <c:pt idx="50">
                  <c:v>1.01095</c:v>
                </c:pt>
                <c:pt idx="51">
                  <c:v>1.0112000000000001</c:v>
                </c:pt>
                <c:pt idx="52">
                  <c:v>1.01125</c:v>
                </c:pt>
                <c:pt idx="53">
                  <c:v>1.0115000000000001</c:v>
                </c:pt>
                <c:pt idx="54">
                  <c:v>1.0118</c:v>
                </c:pt>
                <c:pt idx="55">
                  <c:v>1.0264500000000001</c:v>
                </c:pt>
                <c:pt idx="56">
                  <c:v>1.0940000000000001</c:v>
                </c:pt>
                <c:pt idx="57">
                  <c:v>1.09405</c:v>
                </c:pt>
                <c:pt idx="58">
                  <c:v>1.1076999999999999</c:v>
                </c:pt>
                <c:pt idx="59">
                  <c:v>1.1248499999999999</c:v>
                </c:pt>
                <c:pt idx="60">
                  <c:v>1.1955499999999999</c:v>
                </c:pt>
                <c:pt idx="61">
                  <c:v>1.2047000000000001</c:v>
                </c:pt>
                <c:pt idx="62">
                  <c:v>1.2065999999999999</c:v>
                </c:pt>
                <c:pt idx="63">
                  <c:v>1.2104999999999999</c:v>
                </c:pt>
                <c:pt idx="64">
                  <c:v>1.3010999999999999</c:v>
                </c:pt>
                <c:pt idx="65">
                  <c:v>1.3017000000000001</c:v>
                </c:pt>
                <c:pt idx="66">
                  <c:v>1.3069500000000001</c:v>
                </c:pt>
                <c:pt idx="67">
                  <c:v>1.3147</c:v>
                </c:pt>
                <c:pt idx="68">
                  <c:v>1.3203</c:v>
                </c:pt>
                <c:pt idx="69">
                  <c:v>1.40865</c:v>
                </c:pt>
                <c:pt idx="70">
                  <c:v>1.4100999999999999</c:v>
                </c:pt>
                <c:pt idx="71">
                  <c:v>1.4155500000000001</c:v>
                </c:pt>
                <c:pt idx="72">
                  <c:v>1.5123500000000001</c:v>
                </c:pt>
                <c:pt idx="73">
                  <c:v>1.5124</c:v>
                </c:pt>
                <c:pt idx="74">
                  <c:v>1.5128999999999999</c:v>
                </c:pt>
                <c:pt idx="75">
                  <c:v>1.51295</c:v>
                </c:pt>
                <c:pt idx="76">
                  <c:v>1.59335</c:v>
                </c:pt>
                <c:pt idx="77">
                  <c:v>1.59555</c:v>
                </c:pt>
                <c:pt idx="78">
                  <c:v>1.6047</c:v>
                </c:pt>
              </c:numCache>
            </c:numRef>
          </c:xVal>
          <c:yVal>
            <c:numRef>
              <c:f>Q_fit!$E$21:$E$99</c:f>
              <c:numCache>
                <c:formatCode>General</c:formatCode>
                <c:ptCount val="79"/>
                <c:pt idx="0">
                  <c:v>4.3500000174390152E-4</c:v>
                </c:pt>
                <c:pt idx="1">
                  <c:v>6.680000078631565E-4</c:v>
                </c:pt>
                <c:pt idx="2">
                  <c:v>-2.4899999698391184E-4</c:v>
                </c:pt>
                <c:pt idx="3">
                  <c:v>5.1750000420724973E-4</c:v>
                </c:pt>
                <c:pt idx="4">
                  <c:v>-4.7399999311892316E-4</c:v>
                </c:pt>
                <c:pt idx="5">
                  <c:v>-3.9999999717110768E-4</c:v>
                </c:pt>
                <c:pt idx="6">
                  <c:v>-1.5234999955282547E-3</c:v>
                </c:pt>
                <c:pt idx="7">
                  <c:v>1.2550000246847048E-4</c:v>
                </c:pt>
                <c:pt idx="8">
                  <c:v>5.9150000015506521E-4</c:v>
                </c:pt>
                <c:pt idx="9">
                  <c:v>1.2850000348407775E-4</c:v>
                </c:pt>
                <c:pt idx="10">
                  <c:v>-1.6150000010384247E-4</c:v>
                </c:pt>
                <c:pt idx="11">
                  <c:v>2.5300000561401248E-4</c:v>
                </c:pt>
                <c:pt idx="12">
                  <c:v>-1.817999997001607E-3</c:v>
                </c:pt>
                <c:pt idx="13">
                  <c:v>1.7500000103609636E-4</c:v>
                </c:pt>
                <c:pt idx="14">
                  <c:v>4.4950000301469117E-4</c:v>
                </c:pt>
                <c:pt idx="15">
                  <c:v>-1.3899999612476677E-4</c:v>
                </c:pt>
                <c:pt idx="16">
                  <c:v>7.6400000398280099E-4</c:v>
                </c:pt>
                <c:pt idx="17">
                  <c:v>1.5520000088145025E-3</c:v>
                </c:pt>
                <c:pt idx="18">
                  <c:v>1.5285000044968911E-3</c:v>
                </c:pt>
                <c:pt idx="19">
                  <c:v>1.2365000002318993E-3</c:v>
                </c:pt>
                <c:pt idx="20">
                  <c:v>1.1680000025080517E-3</c:v>
                </c:pt>
                <c:pt idx="21">
                  <c:v>8.8099999993573874E-4</c:v>
                </c:pt>
                <c:pt idx="22">
                  <c:v>1.0220000040135346E-3</c:v>
                </c:pt>
                <c:pt idx="23">
                  <c:v>2.5935000012395903E-3</c:v>
                </c:pt>
                <c:pt idx="24">
                  <c:v>1.2980000028619543E-3</c:v>
                </c:pt>
                <c:pt idx="25">
                  <c:v>2.0185000030323863E-3</c:v>
                </c:pt>
                <c:pt idx="26">
                  <c:v>2.9495000053429976E-3</c:v>
                </c:pt>
                <c:pt idx="27">
                  <c:v>2.2785000037401915E-3</c:v>
                </c:pt>
                <c:pt idx="28">
                  <c:v>2.4784999986877665E-3</c:v>
                </c:pt>
                <c:pt idx="29">
                  <c:v>2.4784999986877665E-3</c:v>
                </c:pt>
                <c:pt idx="30">
                  <c:v>3.6705000020447187E-3</c:v>
                </c:pt>
                <c:pt idx="31">
                  <c:v>4.5430000027408823E-3</c:v>
                </c:pt>
                <c:pt idx="32">
                  <c:v>4.6430000002146699E-3</c:v>
                </c:pt>
                <c:pt idx="33">
                  <c:v>5.2429999996093102E-3</c:v>
                </c:pt>
                <c:pt idx="34">
                  <c:v>4.9199999994016252E-3</c:v>
                </c:pt>
                <c:pt idx="35">
                  <c:v>6.1819999973522499E-3</c:v>
                </c:pt>
                <c:pt idx="36">
                  <c:v>6.758500006981194E-3</c:v>
                </c:pt>
                <c:pt idx="37">
                  <c:v>7.0760000016889535E-3</c:v>
                </c:pt>
                <c:pt idx="38">
                  <c:v>6.9825000027776696E-3</c:v>
                </c:pt>
                <c:pt idx="39">
                  <c:v>7.7415000050677918E-3</c:v>
                </c:pt>
                <c:pt idx="40">
                  <c:v>8.2235000081709586E-3</c:v>
                </c:pt>
                <c:pt idx="41">
                  <c:v>7.2000000072875991E-3</c:v>
                </c:pt>
                <c:pt idx="42">
                  <c:v>7.2825000024749897E-3</c:v>
                </c:pt>
                <c:pt idx="43">
                  <c:v>7.7650000021094456E-3</c:v>
                </c:pt>
                <c:pt idx="44">
                  <c:v>7.1145000038086437E-3</c:v>
                </c:pt>
                <c:pt idx="45">
                  <c:v>8.289500001410488E-3</c:v>
                </c:pt>
                <c:pt idx="46">
                  <c:v>8.2100000072387047E-3</c:v>
                </c:pt>
                <c:pt idx="47">
                  <c:v>7.6160000025993213E-3</c:v>
                </c:pt>
                <c:pt idx="48">
                  <c:v>1.1382500000763685E-2</c:v>
                </c:pt>
                <c:pt idx="49">
                  <c:v>8.4839999981340952E-3</c:v>
                </c:pt>
                <c:pt idx="50">
                  <c:v>9.853500007011462E-3</c:v>
                </c:pt>
                <c:pt idx="51">
                  <c:v>8.7360000034095719E-3</c:v>
                </c:pt>
                <c:pt idx="52">
                  <c:v>9.8125000004074536E-3</c:v>
                </c:pt>
                <c:pt idx="53">
                  <c:v>8.4950000018579885E-3</c:v>
                </c:pt>
                <c:pt idx="54">
                  <c:v>7.8540000031352974E-3</c:v>
                </c:pt>
                <c:pt idx="55">
                  <c:v>1.0668500006431714E-2</c:v>
                </c:pt>
                <c:pt idx="56">
                  <c:v>8.820000002742745E-3</c:v>
                </c:pt>
                <c:pt idx="57">
                  <c:v>1.0296500004187692E-2</c:v>
                </c:pt>
                <c:pt idx="58">
                  <c:v>1.0031000005255919E-2</c:v>
                </c:pt>
                <c:pt idx="59">
                  <c:v>1.1370500003977213E-2</c:v>
                </c:pt>
                <c:pt idx="60">
                  <c:v>1.3401500007603317E-2</c:v>
                </c:pt>
                <c:pt idx="61">
                  <c:v>1.0691000003134832E-2</c:v>
                </c:pt>
                <c:pt idx="62">
                  <c:v>1.1678000002575573E-2</c:v>
                </c:pt>
                <c:pt idx="63">
                  <c:v>1.3065000006463379E-2</c:v>
                </c:pt>
                <c:pt idx="64">
                  <c:v>1.5183000003162306E-2</c:v>
                </c:pt>
                <c:pt idx="65">
                  <c:v>1.3891000002331566E-2</c:v>
                </c:pt>
                <c:pt idx="66">
                  <c:v>1.5093500005605165E-2</c:v>
                </c:pt>
                <c:pt idx="67">
                  <c:v>1.5071000001626089E-2</c:v>
                </c:pt>
                <c:pt idx="68">
                  <c:v>1.4959000000089873E-2</c:v>
                </c:pt>
                <c:pt idx="69">
                  <c:v>1.9434499998169485E-2</c:v>
                </c:pt>
                <c:pt idx="70">
                  <c:v>1.5552999997453298E-2</c:v>
                </c:pt>
                <c:pt idx="71">
                  <c:v>1.9411500004935078E-2</c:v>
                </c:pt>
                <c:pt idx="72">
                  <c:v>2.1895500001846813E-2</c:v>
                </c:pt>
                <c:pt idx="73">
                  <c:v>2.1072000003186986E-2</c:v>
                </c:pt>
                <c:pt idx="74">
                  <c:v>2.1137000003363937E-2</c:v>
                </c:pt>
                <c:pt idx="75">
                  <c:v>2.2413500002585351E-2</c:v>
                </c:pt>
                <c:pt idx="76">
                  <c:v>2.0025500001793262E-2</c:v>
                </c:pt>
                <c:pt idx="77">
                  <c:v>2.5191500004439149E-2</c:v>
                </c:pt>
                <c:pt idx="78">
                  <c:v>2.529099999810569E-2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03-4155-916C-114DE05D7AC5}"/>
            </c:ext>
          </c:extLst>
        </c:ser>
        <c:ser>
          <c:idx val="1"/>
          <c:order val="1"/>
          <c:tx>
            <c:v>Q.Fit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Q_fit!$D$21:$D$99</c:f>
              <c:numCache>
                <c:formatCode>General</c:formatCode>
                <c:ptCount val="79"/>
                <c:pt idx="0">
                  <c:v>-0.32050000000000001</c:v>
                </c:pt>
                <c:pt idx="1">
                  <c:v>-1.44E-2</c:v>
                </c:pt>
                <c:pt idx="2">
                  <c:v>-1.3299999999999999E-2</c:v>
                </c:pt>
                <c:pt idx="3">
                  <c:v>-1.025E-2</c:v>
                </c:pt>
                <c:pt idx="4">
                  <c:v>-5.7999999999999996E-3</c:v>
                </c:pt>
                <c:pt idx="5">
                  <c:v>0</c:v>
                </c:pt>
                <c:pt idx="6">
                  <c:v>5.0000000000000002E-5</c:v>
                </c:pt>
                <c:pt idx="7">
                  <c:v>3.3500000000000001E-3</c:v>
                </c:pt>
                <c:pt idx="8">
                  <c:v>5.5500000000000002E-3</c:v>
                </c:pt>
                <c:pt idx="9">
                  <c:v>7.8450000000000006E-2</c:v>
                </c:pt>
                <c:pt idx="10">
                  <c:v>0.17544999999999999</c:v>
                </c:pt>
                <c:pt idx="11">
                  <c:v>0.2001</c:v>
                </c:pt>
                <c:pt idx="12">
                  <c:v>0.21340000000000001</c:v>
                </c:pt>
                <c:pt idx="13">
                  <c:v>0.2145</c:v>
                </c:pt>
                <c:pt idx="14">
                  <c:v>0.29015000000000002</c:v>
                </c:pt>
                <c:pt idx="15">
                  <c:v>0.29070000000000001</c:v>
                </c:pt>
                <c:pt idx="16">
                  <c:v>0.2918</c:v>
                </c:pt>
                <c:pt idx="17">
                  <c:v>0.31840000000000002</c:v>
                </c:pt>
                <c:pt idx="18">
                  <c:v>0.31845000000000001</c:v>
                </c:pt>
                <c:pt idx="19">
                  <c:v>0.32505000000000001</c:v>
                </c:pt>
                <c:pt idx="20">
                  <c:v>0.3256</c:v>
                </c:pt>
                <c:pt idx="21">
                  <c:v>0.37469999999999998</c:v>
                </c:pt>
                <c:pt idx="22">
                  <c:v>0.37940000000000002</c:v>
                </c:pt>
                <c:pt idx="23">
                  <c:v>0.37995000000000001</c:v>
                </c:pt>
                <c:pt idx="24">
                  <c:v>0.40460000000000002</c:v>
                </c:pt>
                <c:pt idx="25">
                  <c:v>0.42344999999999999</c:v>
                </c:pt>
                <c:pt idx="26">
                  <c:v>0.48415000000000002</c:v>
                </c:pt>
                <c:pt idx="27">
                  <c:v>0.49245</c:v>
                </c:pt>
                <c:pt idx="28">
                  <c:v>0.49245</c:v>
                </c:pt>
                <c:pt idx="29">
                  <c:v>0.49245</c:v>
                </c:pt>
                <c:pt idx="30">
                  <c:v>0.58984999999999999</c:v>
                </c:pt>
                <c:pt idx="31">
                  <c:v>0.68810000000000004</c:v>
                </c:pt>
                <c:pt idx="32">
                  <c:v>0.68810000000000004</c:v>
                </c:pt>
                <c:pt idx="33">
                  <c:v>0.68810000000000004</c:v>
                </c:pt>
                <c:pt idx="34">
                  <c:v>0.70399999999999996</c:v>
                </c:pt>
                <c:pt idx="35">
                  <c:v>0.71940000000000004</c:v>
                </c:pt>
                <c:pt idx="36">
                  <c:v>0.71945000000000003</c:v>
                </c:pt>
                <c:pt idx="37">
                  <c:v>0.78920000000000001</c:v>
                </c:pt>
                <c:pt idx="38">
                  <c:v>0.79025000000000001</c:v>
                </c:pt>
                <c:pt idx="39">
                  <c:v>0.79054999999999997</c:v>
                </c:pt>
                <c:pt idx="40">
                  <c:v>0.79995000000000005</c:v>
                </c:pt>
                <c:pt idx="41">
                  <c:v>0.8</c:v>
                </c:pt>
                <c:pt idx="42">
                  <c:v>0.80025000000000002</c:v>
                </c:pt>
                <c:pt idx="43">
                  <c:v>0.89349999999999996</c:v>
                </c:pt>
                <c:pt idx="44">
                  <c:v>0.90464999999999995</c:v>
                </c:pt>
                <c:pt idx="45">
                  <c:v>0.90815000000000001</c:v>
                </c:pt>
                <c:pt idx="46">
                  <c:v>0.98699999999999999</c:v>
                </c:pt>
                <c:pt idx="47">
                  <c:v>0.99719999999999998</c:v>
                </c:pt>
                <c:pt idx="48">
                  <c:v>1.0002500000000001</c:v>
                </c:pt>
                <c:pt idx="49">
                  <c:v>1.0067999999999999</c:v>
                </c:pt>
                <c:pt idx="50">
                  <c:v>1.01095</c:v>
                </c:pt>
                <c:pt idx="51">
                  <c:v>1.0112000000000001</c:v>
                </c:pt>
                <c:pt idx="52">
                  <c:v>1.01125</c:v>
                </c:pt>
                <c:pt idx="53">
                  <c:v>1.0115000000000001</c:v>
                </c:pt>
                <c:pt idx="54">
                  <c:v>1.0118</c:v>
                </c:pt>
                <c:pt idx="55">
                  <c:v>1.0264500000000001</c:v>
                </c:pt>
                <c:pt idx="56">
                  <c:v>1.0940000000000001</c:v>
                </c:pt>
                <c:pt idx="57">
                  <c:v>1.09405</c:v>
                </c:pt>
                <c:pt idx="58">
                  <c:v>1.1076999999999999</c:v>
                </c:pt>
                <c:pt idx="59">
                  <c:v>1.1248499999999999</c:v>
                </c:pt>
                <c:pt idx="60">
                  <c:v>1.1955499999999999</c:v>
                </c:pt>
                <c:pt idx="61">
                  <c:v>1.2047000000000001</c:v>
                </c:pt>
                <c:pt idx="62">
                  <c:v>1.2065999999999999</c:v>
                </c:pt>
                <c:pt idx="63">
                  <c:v>1.2104999999999999</c:v>
                </c:pt>
                <c:pt idx="64">
                  <c:v>1.3010999999999999</c:v>
                </c:pt>
                <c:pt idx="65">
                  <c:v>1.3017000000000001</c:v>
                </c:pt>
                <c:pt idx="66">
                  <c:v>1.3069500000000001</c:v>
                </c:pt>
                <c:pt idx="67">
                  <c:v>1.3147</c:v>
                </c:pt>
                <c:pt idx="68">
                  <c:v>1.3203</c:v>
                </c:pt>
                <c:pt idx="69">
                  <c:v>1.40865</c:v>
                </c:pt>
                <c:pt idx="70">
                  <c:v>1.4100999999999999</c:v>
                </c:pt>
                <c:pt idx="71">
                  <c:v>1.4155500000000001</c:v>
                </c:pt>
                <c:pt idx="72">
                  <c:v>1.5123500000000001</c:v>
                </c:pt>
                <c:pt idx="73">
                  <c:v>1.5124</c:v>
                </c:pt>
                <c:pt idx="74">
                  <c:v>1.5128999999999999</c:v>
                </c:pt>
                <c:pt idx="75">
                  <c:v>1.51295</c:v>
                </c:pt>
                <c:pt idx="76">
                  <c:v>1.59335</c:v>
                </c:pt>
                <c:pt idx="77">
                  <c:v>1.59555</c:v>
                </c:pt>
                <c:pt idx="78">
                  <c:v>1.6047</c:v>
                </c:pt>
              </c:numCache>
            </c:numRef>
          </c:xVal>
          <c:yVal>
            <c:numRef>
              <c:f>Q_fit!$M$21:$M$99</c:f>
              <c:numCache>
                <c:formatCode>General</c:formatCode>
                <c:ptCount val="79"/>
                <c:pt idx="0">
                  <c:v>4.130998753133409E-4</c:v>
                </c:pt>
                <c:pt idx="1">
                  <c:v>-1.3831437393746024E-4</c:v>
                </c:pt>
                <c:pt idx="2">
                  <c:v>-1.3744891783472028E-4</c:v>
                </c:pt>
                <c:pt idx="3">
                  <c:v>-1.3494260313631716E-4</c:v>
                </c:pt>
                <c:pt idx="4">
                  <c:v>-1.310046605173975E-4</c:v>
                </c:pt>
                <c:pt idx="5">
                  <c:v>-1.2537118775276374E-4</c:v>
                </c:pt>
                <c:pt idx="6">
                  <c:v>-1.2532015898471916E-4</c:v>
                </c:pt>
                <c:pt idx="7">
                  <c:v>-1.2185912058991716E-4</c:v>
                </c:pt>
                <c:pt idx="8">
                  <c:v>-1.194498177055754E-4</c:v>
                </c:pt>
                <c:pt idx="9">
                  <c:v>6.5114826242015751E-6</c:v>
                </c:pt>
                <c:pt idx="10">
                  <c:v>3.1296281872879284E-4</c:v>
                </c:pt>
                <c:pt idx="11">
                  <c:v>4.1610354587111732E-4</c:v>
                </c:pt>
                <c:pt idx="12">
                  <c:v>4.760059652863883E-4</c:v>
                </c:pt>
                <c:pt idx="13">
                  <c:v>4.8109375463078747E-4</c:v>
                </c:pt>
                <c:pt idx="14">
                  <c:v>8.7991230999526898E-4</c:v>
                </c:pt>
                <c:pt idx="15">
                  <c:v>8.8316494684186693E-4</c:v>
                </c:pt>
                <c:pt idx="16">
                  <c:v>8.8968551212823368E-4</c:v>
                </c:pt>
                <c:pt idx="17">
                  <c:v>1.0535724333948721E-3</c:v>
                </c:pt>
                <c:pt idx="18">
                  <c:v>1.0538917179902262E-3</c:v>
                </c:pt>
                <c:pt idx="19">
                  <c:v>1.0964070631027368E-3</c:v>
                </c:pt>
                <c:pt idx="20">
                  <c:v>1.0999831403139834E-3</c:v>
                </c:pt>
                <c:pt idx="21">
                  <c:v>1.4397681903110069E-3</c:v>
                </c:pt>
                <c:pt idx="22">
                  <c:v>1.4744238153909541E-3</c:v>
                </c:pt>
                <c:pt idx="23">
                  <c:v>1.4785035884136231E-3</c:v>
                </c:pt>
                <c:pt idx="24">
                  <c:v>1.6665851136891221E-3</c:v>
                </c:pt>
                <c:pt idx="25">
                  <c:v>1.8173205503688485E-3</c:v>
                </c:pt>
                <c:pt idx="26">
                  <c:v>2.3433948977566342E-3</c:v>
                </c:pt>
                <c:pt idx="27">
                  <c:v>2.4201543476779267E-3</c:v>
                </c:pt>
                <c:pt idx="28">
                  <c:v>2.4201543476779267E-3</c:v>
                </c:pt>
                <c:pt idx="29">
                  <c:v>2.4201543476779267E-3</c:v>
                </c:pt>
                <c:pt idx="30">
                  <c:v>3.4076599974674406E-3</c:v>
                </c:pt>
                <c:pt idx="31">
                  <c:v>4.565736330659733E-3</c:v>
                </c:pt>
                <c:pt idx="32">
                  <c:v>4.565736330659733E-3</c:v>
                </c:pt>
                <c:pt idx="33">
                  <c:v>4.565736330659733E-3</c:v>
                </c:pt>
                <c:pt idx="34">
                  <c:v>4.7684416773293888E-3</c:v>
                </c:pt>
                <c:pt idx="35">
                  <c:v>4.9688337184692483E-3</c:v>
                </c:pt>
                <c:pt idx="36">
                  <c:v>4.9694908503847999E-3</c:v>
                </c:pt>
                <c:pt idx="37">
                  <c:v>5.9272079915515773E-3</c:v>
                </c:pt>
                <c:pt idx="38">
                  <c:v>5.9422515622739574E-3</c:v>
                </c:pt>
                <c:pt idx="39">
                  <c:v>5.9465531375111763E-3</c:v>
                </c:pt>
                <c:pt idx="40">
                  <c:v>6.082104030737643E-3</c:v>
                </c:pt>
                <c:pt idx="41">
                  <c:v>6.0828290269964421E-3</c:v>
                </c:pt>
                <c:pt idx="42">
                  <c:v>6.0864546401744523E-3</c:v>
                </c:pt>
                <c:pt idx="43">
                  <c:v>7.5122659254949721E-3</c:v>
                </c:pt>
                <c:pt idx="44">
                  <c:v>7.6925590171005734E-3</c:v>
                </c:pt>
                <c:pt idx="45">
                  <c:v>7.7495852591408154E-3</c:v>
                </c:pt>
                <c:pt idx="46">
                  <c:v>9.0890118382081064E-3</c:v>
                </c:pt>
                <c:pt idx="47">
                  <c:v>9.2699320698764048E-3</c:v>
                </c:pt>
                <c:pt idx="48">
                  <c:v>9.324371246771013E-3</c:v>
                </c:pt>
                <c:pt idx="49">
                  <c:v>9.4418113818244415E-3</c:v>
                </c:pt>
                <c:pt idx="50">
                  <c:v>9.5165941344736455E-3</c:v>
                </c:pt>
                <c:pt idx="51">
                  <c:v>9.5211083872052196E-3</c:v>
                </c:pt>
                <c:pt idx="52">
                  <c:v>9.5220113641283355E-3</c:v>
                </c:pt>
                <c:pt idx="53">
                  <c:v>9.5265268806279443E-3</c:v>
                </c:pt>
                <c:pt idx="54">
                  <c:v>9.5319468905723029E-3</c:v>
                </c:pt>
                <c:pt idx="55">
                  <c:v>9.7984692916195885E-3</c:v>
                </c:pt>
                <c:pt idx="56">
                  <c:v>1.1074164567993349E-2</c:v>
                </c:pt>
                <c:pt idx="57">
                  <c:v>1.1075137304911758E-2</c:v>
                </c:pt>
                <c:pt idx="58">
                  <c:v>1.1342270023241724E-2</c:v>
                </c:pt>
                <c:pt idx="59">
                  <c:v>1.1682348627368638E-2</c:v>
                </c:pt>
                <c:pt idx="60">
                  <c:v>1.3136633701396859E-2</c:v>
                </c:pt>
                <c:pt idx="61">
                  <c:v>1.3331003023608587E-2</c:v>
                </c:pt>
                <c:pt idx="62">
                  <c:v>1.337154075187091E-2</c:v>
                </c:pt>
                <c:pt idx="63">
                  <c:v>1.3454940349259979E-2</c:v>
                </c:pt>
                <c:pt idx="64">
                  <c:v>1.5464510501798864E-2</c:v>
                </c:pt>
                <c:pt idx="65">
                  <c:v>1.5478279935982674E-2</c:v>
                </c:pt>
                <c:pt idx="66">
                  <c:v>1.5599021241595245E-2</c:v>
                </c:pt>
                <c:pt idx="67">
                  <c:v>1.5778107237883924E-2</c:v>
                </c:pt>
                <c:pt idx="68">
                  <c:v>1.5908141174608037E-2</c:v>
                </c:pt>
                <c:pt idx="69">
                  <c:v>1.8029591292706718E-2</c:v>
                </c:pt>
                <c:pt idx="70">
                  <c:v>1.8065505562144396E-2</c:v>
                </c:pt>
                <c:pt idx="71">
                  <c:v>1.8200810504952002E-2</c:v>
                </c:pt>
                <c:pt idx="72">
                  <c:v>2.068741505673459E-2</c:v>
                </c:pt>
                <c:pt idx="73">
                  <c:v>2.068874025855675E-2</c:v>
                </c:pt>
                <c:pt idx="74">
                  <c:v>2.0701994593686442E-2</c:v>
                </c:pt>
                <c:pt idx="75">
                  <c:v>2.0703320258890219E-2</c:v>
                </c:pt>
                <c:pt idx="76">
                  <c:v>2.2889485100564266E-2</c:v>
                </c:pt>
                <c:pt idx="77">
                  <c:v>2.29508365443989E-2</c:v>
                </c:pt>
                <c:pt idx="78">
                  <c:v>2.3206877746507152E-2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03-4155-916C-114DE05D7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89392"/>
        <c:axId val="1"/>
      </c:scatterChart>
      <c:valAx>
        <c:axId val="837889392"/>
        <c:scaling>
          <c:orientation val="minMax"/>
          <c:max val="2"/>
          <c:min val="-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8527315914489306"/>
              <c:y val="0.93647058823529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5.9382422802850355E-3"/>
              <c:y val="0.468235294117647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8939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4798099762470308"/>
          <c:y val="0.93647058823529417"/>
          <c:w val="0.48218527315914489"/>
          <c:h val="0.98823529411764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19050</xdr:rowOff>
    </xdr:from>
    <xdr:to>
      <xdr:col>20</xdr:col>
      <xdr:colOff>57150</xdr:colOff>
      <xdr:row>18</xdr:row>
      <xdr:rowOff>57150</xdr:rowOff>
    </xdr:to>
    <xdr:graphicFrame macro="">
      <xdr:nvGraphicFramePr>
        <xdr:cNvPr id="58373" name="Chart 1">
          <a:extLst>
            <a:ext uri="{FF2B5EF4-FFF2-40B4-BE49-F238E27FC236}">
              <a16:creationId xmlns:a16="http://schemas.microsoft.com/office/drawing/2014/main" id="{C42107A6-BA90-98A8-F7C9-74B3F3234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24</xdr:row>
      <xdr:rowOff>9525</xdr:rowOff>
    </xdr:from>
    <xdr:to>
      <xdr:col>17</xdr:col>
      <xdr:colOff>600075</xdr:colOff>
      <xdr:row>43</xdr:row>
      <xdr:rowOff>66675</xdr:rowOff>
    </xdr:to>
    <xdr:graphicFrame macro="">
      <xdr:nvGraphicFramePr>
        <xdr:cNvPr id="58374" name="Chart 3">
          <a:extLst>
            <a:ext uri="{FF2B5EF4-FFF2-40B4-BE49-F238E27FC236}">
              <a16:creationId xmlns:a16="http://schemas.microsoft.com/office/drawing/2014/main" id="{EFAF2CAF-ECA6-D8B9-76A6-FB15BA08D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28575</xdr:rowOff>
    </xdr:from>
    <xdr:to>
      <xdr:col>19</xdr:col>
      <xdr:colOff>590550</xdr:colOff>
      <xdr:row>18</xdr:row>
      <xdr:rowOff>66675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248574F5-D407-E754-B07D-18835E93D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26</xdr:row>
      <xdr:rowOff>38100</xdr:rowOff>
    </xdr:from>
    <xdr:to>
      <xdr:col>17</xdr:col>
      <xdr:colOff>152400</xdr:colOff>
      <xdr:row>45</xdr:row>
      <xdr:rowOff>95250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CAAC000E-AF04-4FDC-BBC7-45D474F28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21</xdr:row>
      <xdr:rowOff>95250</xdr:rowOff>
    </xdr:from>
    <xdr:to>
      <xdr:col>19</xdr:col>
      <xdr:colOff>381000</xdr:colOff>
      <xdr:row>46</xdr:row>
      <xdr:rowOff>95250</xdr:rowOff>
    </xdr:to>
    <xdr:graphicFrame macro="">
      <xdr:nvGraphicFramePr>
        <xdr:cNvPr id="56322" name="Chart 1">
          <a:extLst>
            <a:ext uri="{FF2B5EF4-FFF2-40B4-BE49-F238E27FC236}">
              <a16:creationId xmlns:a16="http://schemas.microsoft.com/office/drawing/2014/main" id="{2358A369-2B8D-A551-BF73-3AFC60E9E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cdsbib.u-strasbg.fr/cgi-bin/cdsbib?1990RMxAA..21..381G" TargetMode="External"/><Relationship Id="rId42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vsolj.cetus-net.org/bulletin.html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s://www.aavso.org/ejaavso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vsolj.cetus-net.org/bulletin.html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vsolj.cetus-net.org/bulletin.html" TargetMode="External"/><Relationship Id="rId31" Type="http://schemas.openxmlformats.org/officeDocument/2006/relationships/hyperlink" Target="http://cdsbib.u-strasbg.fr/cgi-bin/cdsbib?1990RMxAA..21..381G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www.aavso.org/ejaavso" TargetMode="External"/><Relationship Id="rId9" Type="http://schemas.openxmlformats.org/officeDocument/2006/relationships/hyperlink" Target="http://vsolj.cetus-net.org/bulletin.html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s://www.aavso.org/ejaavso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74.pdf" TargetMode="External"/><Relationship Id="rId13" Type="http://schemas.openxmlformats.org/officeDocument/2006/relationships/hyperlink" Target="http://var.astro.cz/oejv/issues/oejv0074.pdf" TargetMode="External"/><Relationship Id="rId18" Type="http://schemas.openxmlformats.org/officeDocument/2006/relationships/hyperlink" Target="http://var.astro.cz/oejv/issues/oejv0074.pdf" TargetMode="External"/><Relationship Id="rId26" Type="http://schemas.openxmlformats.org/officeDocument/2006/relationships/hyperlink" Target="http://vsolj.cetus-net.org/vsoljno51.pdf" TargetMode="External"/><Relationship Id="rId39" Type="http://schemas.openxmlformats.org/officeDocument/2006/relationships/hyperlink" Target="http://www.konkoly.hu/cgi-bin/IBVS?6095" TargetMode="External"/><Relationship Id="rId3" Type="http://schemas.openxmlformats.org/officeDocument/2006/relationships/hyperlink" Target="http://var.astro.cz/oejv/issues/oejv0074.pdf" TargetMode="External"/><Relationship Id="rId21" Type="http://schemas.openxmlformats.org/officeDocument/2006/relationships/hyperlink" Target="http://var.astro.cz/oejv/issues/oejv0107.pdf" TargetMode="External"/><Relationship Id="rId34" Type="http://schemas.openxmlformats.org/officeDocument/2006/relationships/hyperlink" Target="http://www.konkoly.hu/cgi-bin/IBVS?6050" TargetMode="External"/><Relationship Id="rId42" Type="http://schemas.openxmlformats.org/officeDocument/2006/relationships/hyperlink" Target="http://www.konkoly.hu/cgi-bin/IBVS?6095" TargetMode="External"/><Relationship Id="rId47" Type="http://schemas.openxmlformats.org/officeDocument/2006/relationships/hyperlink" Target="http://www.bav-astro.de/sfs/BAVM_link.php?BAVMnr=238" TargetMode="External"/><Relationship Id="rId7" Type="http://schemas.openxmlformats.org/officeDocument/2006/relationships/hyperlink" Target="http://var.astro.cz/oejv/issues/oejv0074.pdf" TargetMode="External"/><Relationship Id="rId12" Type="http://schemas.openxmlformats.org/officeDocument/2006/relationships/hyperlink" Target="http://var.astro.cz/oejv/issues/oejv0074.pdf" TargetMode="External"/><Relationship Id="rId17" Type="http://schemas.openxmlformats.org/officeDocument/2006/relationships/hyperlink" Target="http://var.astro.cz/oejv/issues/oejv0074.pdf" TargetMode="External"/><Relationship Id="rId25" Type="http://schemas.openxmlformats.org/officeDocument/2006/relationships/hyperlink" Target="http://vsolj.cetus-net.org/vsoljno51.pdf" TargetMode="External"/><Relationship Id="rId33" Type="http://schemas.openxmlformats.org/officeDocument/2006/relationships/hyperlink" Target="http://var.astro.cz/oejv/issues/oejv0160.pdf" TargetMode="External"/><Relationship Id="rId38" Type="http://schemas.openxmlformats.org/officeDocument/2006/relationships/hyperlink" Target="http://www.konkoly.hu/cgi-bin/IBVS?6095" TargetMode="External"/><Relationship Id="rId46" Type="http://schemas.openxmlformats.org/officeDocument/2006/relationships/hyperlink" Target="http://www.bav-astro.de/sfs/BAVM_link.php?BAVMnr=238" TargetMode="External"/><Relationship Id="rId2" Type="http://schemas.openxmlformats.org/officeDocument/2006/relationships/hyperlink" Target="http://var.astro.cz/oejv/issues/oejv0074.pdf" TargetMode="External"/><Relationship Id="rId16" Type="http://schemas.openxmlformats.org/officeDocument/2006/relationships/hyperlink" Target="http://var.astro.cz/oejv/issues/oejv0074.pdf" TargetMode="External"/><Relationship Id="rId20" Type="http://schemas.openxmlformats.org/officeDocument/2006/relationships/hyperlink" Target="http://var.astro.cz/oejv/issues/oejv0107.pdf" TargetMode="External"/><Relationship Id="rId29" Type="http://schemas.openxmlformats.org/officeDocument/2006/relationships/hyperlink" Target="http://vsolj.cetus-net.org/vsoljno51.pdf" TargetMode="External"/><Relationship Id="rId41" Type="http://schemas.openxmlformats.org/officeDocument/2006/relationships/hyperlink" Target="http://www.konkoly.hu/cgi-bin/IBVS?6095" TargetMode="External"/><Relationship Id="rId1" Type="http://schemas.openxmlformats.org/officeDocument/2006/relationships/hyperlink" Target="http://var.astro.cz/oejv/issues/oejv0074.pdf" TargetMode="External"/><Relationship Id="rId6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www.konkoly.hu/cgi-bin/IBVS?5920" TargetMode="External"/><Relationship Id="rId32" Type="http://schemas.openxmlformats.org/officeDocument/2006/relationships/hyperlink" Target="http://www.konkoly.hu/cgi-bin/IBVS?5992" TargetMode="External"/><Relationship Id="rId37" Type="http://schemas.openxmlformats.org/officeDocument/2006/relationships/hyperlink" Target="http://var.astro.cz/oejv/issues/oejv0160.pdf" TargetMode="External"/><Relationship Id="rId40" Type="http://schemas.openxmlformats.org/officeDocument/2006/relationships/hyperlink" Target="http://www.konkoly.hu/cgi-bin/IBVS?6095" TargetMode="External"/><Relationship Id="rId45" Type="http://schemas.openxmlformats.org/officeDocument/2006/relationships/hyperlink" Target="http://vsolj.cetus-net.org/vsoljno56.pdf" TargetMode="External"/><Relationship Id="rId5" Type="http://schemas.openxmlformats.org/officeDocument/2006/relationships/hyperlink" Target="http://var.astro.cz/oejv/issues/oejv0074.pdf" TargetMode="External"/><Relationship Id="rId15" Type="http://schemas.openxmlformats.org/officeDocument/2006/relationships/hyperlink" Target="http://www.konkoly.hu/cgi-bin/IBVS?5781" TargetMode="External"/><Relationship Id="rId23" Type="http://schemas.openxmlformats.org/officeDocument/2006/relationships/hyperlink" Target="http://www.konkoly.hu/cgi-bin/IBVS?5920" TargetMode="External"/><Relationship Id="rId28" Type="http://schemas.openxmlformats.org/officeDocument/2006/relationships/hyperlink" Target="http://vsolj.cetus-net.org/vsoljno51.pdf" TargetMode="External"/><Relationship Id="rId36" Type="http://schemas.openxmlformats.org/officeDocument/2006/relationships/hyperlink" Target="http://www.konkoly.hu/cgi-bin/IBVS?6050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var.astro.cz/oejv/issues/oejv0107.pdf" TargetMode="External"/><Relationship Id="rId31" Type="http://schemas.openxmlformats.org/officeDocument/2006/relationships/hyperlink" Target="http://var.astro.cz/oejv/issues/oejv0160.pdf" TargetMode="External"/><Relationship Id="rId44" Type="http://schemas.openxmlformats.org/officeDocument/2006/relationships/hyperlink" Target="http://vsolj.cetus-net.org/vsoljno56.pdf" TargetMode="External"/><Relationship Id="rId4" Type="http://schemas.openxmlformats.org/officeDocument/2006/relationships/hyperlink" Target="http://var.astro.cz/oejv/issues/oejv0074.pdf" TargetMode="External"/><Relationship Id="rId9" Type="http://schemas.openxmlformats.org/officeDocument/2006/relationships/hyperlink" Target="http://var.astro.cz/oejv/issues/oejv0074.pdf" TargetMode="External"/><Relationship Id="rId14" Type="http://schemas.openxmlformats.org/officeDocument/2006/relationships/hyperlink" Target="http://www.konkoly.hu/cgi-bin/IBVS?5781" TargetMode="External"/><Relationship Id="rId22" Type="http://schemas.openxmlformats.org/officeDocument/2006/relationships/hyperlink" Target="http://www.konkoly.hu/cgi-bin/IBVS?5894" TargetMode="External"/><Relationship Id="rId27" Type="http://schemas.openxmlformats.org/officeDocument/2006/relationships/hyperlink" Target="http://vsolj.cetus-net.org/vsoljno51.pdf" TargetMode="External"/><Relationship Id="rId30" Type="http://schemas.openxmlformats.org/officeDocument/2006/relationships/hyperlink" Target="http://vsolj.cetus-net.org/vsoljno51.pdf" TargetMode="External"/><Relationship Id="rId35" Type="http://schemas.openxmlformats.org/officeDocument/2006/relationships/hyperlink" Target="http://www.konkoly.hu/cgi-bin/IBVS?6050" TargetMode="External"/><Relationship Id="rId43" Type="http://schemas.openxmlformats.org/officeDocument/2006/relationships/hyperlink" Target="http://var.astro.cz/oejv/issues/oejv0160.pdf" TargetMode="External"/><Relationship Id="rId48" Type="http://schemas.openxmlformats.org/officeDocument/2006/relationships/hyperlink" Target="http://www.bav-astro.de/sfs/BAVM_link.php?BAVMnr=24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9"/>
  <sheetViews>
    <sheetView tabSelected="1" workbookViewId="0">
      <pane xSplit="13" ySplit="21" topLeftCell="N96" activePane="bottomRight" state="frozen"/>
      <selection pane="topRight" activeCell="N1" sqref="N1"/>
      <selection pane="bottomLeft" activeCell="A22" sqref="A22"/>
      <selection pane="bottomRight" activeCell="G7" sqref="G7"/>
    </sheetView>
  </sheetViews>
  <sheetFormatPr defaultColWidth="10.28515625" defaultRowHeight="12.75"/>
  <cols>
    <col min="1" max="1" width="14.42578125" customWidth="1"/>
    <col min="2" max="2" width="5.140625" style="3" customWidth="1"/>
    <col min="3" max="3" width="11.85546875" customWidth="1"/>
    <col min="4" max="4" width="9.42578125" customWidth="1"/>
    <col min="5" max="5" width="13" customWidth="1"/>
    <col min="6" max="6" width="16.5703125" customWidth="1"/>
    <col min="7" max="7" width="8.140625" customWidth="1"/>
    <col min="8" max="14" width="8.5703125" customWidth="1"/>
    <col min="15" max="15" width="8" customWidth="1"/>
    <col min="16" max="16" width="9" customWidth="1"/>
    <col min="17" max="17" width="9.85546875" customWidth="1"/>
    <col min="18" max="18" width="10.28515625" customWidth="1"/>
    <col min="19" max="19" width="10.28515625" style="3" customWidth="1"/>
    <col min="32" max="33" width="12.42578125" bestFit="1" customWidth="1"/>
  </cols>
  <sheetData>
    <row r="1" spans="1:23" ht="21" thickBot="1">
      <c r="A1" s="1" t="s">
        <v>77</v>
      </c>
      <c r="E1" s="181" t="s">
        <v>367</v>
      </c>
      <c r="F1" s="181"/>
      <c r="G1" s="181"/>
      <c r="H1" s="181"/>
      <c r="I1" s="181"/>
      <c r="J1" s="182"/>
      <c r="V1" s="4" t="s">
        <v>59</v>
      </c>
      <c r="W1" s="7" t="s">
        <v>70</v>
      </c>
    </row>
    <row r="2" spans="1:23">
      <c r="A2" t="s">
        <v>72</v>
      </c>
      <c r="B2" s="135" t="s">
        <v>87</v>
      </c>
      <c r="C2" s="8" t="s">
        <v>78</v>
      </c>
      <c r="D2" s="3"/>
      <c r="V2">
        <v>-4000</v>
      </c>
      <c r="W2">
        <f t="shared" ref="W2:W20" si="0">+D$11+D$12*V2+D$13*V2^2</f>
        <v>1.1979158186131388E-3</v>
      </c>
    </row>
    <row r="3" spans="1:23" ht="13.5" thickBot="1">
      <c r="V3">
        <v>-3000</v>
      </c>
      <c r="W3">
        <f t="shared" si="0"/>
        <v>6.3692501464984741E-4</v>
      </c>
    </row>
    <row r="4" spans="1:23" ht="13.5" thickBot="1">
      <c r="A4" s="150" t="s">
        <v>50</v>
      </c>
      <c r="C4" s="151">
        <v>52463.406799999997</v>
      </c>
      <c r="D4" s="152">
        <v>0.36084699999999997</v>
      </c>
      <c r="V4">
        <v>-2000</v>
      </c>
      <c r="W4">
        <f t="shared" si="0"/>
        <v>2.5165839082481401E-4</v>
      </c>
    </row>
    <row r="5" spans="1:23">
      <c r="A5" s="13" t="s">
        <v>88</v>
      </c>
      <c r="B5" s="8"/>
      <c r="C5" s="14">
        <v>-9.5</v>
      </c>
      <c r="D5" s="8" t="s">
        <v>89</v>
      </c>
      <c r="E5" s="8"/>
      <c r="V5">
        <v>-1000</v>
      </c>
      <c r="W5">
        <f t="shared" si="0"/>
        <v>4.2115947138038672E-5</v>
      </c>
    </row>
    <row r="6" spans="1:23">
      <c r="A6" s="150" t="s">
        <v>51</v>
      </c>
      <c r="V6">
        <v>0</v>
      </c>
      <c r="W6">
        <f t="shared" si="0"/>
        <v>8.2976835895213639E-6</v>
      </c>
    </row>
    <row r="7" spans="1:23">
      <c r="A7" t="s">
        <v>52</v>
      </c>
      <c r="C7">
        <f>+C4</f>
        <v>52463.406799999997</v>
      </c>
      <c r="V7">
        <v>1000</v>
      </c>
      <c r="W7">
        <f t="shared" si="0"/>
        <v>1.502036001792621E-4</v>
      </c>
    </row>
    <row r="8" spans="1:23">
      <c r="A8" t="s">
        <v>53</v>
      </c>
      <c r="C8">
        <f>+D4</f>
        <v>0.36084699999999997</v>
      </c>
      <c r="V8">
        <v>2000</v>
      </c>
      <c r="W8">
        <f t="shared" si="0"/>
        <v>4.6783369690726081E-4</v>
      </c>
    </row>
    <row r="9" spans="1:23">
      <c r="A9" s="153" t="s">
        <v>93</v>
      </c>
      <c r="B9" s="26">
        <v>90</v>
      </c>
      <c r="C9" s="23" t="str">
        <f>"F"&amp;B9</f>
        <v>F90</v>
      </c>
      <c r="D9" s="24" t="str">
        <f>"G"&amp;B9</f>
        <v>G90</v>
      </c>
      <c r="V9">
        <v>3000</v>
      </c>
      <c r="W9">
        <f t="shared" si="0"/>
        <v>9.6118797377351772E-4</v>
      </c>
    </row>
    <row r="10" spans="1:23" ht="13.5" thickBot="1">
      <c r="A10" s="8"/>
      <c r="B10" s="8"/>
      <c r="C10" s="4" t="s">
        <v>68</v>
      </c>
      <c r="D10" s="4" t="s">
        <v>69</v>
      </c>
      <c r="E10" s="8"/>
      <c r="V10">
        <v>4000</v>
      </c>
      <c r="W10">
        <f t="shared" si="0"/>
        <v>1.6302664307780324E-3</v>
      </c>
    </row>
    <row r="11" spans="1:23">
      <c r="A11" s="8" t="s">
        <v>64</v>
      </c>
      <c r="B11" s="8"/>
      <c r="C11" s="22">
        <f ca="1">INTERCEPT(INDIRECT($D$9):INDIRECT($D$14),INDIRECT($C$9):INDIRECT($C$14))</f>
        <v>-5.2164192578277646E-2</v>
      </c>
      <c r="D11" s="3">
        <f>E11*F11</f>
        <v>8.2976835895213639E-6</v>
      </c>
      <c r="E11" s="54">
        <v>0.8297683589521363</v>
      </c>
      <c r="F11">
        <v>1.0000000000000001E-5</v>
      </c>
      <c r="H11">
        <v>52463.406808297703</v>
      </c>
      <c r="I11">
        <v>-8.3161980280082939E-3</v>
      </c>
      <c r="V11">
        <v>5000</v>
      </c>
      <c r="W11">
        <f t="shared" si="0"/>
        <v>2.4750690679208056E-3</v>
      </c>
    </row>
    <row r="12" spans="1:23">
      <c r="A12" s="8" t="s">
        <v>65</v>
      </c>
      <c r="B12" s="8"/>
      <c r="C12" s="22">
        <f ca="1">SLOPE(INDIRECT($D$9):INDIRECT($D$14),INDIRECT($C$9):INDIRECT($C$14))</f>
        <v>4.9224940944216766E-6</v>
      </c>
      <c r="D12" s="3">
        <f>E12*F12</f>
        <v>5.404382652061171E-8</v>
      </c>
      <c r="E12" s="55">
        <v>0.54043826520611715</v>
      </c>
      <c r="F12">
        <v>9.9999999999999995E-8</v>
      </c>
      <c r="H12">
        <v>0.360847054043826</v>
      </c>
      <c r="I12">
        <v>1.8186337486113741E-6</v>
      </c>
      <c r="V12">
        <v>6000</v>
      </c>
      <c r="W12">
        <f t="shared" si="0"/>
        <v>3.4955958852018365E-3</v>
      </c>
    </row>
    <row r="13" spans="1:23" ht="13.5" thickBot="1">
      <c r="A13" s="8" t="s">
        <v>67</v>
      </c>
      <c r="B13" s="8"/>
      <c r="C13" s="3" t="s">
        <v>62</v>
      </c>
      <c r="D13" s="3">
        <f>E13*F13</f>
        <v>8.7862090069129021E-11</v>
      </c>
      <c r="E13" s="56">
        <v>0.87862090069129017</v>
      </c>
      <c r="F13" s="53">
        <v>1E-10</v>
      </c>
      <c r="H13">
        <v>8.7862090069129021E-11</v>
      </c>
      <c r="V13">
        <v>7000</v>
      </c>
      <c r="W13">
        <f t="shared" si="0"/>
        <v>4.691846882621125E-3</v>
      </c>
    </row>
    <row r="14" spans="1:23">
      <c r="A14" s="112" t="s">
        <v>365</v>
      </c>
      <c r="B14" s="144">
        <v>999</v>
      </c>
      <c r="C14" s="23" t="str">
        <f>"F"&amp;B14</f>
        <v>F999</v>
      </c>
      <c r="D14" s="24" t="str">
        <f>"G"&amp;B14</f>
        <v>G999</v>
      </c>
      <c r="E14">
        <f>SUM(T21:T945)</f>
        <v>3.3420834195925053E-4</v>
      </c>
      <c r="V14">
        <v>8000</v>
      </c>
      <c r="W14">
        <f t="shared" si="0"/>
        <v>6.0638220601786719E-3</v>
      </c>
    </row>
    <row r="15" spans="1:23">
      <c r="A15" s="15" t="s">
        <v>66</v>
      </c>
      <c r="B15" s="8"/>
      <c r="C15" s="16">
        <f ca="1">(C7+C11)+(C8+C12)*INT(MAX(F21:F3528))</f>
        <v>59259.639744061191</v>
      </c>
      <c r="D15" s="24">
        <f>+C7+INT(MAX(F21:F1583))*C8+D11+D12*INT(MAX(F21:F4018))+D13*INT(MAX(F21:F4045)^2)</f>
        <v>59259.631390560688</v>
      </c>
      <c r="E15" s="17" t="s">
        <v>174</v>
      </c>
      <c r="F15" s="14">
        <v>1</v>
      </c>
      <c r="V15">
        <v>9000</v>
      </c>
      <c r="W15">
        <f t="shared" si="0"/>
        <v>7.6115214178744776E-3</v>
      </c>
    </row>
    <row r="16" spans="1:23">
      <c r="A16" s="15" t="s">
        <v>54</v>
      </c>
      <c r="B16" s="8"/>
      <c r="C16" s="16">
        <f ca="1">+C8+C12</f>
        <v>0.36085192249409437</v>
      </c>
      <c r="D16" s="24">
        <f>+C8+D12+2*D13*MAX(F21:F891)</f>
        <v>0.36085036363303524</v>
      </c>
      <c r="E16" s="17" t="s">
        <v>90</v>
      </c>
      <c r="F16" s="22">
        <f ca="1">NOW()+15018.5+$C$5/24</f>
        <v>59960.718207407408</v>
      </c>
      <c r="V16">
        <v>10000</v>
      </c>
      <c r="W16">
        <f t="shared" si="0"/>
        <v>9.3349449557085414E-3</v>
      </c>
    </row>
    <row r="17" spans="1:24" ht="13.5" thickBot="1">
      <c r="A17" s="17" t="s">
        <v>76</v>
      </c>
      <c r="B17" s="8"/>
      <c r="C17" s="8">
        <f>COUNT(C21:C2186)</f>
        <v>86</v>
      </c>
      <c r="E17" s="17" t="s">
        <v>175</v>
      </c>
      <c r="F17" s="22">
        <f ca="1">ROUND(2*(F16-$C$7)/$C$8,0)/2+F15</f>
        <v>20778</v>
      </c>
      <c r="V17">
        <v>11000</v>
      </c>
      <c r="W17">
        <f t="shared" si="0"/>
        <v>1.1234092673680862E-2</v>
      </c>
    </row>
    <row r="18" spans="1:24" ht="14.25" thickTop="1" thickBot="1">
      <c r="A18" s="150" t="s">
        <v>177</v>
      </c>
      <c r="B18"/>
      <c r="C18" s="57">
        <f ca="1">+C15</f>
        <v>59259.639744061191</v>
      </c>
      <c r="D18" s="58">
        <f ca="1">C16</f>
        <v>0.36085192249409437</v>
      </c>
      <c r="E18" s="17" t="s">
        <v>91</v>
      </c>
      <c r="F18" s="24">
        <f ca="1">ROUND(2*(F16-$C$15)/$C$16,0)/2+F15</f>
        <v>1944</v>
      </c>
      <c r="V18">
        <v>12000</v>
      </c>
      <c r="W18">
        <f t="shared" si="0"/>
        <v>1.3308964571791442E-2</v>
      </c>
    </row>
    <row r="19" spans="1:24" ht="13.5" thickBot="1">
      <c r="A19" s="150" t="s">
        <v>178</v>
      </c>
      <c r="B19"/>
      <c r="C19" s="59">
        <f>+D15</f>
        <v>59259.631390560688</v>
      </c>
      <c r="D19" s="60">
        <f>+D16</f>
        <v>0.36085036363303524</v>
      </c>
      <c r="E19" s="17" t="s">
        <v>92</v>
      </c>
      <c r="F19" s="21">
        <f ca="1">+$C$15+$C$16*F18-15018.5-$C$5/24</f>
        <v>44943.031714723045</v>
      </c>
      <c r="V19">
        <v>13000</v>
      </c>
      <c r="W19">
        <f t="shared" si="0"/>
        <v>1.5559560650040277E-2</v>
      </c>
    </row>
    <row r="20" spans="1:24" ht="15" thickBot="1">
      <c r="A20" s="4" t="s">
        <v>55</v>
      </c>
      <c r="B20" s="4" t="s">
        <v>56</v>
      </c>
      <c r="C20" s="4" t="s">
        <v>57</v>
      </c>
      <c r="D20" s="4" t="s">
        <v>61</v>
      </c>
      <c r="E20" s="4" t="s">
        <v>58</v>
      </c>
      <c r="F20" s="4" t="s">
        <v>59</v>
      </c>
      <c r="G20" s="4" t="s">
        <v>60</v>
      </c>
      <c r="H20" s="7" t="s">
        <v>190</v>
      </c>
      <c r="I20" s="7" t="s">
        <v>191</v>
      </c>
      <c r="J20" s="7" t="s">
        <v>188</v>
      </c>
      <c r="K20" s="7" t="s">
        <v>187</v>
      </c>
      <c r="L20" s="7" t="s">
        <v>73</v>
      </c>
      <c r="M20" s="7" t="s">
        <v>74</v>
      </c>
      <c r="N20" s="7" t="s">
        <v>75</v>
      </c>
      <c r="O20" s="7" t="s">
        <v>71</v>
      </c>
      <c r="P20" s="7" t="s">
        <v>70</v>
      </c>
      <c r="Q20" s="4" t="s">
        <v>63</v>
      </c>
      <c r="R20" s="61" t="s">
        <v>179</v>
      </c>
      <c r="S20" s="7" t="s">
        <v>180</v>
      </c>
      <c r="T20" s="61" t="s">
        <v>181</v>
      </c>
      <c r="U20" s="154" t="s">
        <v>361</v>
      </c>
      <c r="V20">
        <v>14000</v>
      </c>
      <c r="W20">
        <f t="shared" si="0"/>
        <v>1.7985880908427371E-2</v>
      </c>
      <c r="X20" s="4" t="s">
        <v>366</v>
      </c>
    </row>
    <row r="21" spans="1:24">
      <c r="A21" t="s">
        <v>86</v>
      </c>
      <c r="B21" s="3" t="s">
        <v>85</v>
      </c>
      <c r="C21" s="11">
        <v>51306.892599999999</v>
      </c>
      <c r="D21" s="9">
        <v>5.0000000000000001E-4</v>
      </c>
      <c r="E21">
        <f>+(C21-C$7)/C$8</f>
        <v>-3204.9987945029275</v>
      </c>
      <c r="F21">
        <f>ROUND(2*E21,0)/2</f>
        <v>-3205</v>
      </c>
      <c r="G21">
        <f>+C21-(C$7+F21*C$8)</f>
        <v>4.3500000174390152E-4</v>
      </c>
      <c r="I21">
        <f>+G21</f>
        <v>4.3500000174390152E-4</v>
      </c>
      <c r="P21">
        <f>+D$11+D$12*F21+D$13*F21^2</f>
        <v>7.3760880533330585E-4</v>
      </c>
      <c r="Q21" s="2">
        <f>+C21-15018.5</f>
        <v>36288.392599999999</v>
      </c>
      <c r="R21" s="155">
        <f>+(P21-G21)^2</f>
        <v>9.1572088009810689E-8</v>
      </c>
      <c r="S21" s="156">
        <v>1</v>
      </c>
      <c r="T21" s="155">
        <f>+S21*R21</f>
        <v>9.1572088009810689E-8</v>
      </c>
      <c r="U21" s="64"/>
      <c r="V21">
        <v>15000</v>
      </c>
      <c r="W21">
        <f>+D$11+D$12*V21+D$13*V21^2</f>
        <v>2.0587925346952727E-2</v>
      </c>
      <c r="X21">
        <f>G21-P21</f>
        <v>-3.0260880358940433E-4</v>
      </c>
    </row>
    <row r="22" spans="1:24">
      <c r="A22" t="s">
        <v>86</v>
      </c>
      <c r="B22" s="10" t="s">
        <v>80</v>
      </c>
      <c r="C22" s="11">
        <v>52411.445500000002</v>
      </c>
      <c r="D22" s="9">
        <v>2E-3</v>
      </c>
      <c r="E22">
        <f>+(C22-C$7)/C$8</f>
        <v>-143.99814879989412</v>
      </c>
      <c r="F22">
        <f>ROUND(2*E22,0)/2</f>
        <v>-144</v>
      </c>
      <c r="G22">
        <f>+C22-(C$7+F22*C$8)</f>
        <v>6.680000078631565E-4</v>
      </c>
      <c r="I22">
        <f>+G22</f>
        <v>6.680000078631565E-4</v>
      </c>
      <c r="P22">
        <f>+D$11+D$12*F22+D$13*F22^2</f>
        <v>2.3372808702267366E-6</v>
      </c>
      <c r="Q22" s="2">
        <f>+C22-15018.5</f>
        <v>37392.945500000002</v>
      </c>
      <c r="R22">
        <f>+(P22-G22)^2</f>
        <v>4.4310686610766373E-7</v>
      </c>
      <c r="S22" s="156">
        <v>0.4</v>
      </c>
      <c r="T22" s="155">
        <f>+S22*R22</f>
        <v>1.7724274644306549E-7</v>
      </c>
      <c r="V22">
        <v>16000</v>
      </c>
      <c r="W22">
        <f>+D$11+D$12*V22+D$13*V22^2</f>
        <v>2.3365693965616337E-2</v>
      </c>
      <c r="X22">
        <f>G22-P22</f>
        <v>6.6566272699292975E-4</v>
      </c>
    </row>
    <row r="23" spans="1:24">
      <c r="A23" t="s">
        <v>86</v>
      </c>
      <c r="B23" s="10" t="s">
        <v>80</v>
      </c>
      <c r="C23" s="11">
        <v>52415.4139</v>
      </c>
      <c r="D23" s="9">
        <v>2.0000000000000001E-4</v>
      </c>
      <c r="E23">
        <f>+(C23-C$7)/C$8</f>
        <v>-133.00069004314145</v>
      </c>
      <c r="F23">
        <f>ROUND(2*E23,0)/2</f>
        <v>-133</v>
      </c>
      <c r="G23">
        <f>+C23-(C$7+F23*C$8)</f>
        <v>-2.4899999698391184E-4</v>
      </c>
      <c r="I23">
        <f>+G23</f>
        <v>-2.4899999698391184E-4</v>
      </c>
      <c r="P23">
        <f>+D$11+D$12*F23+D$13*F23^2</f>
        <v>2.6640471735128295E-6</v>
      </c>
      <c r="Q23" s="2">
        <f>+C23-15018.5</f>
        <v>37396.9139</v>
      </c>
      <c r="R23">
        <f>+(P23-G23)^2</f>
        <v>6.3334791121670182E-8</v>
      </c>
      <c r="S23" s="156">
        <v>1</v>
      </c>
      <c r="T23" s="155">
        <f>+S23*R23</f>
        <v>6.3334791121670182E-8</v>
      </c>
      <c r="V23">
        <v>17000</v>
      </c>
      <c r="W23">
        <f>+D$11+D$12*V23+D$13*V23^2</f>
        <v>2.6319186764418207E-2</v>
      </c>
      <c r="X23">
        <f>G23-P23</f>
        <v>-2.5166404415742465E-4</v>
      </c>
    </row>
    <row r="24" spans="1:24">
      <c r="A24" t="s">
        <v>86</v>
      </c>
      <c r="B24" s="10" t="s">
        <v>81</v>
      </c>
      <c r="C24" s="11">
        <v>52426.4205</v>
      </c>
      <c r="D24" s="9">
        <v>2.9999999999999997E-4</v>
      </c>
      <c r="E24">
        <f>+(C24-C$7)/C$8</f>
        <v>-102.49856587417062</v>
      </c>
      <c r="F24">
        <f>ROUND(2*E24,0)/2</f>
        <v>-102.5</v>
      </c>
      <c r="G24">
        <f>+C24-(C$7+F24*C$8)</f>
        <v>5.1750000420724973E-4</v>
      </c>
      <c r="I24">
        <f>+G24</f>
        <v>5.1750000420724973E-4</v>
      </c>
      <c r="P24">
        <f>+D$11+D$12*F24+D$13*F24^2</f>
        <v>3.6812924549474506E-6</v>
      </c>
      <c r="Q24" s="2">
        <f>+C24-15018.5</f>
        <v>37407.9205</v>
      </c>
      <c r="R24">
        <f>+(P24-G24)^2</f>
        <v>2.6400966854679546E-7</v>
      </c>
      <c r="S24" s="156">
        <v>1</v>
      </c>
      <c r="T24" s="155">
        <f>+S24*R24</f>
        <v>2.6400966854679546E-7</v>
      </c>
      <c r="X24">
        <f>G24-P24</f>
        <v>5.1381871175230226E-4</v>
      </c>
    </row>
    <row r="25" spans="1:24">
      <c r="A25" t="s">
        <v>86</v>
      </c>
      <c r="B25" s="10" t="s">
        <v>80</v>
      </c>
      <c r="C25" s="11">
        <v>52442.477200000001</v>
      </c>
      <c r="D25" s="9">
        <v>8.9999999999999998E-4</v>
      </c>
      <c r="E25">
        <f>+(C25-C$7)/C$8</f>
        <v>-58.001313576102461</v>
      </c>
      <c r="F25">
        <f>ROUND(2*E25,0)/2</f>
        <v>-58</v>
      </c>
      <c r="G25">
        <f>+C25-(C$7+F25*C$8)</f>
        <v>-4.7399999311892316E-4</v>
      </c>
      <c r="I25">
        <f>+G25</f>
        <v>-4.7399999311892316E-4</v>
      </c>
      <c r="P25">
        <f>+D$11+D$12*F25+D$13*F25^2</f>
        <v>5.4587097223184355E-6</v>
      </c>
      <c r="Q25" s="2">
        <f>+C25-15018.5</f>
        <v>37423.977200000001</v>
      </c>
      <c r="R25">
        <f>+(P25-G25)^2</f>
        <v>2.2988064773020599E-7</v>
      </c>
      <c r="S25" s="156">
        <v>1</v>
      </c>
      <c r="T25" s="155">
        <f>+S25*R25</f>
        <v>2.2988064773020599E-7</v>
      </c>
      <c r="X25">
        <f>G25-P25</f>
        <v>-4.7945870284124158E-4</v>
      </c>
    </row>
    <row r="26" spans="1:24">
      <c r="A26" t="s">
        <v>86</v>
      </c>
      <c r="B26" s="10" t="s">
        <v>80</v>
      </c>
      <c r="C26" s="11">
        <v>52463.4064</v>
      </c>
      <c r="D26" s="9">
        <v>8.0000000000000004E-4</v>
      </c>
      <c r="E26">
        <f>+(C26-C$7)/C$8</f>
        <v>-1.1085030419294263E-3</v>
      </c>
      <c r="F26">
        <f>ROUND(2*E26,0)/2</f>
        <v>0</v>
      </c>
      <c r="G26">
        <f>+C26-(C$7+F26*C$8)</f>
        <v>-3.9999999717110768E-4</v>
      </c>
      <c r="I26">
        <f>+G26</f>
        <v>-3.9999999717110768E-4</v>
      </c>
      <c r="P26">
        <f>+D$11+D$12*F26+D$13*F26^2</f>
        <v>8.2976835895213639E-6</v>
      </c>
      <c r="Q26" s="2">
        <f>+C26-15018.5</f>
        <v>37444.9064</v>
      </c>
      <c r="R26">
        <f>+(P26-G26)^2</f>
        <v>1.6670699611450853E-7</v>
      </c>
      <c r="S26" s="156">
        <v>1</v>
      </c>
      <c r="T26" s="155">
        <f>+S26*R26</f>
        <v>1.6670699611450853E-7</v>
      </c>
      <c r="X26">
        <f>G26-P26</f>
        <v>-4.0829768076062903E-4</v>
      </c>
    </row>
    <row r="27" spans="1:24">
      <c r="A27" t="s">
        <v>86</v>
      </c>
      <c r="B27" s="10" t="s">
        <v>81</v>
      </c>
      <c r="C27" s="11">
        <v>52463.585700000003</v>
      </c>
      <c r="D27" s="9">
        <v>1.2999999999999999E-3</v>
      </c>
      <c r="E27">
        <f>+(C27-C$7)/C$8</f>
        <v>0.49577798902651682</v>
      </c>
      <c r="F27">
        <f>ROUND(2*E27,0)/2</f>
        <v>0.5</v>
      </c>
      <c r="G27">
        <f>+C27-(C$7+F27*C$8)</f>
        <v>-1.5234999955282547E-3</v>
      </c>
      <c r="I27">
        <f>+G27</f>
        <v>-1.5234999955282547E-3</v>
      </c>
      <c r="P27">
        <f>+D$11+D$12*F27+D$13*F27^2</f>
        <v>8.3247274683041867E-6</v>
      </c>
      <c r="Q27" s="2">
        <f>+C27-15018.5</f>
        <v>37445.085700000003</v>
      </c>
      <c r="R27">
        <f>+(P27-G27)^2</f>
        <v>2.3464869819834844E-6</v>
      </c>
      <c r="S27" s="156">
        <v>0.7</v>
      </c>
      <c r="T27" s="155">
        <f>+S27*R27</f>
        <v>1.6425408873884391E-6</v>
      </c>
      <c r="X27">
        <f>G27-P27</f>
        <v>-1.5318247229965589E-3</v>
      </c>
    </row>
    <row r="28" spans="1:24">
      <c r="A28" s="145" t="s">
        <v>86</v>
      </c>
      <c r="B28" s="157" t="s">
        <v>81</v>
      </c>
      <c r="C28" s="158">
        <v>52475.495300000002</v>
      </c>
      <c r="D28" s="159">
        <v>5.9999999999999995E-4</v>
      </c>
      <c r="E28">
        <f>+(C28-C$7)/C$8</f>
        <v>33.500347792846547</v>
      </c>
      <c r="F28">
        <f>ROUND(2*E28,0)/2</f>
        <v>33.5</v>
      </c>
      <c r="G28">
        <f>+C28-(C$7+F28*C$8)</f>
        <v>1.2550000246847048E-4</v>
      </c>
      <c r="I28">
        <f>+G28</f>
        <v>1.2550000246847048E-4</v>
      </c>
      <c r="P28">
        <f>+D$11+D$12*F28+D$13*F28^2</f>
        <v>1.0206755008541936E-5</v>
      </c>
      <c r="Q28" s="2">
        <f>+C28-15018.5</f>
        <v>37456.995300000002</v>
      </c>
      <c r="R28">
        <f>+(P28-G28)^2</f>
        <v>1.3292532909856321E-8</v>
      </c>
      <c r="S28" s="156">
        <v>1</v>
      </c>
      <c r="T28" s="155">
        <f>+S28*R28</f>
        <v>1.3292532909856321E-8</v>
      </c>
      <c r="X28">
        <f>G28-P28</f>
        <v>1.1529324745992855E-4</v>
      </c>
    </row>
    <row r="29" spans="1:24">
      <c r="A29" s="145" t="s">
        <v>86</v>
      </c>
      <c r="B29" s="157" t="s">
        <v>81</v>
      </c>
      <c r="C29" s="158">
        <v>52483.434399999998</v>
      </c>
      <c r="D29" s="159">
        <v>8.0000000000000004E-4</v>
      </c>
      <c r="E29">
        <f>+(C29-C$7)/C$8</f>
        <v>55.501639198888334</v>
      </c>
      <c r="F29">
        <f>ROUND(2*E29,0)/2</f>
        <v>55.5</v>
      </c>
      <c r="G29">
        <f>+C29-(C$7+F29*C$8)</f>
        <v>5.9150000015506521E-4</v>
      </c>
      <c r="I29">
        <f>+G29</f>
        <v>5.9150000015506521E-4</v>
      </c>
      <c r="P29">
        <f>+D$11+D$12*F29+D$13*F29^2</f>
        <v>1.1567753164350749E-5</v>
      </c>
      <c r="Q29" s="2">
        <f>+C29-15018.5</f>
        <v>37464.934399999998</v>
      </c>
      <c r="R29">
        <f>+(P29-G29)^2</f>
        <v>3.3632141109969903E-7</v>
      </c>
      <c r="S29" s="156">
        <v>1</v>
      </c>
      <c r="T29" s="155">
        <f>+S29*R29</f>
        <v>3.3632141109969903E-7</v>
      </c>
      <c r="X29">
        <f>G29-P29</f>
        <v>5.7993224699071446E-4</v>
      </c>
    </row>
    <row r="30" spans="1:24">
      <c r="A30" s="145" t="s">
        <v>84</v>
      </c>
      <c r="B30" s="160" t="s">
        <v>81</v>
      </c>
      <c r="C30" s="159">
        <v>52746.491399999999</v>
      </c>
      <c r="D30" s="159">
        <v>8.0000000000000004E-4</v>
      </c>
      <c r="E30">
        <f>+(C30-C$7)/C$8</f>
        <v>784.50035610661018</v>
      </c>
      <c r="F30">
        <f>ROUND(2*E30,0)/2</f>
        <v>784.5</v>
      </c>
      <c r="G30">
        <f>+C30-(C$7+F30*C$8)</f>
        <v>1.2850000348407775E-4</v>
      </c>
      <c r="I30">
        <f>+G30</f>
        <v>1.2850000348407775E-4</v>
      </c>
      <c r="P30">
        <f>+D$11+D$12*F30+D$13*F30^2</f>
        <v>1.0476893217260854E-4</v>
      </c>
      <c r="Q30" s="2">
        <f>+C30-15018.5</f>
        <v>37727.991399999999</v>
      </c>
      <c r="R30">
        <f>+(P30-G30)^2</f>
        <v>5.6316374559003722E-10</v>
      </c>
      <c r="S30" s="156">
        <v>1</v>
      </c>
      <c r="T30" s="155">
        <f>+S30*R30</f>
        <v>5.6316374559003722E-10</v>
      </c>
      <c r="X30">
        <f>G30-P30</f>
        <v>2.3731071311469215E-5</v>
      </c>
    </row>
    <row r="31" spans="1:24">
      <c r="A31" s="145" t="s">
        <v>83</v>
      </c>
      <c r="B31" s="160" t="s">
        <v>81</v>
      </c>
      <c r="C31" s="159">
        <v>53096.512699999999</v>
      </c>
      <c r="D31" s="159">
        <v>1.1000000000000001E-3</v>
      </c>
      <c r="E31">
        <f>+(C31-C$7)/C$8</f>
        <v>1754.4995524419001</v>
      </c>
      <c r="F31">
        <f>ROUND(2*E31,0)/2</f>
        <v>1754.5</v>
      </c>
      <c r="G31">
        <f>+C31-(C$7+F31*C$8)</f>
        <v>-1.6150000010384247E-4</v>
      </c>
      <c r="I31">
        <f>+G31</f>
        <v>-1.6150000010384247E-4</v>
      </c>
      <c r="P31">
        <f>+D$11+D$12*F31+D$13*F31^2</f>
        <v>3.7358083518255493E-4</v>
      </c>
      <c r="Q31" s="2">
        <f>+C31-15018.5</f>
        <v>38078.012699999999</v>
      </c>
      <c r="R31">
        <f>+(P31-G31)^2</f>
        <v>2.8631150029078876E-7</v>
      </c>
      <c r="S31" s="156">
        <v>0.7</v>
      </c>
      <c r="T31" s="155">
        <f>+S31*R31</f>
        <v>2.0041805020355211E-7</v>
      </c>
      <c r="X31">
        <f>G31-P31</f>
        <v>-5.350808352863974E-4</v>
      </c>
    </row>
    <row r="32" spans="1:24">
      <c r="A32" s="161" t="s">
        <v>96</v>
      </c>
      <c r="B32" s="162" t="s">
        <v>80</v>
      </c>
      <c r="C32" s="161">
        <v>53185.461900000002</v>
      </c>
      <c r="D32" s="161" t="s">
        <v>97</v>
      </c>
      <c r="E32">
        <f>+(C32-C$7)/C$8</f>
        <v>2001.000701128193</v>
      </c>
      <c r="F32">
        <f>ROUND(2*E32,0)/2</f>
        <v>2001</v>
      </c>
      <c r="G32">
        <f>+C32-(C$7+F32*C$8)</f>
        <v>2.5300000561401248E-4</v>
      </c>
      <c r="K32">
        <f>+G32</f>
        <v>2.5300000561401248E-4</v>
      </c>
      <c r="P32">
        <f>+D$11+D$12*F32+D$13*F32^2</f>
        <v>4.6823927695614803E-4</v>
      </c>
      <c r="Q32" s="2">
        <f>+C32-15018.5</f>
        <v>38166.961900000002</v>
      </c>
      <c r="R32">
        <f>+(P32-G32)^2</f>
        <v>4.6327943927893453E-8</v>
      </c>
      <c r="S32" s="156">
        <v>1</v>
      </c>
      <c r="T32" s="155">
        <f>+S32*R32</f>
        <v>4.6327943927893453E-8</v>
      </c>
      <c r="X32">
        <f>G32-P32</f>
        <v>-2.1523927134213555E-4</v>
      </c>
    </row>
    <row r="33" spans="1:32">
      <c r="A33" s="161" t="s">
        <v>96</v>
      </c>
      <c r="B33" s="162" t="s">
        <v>80</v>
      </c>
      <c r="C33" s="161">
        <v>53233.45248</v>
      </c>
      <c r="D33" s="161" t="s">
        <v>98</v>
      </c>
      <c r="E33">
        <f>+(C33-C$7)/C$8</f>
        <v>2133.9949618536471</v>
      </c>
      <c r="F33">
        <f>ROUND(2*E33,0)/2</f>
        <v>2134</v>
      </c>
      <c r="G33">
        <f>+C33-(C$7+F33*C$8)</f>
        <v>-1.817999997001607E-3</v>
      </c>
      <c r="K33">
        <f>+G33</f>
        <v>-1.817999997001607E-3</v>
      </c>
      <c r="P33">
        <f>+D$11+D$12*F33+D$13*F33^2</f>
        <v>5.2374730162735729E-4</v>
      </c>
      <c r="Q33" s="2">
        <f>+C33-15018.5</f>
        <v>38214.95248</v>
      </c>
      <c r="R33">
        <f>+(P33-G33)^2</f>
        <v>5.4837804106360521E-6</v>
      </c>
      <c r="S33" s="156">
        <v>1</v>
      </c>
      <c r="T33" s="155">
        <f>+S33*R33</f>
        <v>5.4837804106360521E-6</v>
      </c>
      <c r="X33">
        <f>G33-P33</f>
        <v>-2.3417472986289644E-3</v>
      </c>
    </row>
    <row r="34" spans="1:32">
      <c r="A34" s="161" t="s">
        <v>96</v>
      </c>
      <c r="B34" s="162" t="s">
        <v>80</v>
      </c>
      <c r="C34" s="161">
        <v>53237.423790000001</v>
      </c>
      <c r="D34" s="161" t="s">
        <v>99</v>
      </c>
      <c r="E34">
        <f>+(C34-C$7)/C$8</f>
        <v>2145.0004849700949</v>
      </c>
      <c r="F34">
        <f>ROUND(2*E34,0)/2</f>
        <v>2145</v>
      </c>
      <c r="G34">
        <f>+C34-(C$7+F34*C$8)</f>
        <v>1.7500000103609636E-4</v>
      </c>
      <c r="K34">
        <f>+G34</f>
        <v>1.7500000103609636E-4</v>
      </c>
      <c r="P34">
        <f>+D$11+D$12*F34+D$13*F34^2</f>
        <v>5.2847736443654785E-4</v>
      </c>
      <c r="Q34" s="2">
        <f>+C34-15018.5</f>
        <v>38218.923790000001</v>
      </c>
      <c r="R34">
        <f>+(P34-G34)^2</f>
        <v>1.2494624643653485E-7</v>
      </c>
      <c r="S34" s="156">
        <v>1</v>
      </c>
      <c r="T34" s="155">
        <f>+S34*R34</f>
        <v>1.2494624643653485E-7</v>
      </c>
      <c r="X34">
        <f>G34-P34</f>
        <v>-3.5347736340045149E-4</v>
      </c>
    </row>
    <row r="35" spans="1:32">
      <c r="A35" s="161" t="s">
        <v>96</v>
      </c>
      <c r="B35" s="162" t="s">
        <v>81</v>
      </c>
      <c r="C35" s="161">
        <v>53510.404820000003</v>
      </c>
      <c r="D35" s="161" t="s">
        <v>99</v>
      </c>
      <c r="E35">
        <f>+(C35-C$7)/C$8</f>
        <v>2901.5012456803202</v>
      </c>
      <c r="F35">
        <f>ROUND(2*E35,0)/2</f>
        <v>2901.5</v>
      </c>
      <c r="G35">
        <f>+C35-(C$7+F35*C$8)</f>
        <v>4.4950000301469117E-4</v>
      </c>
      <c r="K35">
        <f>+G35</f>
        <v>4.4950000301469117E-4</v>
      </c>
      <c r="P35">
        <f>+D$11+D$12*F35+D$13*F35^2</f>
        <v>9.0479062159375535E-4</v>
      </c>
      <c r="Q35" s="2">
        <f>+C35-15018.5</f>
        <v>38491.904820000003</v>
      </c>
      <c r="R35">
        <f>+(P35-G35)^2</f>
        <v>2.0728954736610691E-7</v>
      </c>
      <c r="S35" s="156">
        <v>1</v>
      </c>
      <c r="T35" s="155">
        <f>+S35*R35</f>
        <v>2.0728954736610691E-7</v>
      </c>
      <c r="X35">
        <f>G35-P35</f>
        <v>-4.5529061857906418E-4</v>
      </c>
    </row>
    <row r="36" spans="1:32">
      <c r="A36" s="161" t="s">
        <v>96</v>
      </c>
      <c r="B36" s="162" t="s">
        <v>80</v>
      </c>
      <c r="C36" s="161">
        <v>53512.388890000002</v>
      </c>
      <c r="D36" s="161" t="s">
        <v>99</v>
      </c>
      <c r="E36">
        <f>+(C36-C$7)/C$8</f>
        <v>2906.9996147952043</v>
      </c>
      <c r="F36">
        <f>ROUND(2*E36,0)/2</f>
        <v>2907</v>
      </c>
      <c r="G36">
        <f>+C36-(C$7+F36*C$8)</f>
        <v>-1.3899999612476677E-4</v>
      </c>
      <c r="K36">
        <f>+G36</f>
        <v>-1.3899999612476677E-4</v>
      </c>
      <c r="P36">
        <f>+D$11+D$12*F36+D$13*F36^2</f>
        <v>9.0789477086553462E-4</v>
      </c>
      <c r="Q36" s="2">
        <f>+C36-15018.5</f>
        <v>38493.888890000002</v>
      </c>
      <c r="R36">
        <f>+(P36-G36)^2</f>
        <v>1.0959886531516773E-6</v>
      </c>
      <c r="S36" s="156">
        <v>1</v>
      </c>
      <c r="T36" s="155">
        <f>+S36*R36</f>
        <v>1.0959886531516773E-6</v>
      </c>
      <c r="X36">
        <f>G36-P36</f>
        <v>-1.0468947669903014E-3</v>
      </c>
    </row>
    <row r="37" spans="1:32">
      <c r="A37" s="161" t="s">
        <v>96</v>
      </c>
      <c r="B37" s="162" t="s">
        <v>80</v>
      </c>
      <c r="C37" s="161">
        <v>53516.359109999998</v>
      </c>
      <c r="D37" s="161" t="s">
        <v>99</v>
      </c>
      <c r="E37">
        <f>+(C37-C$7)/C$8</f>
        <v>2918.0021172408269</v>
      </c>
      <c r="F37">
        <f>ROUND(2*E37,0)/2</f>
        <v>2918</v>
      </c>
      <c r="G37">
        <f>+C37-(C$7+F37*C$8)</f>
        <v>7.6400000398280099E-4</v>
      </c>
      <c r="K37">
        <f>+G37</f>
        <v>7.6400000398280099E-4</v>
      </c>
      <c r="P37">
        <f>+D$11+D$12*F37+D$13*F37^2</f>
        <v>9.1411901637844083E-4</v>
      </c>
      <c r="Q37" s="2">
        <f>+C37-15018.5</f>
        <v>38497.859109999998</v>
      </c>
      <c r="R37">
        <f>+(P37-G37)^2</f>
        <v>2.2535717882642268E-8</v>
      </c>
      <c r="S37" s="156">
        <v>1</v>
      </c>
      <c r="T37" s="155">
        <f>+S37*R37</f>
        <v>2.2535717882642268E-8</v>
      </c>
      <c r="X37">
        <f>G37-P37</f>
        <v>-1.5011901239563984E-4</v>
      </c>
    </row>
    <row r="38" spans="1:32">
      <c r="A38" s="145" t="s">
        <v>82</v>
      </c>
      <c r="B38" s="160" t="s">
        <v>80</v>
      </c>
      <c r="C38" s="159">
        <v>53612.345200000003</v>
      </c>
      <c r="D38" s="159">
        <v>1E-3</v>
      </c>
      <c r="E38">
        <f>+(C38-C$7)/C$8</f>
        <v>3184.0043009918509</v>
      </c>
      <c r="F38">
        <f>ROUND(2*E38,0)/2</f>
        <v>3184</v>
      </c>
      <c r="G38">
        <f>+C38-(C$7+F38*C$8)</f>
        <v>1.5520000088145025E-3</v>
      </c>
      <c r="I38">
        <f>+G38</f>
        <v>1.5520000088145025E-3</v>
      </c>
      <c r="P38">
        <f>+D$11+D$12*F38+D$13*F38^2</f>
        <v>1.0711064442110092E-3</v>
      </c>
      <c r="Q38" s="2">
        <f>+C38-15018.5</f>
        <v>38593.845200000003</v>
      </c>
      <c r="R38">
        <f>+(P38-G38)^2</f>
        <v>2.3125862047705421E-7</v>
      </c>
      <c r="S38" s="156">
        <v>0.7</v>
      </c>
      <c r="T38" s="155">
        <f>+S38*R38</f>
        <v>1.6188103433393793E-7</v>
      </c>
      <c r="X38">
        <f>G38-P38</f>
        <v>4.8089356460349333E-4</v>
      </c>
    </row>
    <row r="39" spans="1:32">
      <c r="A39" s="145" t="s">
        <v>82</v>
      </c>
      <c r="B39" s="160" t="s">
        <v>81</v>
      </c>
      <c r="C39" s="159">
        <v>53612.525600000001</v>
      </c>
      <c r="D39" s="159">
        <v>6.9999999999999999E-4</v>
      </c>
      <c r="E39">
        <f>+(C39-C$7)/C$8</f>
        <v>3184.5042358672899</v>
      </c>
      <c r="F39">
        <f>ROUND(2*E39,0)/2</f>
        <v>3184.5</v>
      </c>
      <c r="G39">
        <f>+C39-(C$7+F39*C$8)</f>
        <v>1.5285000044968911E-3</v>
      </c>
      <c r="I39">
        <f>+G39</f>
        <v>1.5285000044968911E-3</v>
      </c>
      <c r="P39">
        <f>+D$11+D$12*F39+D$13*F39^2</f>
        <v>1.0714132409845719E-3</v>
      </c>
      <c r="Q39" s="2">
        <f>+C39-15018.5</f>
        <v>38594.025600000001</v>
      </c>
      <c r="R39">
        <f>+(P39-G39)^2</f>
        <v>2.0892830937816674E-7</v>
      </c>
      <c r="S39" s="156">
        <v>1</v>
      </c>
      <c r="T39" s="155">
        <f>+S39*R39</f>
        <v>2.0892830937816674E-7</v>
      </c>
      <c r="X39">
        <f>G39-P39</f>
        <v>4.5708676351231912E-4</v>
      </c>
    </row>
    <row r="40" spans="1:32">
      <c r="A40" s="161" t="s">
        <v>96</v>
      </c>
      <c r="B40" s="162" t="s">
        <v>81</v>
      </c>
      <c r="C40" s="161">
        <v>53636.341209999999</v>
      </c>
      <c r="D40" s="161" t="s">
        <v>99</v>
      </c>
      <c r="E40">
        <f>+(C40-C$7)/C$8</f>
        <v>3250.5034266600574</v>
      </c>
      <c r="F40">
        <f>ROUND(2*E40,0)/2</f>
        <v>3250.5</v>
      </c>
      <c r="G40">
        <f>+C40-(C$7+F40*C$8)</f>
        <v>1.2365000002318993E-3</v>
      </c>
      <c r="K40">
        <f>+G40</f>
        <v>1.2365000002318993E-3</v>
      </c>
      <c r="P40">
        <f>+D$11+D$12*F40+D$13*F40^2</f>
        <v>1.1122960418081921E-3</v>
      </c>
      <c r="Q40" s="2">
        <f>+C40-15018.5</f>
        <v>38617.841209999999</v>
      </c>
      <c r="R40">
        <f>+(P40-G40)^2</f>
        <v>1.5426623288117981E-8</v>
      </c>
      <c r="S40" s="156">
        <v>1</v>
      </c>
      <c r="T40" s="155">
        <f>+S40*R40</f>
        <v>1.5426623288117981E-8</v>
      </c>
      <c r="X40">
        <f>G40-P40</f>
        <v>1.2420395842370718E-4</v>
      </c>
    </row>
    <row r="41" spans="1:32">
      <c r="A41" s="161" t="s">
        <v>96</v>
      </c>
      <c r="B41" s="162" t="s">
        <v>80</v>
      </c>
      <c r="C41" s="161">
        <v>53638.325799999999</v>
      </c>
      <c r="D41" s="161" t="s">
        <v>98</v>
      </c>
      <c r="E41">
        <f>+(C41-C$7)/C$8</f>
        <v>3256.0032368289103</v>
      </c>
      <c r="F41">
        <f>ROUND(2*E41,0)/2</f>
        <v>3256</v>
      </c>
      <c r="G41">
        <f>+C41-(C$7+F41*C$8)</f>
        <v>1.1680000025080517E-3</v>
      </c>
      <c r="K41">
        <f>+G41</f>
        <v>1.1680000025080517E-3</v>
      </c>
      <c r="P41">
        <f>+D$11+D$12*F41+D$13*F41^2</f>
        <v>1.1157374936437469E-3</v>
      </c>
      <c r="Q41" s="2">
        <f>+C41-15018.5</f>
        <v>38619.825799999999</v>
      </c>
      <c r="R41">
        <f>+(P41-G41)^2</f>
        <v>2.7313698327915407E-9</v>
      </c>
      <c r="S41" s="156">
        <v>1</v>
      </c>
      <c r="T41" s="155">
        <f>+S41*R41</f>
        <v>2.7313698327915407E-9</v>
      </c>
      <c r="X41">
        <f>G41-P41</f>
        <v>5.2262508864304828E-5</v>
      </c>
    </row>
    <row r="42" spans="1:32">
      <c r="A42" s="161" t="s">
        <v>96</v>
      </c>
      <c r="B42" s="162" t="s">
        <v>80</v>
      </c>
      <c r="C42" s="161">
        <v>53815.501389999998</v>
      </c>
      <c r="D42" s="161" t="s">
        <v>99</v>
      </c>
      <c r="E42">
        <f>+(C42-C$7)/C$8</f>
        <v>3747.0024414779691</v>
      </c>
      <c r="F42">
        <f>ROUND(2*E42,0)/2</f>
        <v>3747</v>
      </c>
      <c r="G42">
        <f>+C42-(C$7+F42*C$8)</f>
        <v>8.8099999993573874E-4</v>
      </c>
      <c r="K42">
        <f>+G42</f>
        <v>8.8099999993573874E-4</v>
      </c>
      <c r="P42">
        <f>+D$11+D$12*F42+D$13*F42^2</f>
        <v>1.4443844368916354E-3</v>
      </c>
      <c r="Q42" s="2">
        <f>+C42-15018.5</f>
        <v>38797.001389999998</v>
      </c>
      <c r="R42">
        <f>+(P42-G42)^2</f>
        <v>3.1740202380411273E-7</v>
      </c>
      <c r="S42" s="156">
        <v>1</v>
      </c>
      <c r="T42" s="155">
        <f>+S42*R42</f>
        <v>3.1740202380411273E-7</v>
      </c>
      <c r="X42">
        <f>G42-P42</f>
        <v>-5.633844369558967E-4</v>
      </c>
    </row>
    <row r="43" spans="1:32">
      <c r="A43" s="161" t="s">
        <v>96</v>
      </c>
      <c r="B43" s="162" t="s">
        <v>80</v>
      </c>
      <c r="C43" s="161">
        <v>53832.461340000002</v>
      </c>
      <c r="D43" s="161" t="s">
        <v>97</v>
      </c>
      <c r="E43">
        <f>+(C43-C$7)/C$8</f>
        <v>3794.0028322253052</v>
      </c>
      <c r="F43">
        <f>ROUND(2*E43,0)/2</f>
        <v>3794</v>
      </c>
      <c r="G43">
        <f>+C43-(C$7+F43*C$8)</f>
        <v>1.0220000040135346E-3</v>
      </c>
      <c r="K43">
        <f>+G43</f>
        <v>1.0220000040135346E-3</v>
      </c>
      <c r="P43">
        <f>+D$11+D$12*F43+D$13*F43^2</f>
        <v>1.4780651937350356E-3</v>
      </c>
      <c r="Q43" s="2">
        <f>+C43-15018.5</f>
        <v>38813.961340000002</v>
      </c>
      <c r="R43">
        <f>+(P43-G43)^2</f>
        <v>2.0799545727570866E-7</v>
      </c>
      <c r="S43" s="156">
        <v>1</v>
      </c>
      <c r="T43" s="155">
        <f>+S43*R43</f>
        <v>2.0799545727570866E-7</v>
      </c>
      <c r="X43">
        <f>G43-P43</f>
        <v>-4.5606518972150095E-4</v>
      </c>
    </row>
    <row r="44" spans="1:32">
      <c r="A44" s="161" t="s">
        <v>96</v>
      </c>
      <c r="B44" s="162" t="s">
        <v>81</v>
      </c>
      <c r="C44" s="161">
        <v>53834.447569999997</v>
      </c>
      <c r="D44" s="161" t="s">
        <v>98</v>
      </c>
      <c r="E44">
        <f>+(C44-C$7)/C$8</f>
        <v>3799.5071872566482</v>
      </c>
      <c r="F44">
        <f>ROUND(2*E44,0)/2</f>
        <v>3799.5</v>
      </c>
      <c r="G44">
        <f>+C44-(C$7+F44*C$8)</f>
        <v>2.5935000012395903E-3</v>
      </c>
      <c r="K44">
        <f>+G44</f>
        <v>2.5935000012395903E-3</v>
      </c>
      <c r="P44">
        <f>+D$11+D$12*F44+D$13*F44^2</f>
        <v>1.4820319290760684E-3</v>
      </c>
      <c r="Q44" s="2">
        <f>+C44-15018.5</f>
        <v>38815.947569999997</v>
      </c>
      <c r="R44">
        <f>+(P44-G44)^2</f>
        <v>1.2353612754388959E-6</v>
      </c>
      <c r="S44" s="156">
        <v>1</v>
      </c>
      <c r="T44" s="155">
        <f>+S44*R44</f>
        <v>1.2353612754388959E-6</v>
      </c>
      <c r="X44">
        <f>G44-P44</f>
        <v>1.1114680721635219E-3</v>
      </c>
    </row>
    <row r="45" spans="1:32">
      <c r="A45" s="161" t="s">
        <v>96</v>
      </c>
      <c r="B45" s="162" t="s">
        <v>80</v>
      </c>
      <c r="C45" s="161">
        <v>53923.395060000003</v>
      </c>
      <c r="D45" s="161" t="s">
        <v>99</v>
      </c>
      <c r="E45">
        <f>+(C45-C$7)/C$8</f>
        <v>4046.0035970924123</v>
      </c>
      <c r="F45">
        <f>ROUND(2*E45,0)/2</f>
        <v>4046</v>
      </c>
      <c r="G45">
        <f>+C45-(C$7+F45*C$8)</f>
        <v>1.2980000028619543E-3</v>
      </c>
      <c r="K45">
        <f>+G45</f>
        <v>1.2980000028619543E-3</v>
      </c>
      <c r="P45">
        <f>+D$11+D$12*F45+D$13*F45^2</f>
        <v>1.6652716121260064E-3</v>
      </c>
      <c r="Q45" s="2">
        <f>+C45-15018.5</f>
        <v>38904.895060000003</v>
      </c>
      <c r="R45">
        <f>+(P45-G45)^2</f>
        <v>1.348884349714066E-7</v>
      </c>
      <c r="S45" s="156">
        <v>1</v>
      </c>
      <c r="T45" s="155">
        <f>+S45*R45</f>
        <v>1.348884349714066E-7</v>
      </c>
      <c r="X45">
        <f>G45-P45</f>
        <v>-3.6727160926405215E-4</v>
      </c>
    </row>
    <row r="46" spans="1:32">
      <c r="A46" s="161" t="s">
        <v>96</v>
      </c>
      <c r="B46" s="162" t="s">
        <v>81</v>
      </c>
      <c r="C46" s="161">
        <v>53991.415439999997</v>
      </c>
      <c r="D46" s="161" t="s">
        <v>97</v>
      </c>
      <c r="E46">
        <f>+(C46-C$7)/C$8</f>
        <v>4234.505593783515</v>
      </c>
      <c r="F46">
        <f>ROUND(2*E46,0)/2</f>
        <v>4234.5</v>
      </c>
      <c r="G46">
        <f>+C46-(C$7+F46*C$8)</f>
        <v>2.0185000030323863E-3</v>
      </c>
      <c r="K46">
        <f>+G46</f>
        <v>2.0185000030323863E-3</v>
      </c>
      <c r="P46">
        <f>+D$11+D$12*F46+D$13*F46^2</f>
        <v>1.812600547365226E-3</v>
      </c>
      <c r="Q46" s="2">
        <f>+C46-15018.5</f>
        <v>38972.915439999997</v>
      </c>
      <c r="R46">
        <f>+(P46-G46)^2</f>
        <v>4.2394585844032916E-8</v>
      </c>
      <c r="S46" s="156">
        <v>1</v>
      </c>
      <c r="T46" s="155">
        <f>+S46*R46</f>
        <v>4.2394585844032916E-8</v>
      </c>
      <c r="X46">
        <f>G46-P46</f>
        <v>2.0589945566716031E-4</v>
      </c>
    </row>
    <row r="47" spans="1:32">
      <c r="A47" s="145" t="s">
        <v>79</v>
      </c>
      <c r="B47" s="160" t="s">
        <v>80</v>
      </c>
      <c r="C47" s="159">
        <v>54002.4182</v>
      </c>
      <c r="D47" s="159">
        <v>1E-3</v>
      </c>
      <c r="E47">
        <f>+(C47-C$7)/C$8</f>
        <v>4264.997076323215</v>
      </c>
      <c r="F47">
        <f>ROUND(2*E47,0)/2</f>
        <v>4265</v>
      </c>
      <c r="I47" s="24"/>
      <c r="O47">
        <f ca="1">+C$11+C$12*$F47</f>
        <v>-3.1169755265569195E-2</v>
      </c>
      <c r="P47">
        <f>+D$11+D$12*F47+D$13*F47^2</f>
        <v>1.8370257910276526E-3</v>
      </c>
      <c r="Q47" s="2">
        <f>+C47-15018.5</f>
        <v>38983.9182</v>
      </c>
      <c r="R47">
        <f>+(P47-G47)^2</f>
        <v>3.3746637569007728E-6</v>
      </c>
      <c r="S47" s="156">
        <v>0</v>
      </c>
      <c r="T47" s="155">
        <f>+S47*R47</f>
        <v>0</v>
      </c>
      <c r="X47">
        <f>G47-P47</f>
        <v>-1.8370257910276526E-3</v>
      </c>
    </row>
    <row r="48" spans="1:32">
      <c r="A48" s="145" t="s">
        <v>79</v>
      </c>
      <c r="B48" s="160" t="s">
        <v>81</v>
      </c>
      <c r="C48" s="159">
        <v>54210.450499999999</v>
      </c>
      <c r="D48" s="159">
        <v>2.0000000000000001E-4</v>
      </c>
      <c r="E48">
        <f>+(C48-C$7)/C$8</f>
        <v>4841.5081738243689</v>
      </c>
      <c r="F48">
        <f>ROUND(2*E48,0)/2</f>
        <v>4841.5</v>
      </c>
      <c r="G48">
        <f>+C48-(C$7+F48*C$8)</f>
        <v>2.9495000053429976E-3</v>
      </c>
      <c r="I48">
        <f>+G48</f>
        <v>2.9495000053429976E-3</v>
      </c>
      <c r="O48">
        <f ca="1">+C$11+C$12*$F48</f>
        <v>-2.8331937420135098E-2</v>
      </c>
      <c r="P48">
        <f>+D$11+D$12*F48+D$13*F48^2</f>
        <v>2.3294490020499582E-3</v>
      </c>
      <c r="Q48" s="2">
        <f>+C48-15018.5</f>
        <v>39191.950499999999</v>
      </c>
      <c r="R48">
        <f>+(P48-G48)^2</f>
        <v>3.8446324668470476E-7</v>
      </c>
      <c r="S48" s="156">
        <v>1</v>
      </c>
      <c r="T48" s="155">
        <f>+S48*R48</f>
        <v>3.8446324668470476E-7</v>
      </c>
      <c r="X48">
        <f>G48-P48</f>
        <v>6.2005100329303939E-4</v>
      </c>
      <c r="AE48" t="s">
        <v>6</v>
      </c>
      <c r="AF48">
        <v>-8.3161980280082939E-3</v>
      </c>
    </row>
    <row r="49" spans="1:42">
      <c r="A49" s="161" t="s">
        <v>96</v>
      </c>
      <c r="B49" s="162" t="s">
        <v>81</v>
      </c>
      <c r="C49" s="161">
        <v>54240.400130000002</v>
      </c>
      <c r="D49" s="161">
        <v>1E-4</v>
      </c>
      <c r="E49">
        <f>+(C49-C$7)/C$8</f>
        <v>4924.5063143105108</v>
      </c>
      <c r="F49">
        <f>ROUND(2*E49,0)/2</f>
        <v>4924.5</v>
      </c>
      <c r="G49">
        <f>+C49-(C$7+F49*C$8)</f>
        <v>2.2785000037401915E-3</v>
      </c>
      <c r="K49">
        <f>+G49</f>
        <v>2.2785000037401915E-3</v>
      </c>
      <c r="O49">
        <f ca="1">+C$11+C$12*$F49</f>
        <v>-2.79233704102981E-2</v>
      </c>
      <c r="P49">
        <f>+D$11+D$12*F49+D$13*F49^2</f>
        <v>2.4051537168952235E-3</v>
      </c>
      <c r="Q49" s="2">
        <f>+C49-15018.5</f>
        <v>39221.900130000002</v>
      </c>
      <c r="R49">
        <f>+(P49-G49)^2</f>
        <v>1.6041163055957124E-8</v>
      </c>
      <c r="S49" s="156">
        <v>1</v>
      </c>
      <c r="T49" s="155">
        <f>+S49*R49</f>
        <v>1.6041163055957124E-8</v>
      </c>
      <c r="X49">
        <f>G49-P49</f>
        <v>-1.26653713155032E-4</v>
      </c>
      <c r="AE49" t="s">
        <v>7</v>
      </c>
      <c r="AF49">
        <v>1.8186337486113741E-6</v>
      </c>
    </row>
    <row r="50" spans="1:42">
      <c r="A50" s="161" t="s">
        <v>96</v>
      </c>
      <c r="B50" s="162" t="s">
        <v>81</v>
      </c>
      <c r="C50" s="161">
        <v>54240.400329999997</v>
      </c>
      <c r="D50" s="161">
        <v>2.0000000000000001E-4</v>
      </c>
      <c r="E50">
        <f>+(C50-C$7)/C$8</f>
        <v>4924.5068685620217</v>
      </c>
      <c r="F50">
        <f>ROUND(2*E50,0)/2</f>
        <v>4924.5</v>
      </c>
      <c r="G50">
        <f>+C50-(C$7+F50*C$8)</f>
        <v>2.4784999986877665E-3</v>
      </c>
      <c r="K50">
        <f>+G50</f>
        <v>2.4784999986877665E-3</v>
      </c>
      <c r="O50">
        <f ca="1">+C$11+C$12*$F50</f>
        <v>-2.79233704102981E-2</v>
      </c>
      <c r="P50">
        <f>+D$11+D$12*F50+D$13*F50^2</f>
        <v>2.4051537168952235E-3</v>
      </c>
      <c r="Q50" s="2">
        <f>+C50-15018.5</f>
        <v>39221.900329999997</v>
      </c>
      <c r="R50">
        <f>+(P50-G50)^2</f>
        <v>5.3796770527911296E-9</v>
      </c>
      <c r="S50" s="156">
        <v>1</v>
      </c>
      <c r="T50" s="155">
        <f>+S50*R50</f>
        <v>5.3796770527911296E-9</v>
      </c>
      <c r="X50">
        <f>G50-P50</f>
        <v>7.3346281792543034E-5</v>
      </c>
      <c r="AE50" t="s">
        <v>10</v>
      </c>
      <c r="AF50">
        <f>SUM(AG53:AG97)</f>
        <v>1.1680389439850342E-4</v>
      </c>
    </row>
    <row r="51" spans="1:42">
      <c r="A51" s="161" t="s">
        <v>96</v>
      </c>
      <c r="B51" s="162" t="s">
        <v>81</v>
      </c>
      <c r="C51" s="161">
        <v>54240.400329999997</v>
      </c>
      <c r="D51" s="161">
        <v>2.0000000000000001E-4</v>
      </c>
      <c r="E51">
        <f>+(C51-C$7)/C$8</f>
        <v>4924.5068685620217</v>
      </c>
      <c r="F51">
        <f>ROUND(2*E51,0)/2</f>
        <v>4924.5</v>
      </c>
      <c r="G51">
        <f>+C51-(C$7+F51*C$8)</f>
        <v>2.4784999986877665E-3</v>
      </c>
      <c r="K51">
        <f>+G51</f>
        <v>2.4784999986877665E-3</v>
      </c>
      <c r="O51">
        <f ca="1">+C$11+C$12*$F51</f>
        <v>-2.79233704102981E-2</v>
      </c>
      <c r="P51">
        <f>+D$11+D$12*F51+D$13*F51^2</f>
        <v>2.4051537168952235E-3</v>
      </c>
      <c r="Q51" s="2">
        <f>+C51-15018.5</f>
        <v>39221.900329999997</v>
      </c>
      <c r="R51">
        <f>+(P51-G51)^2</f>
        <v>5.3796770527911296E-9</v>
      </c>
      <c r="S51" s="156">
        <v>1</v>
      </c>
      <c r="T51" s="155">
        <f>+S51*R51</f>
        <v>5.3796770527911296E-9</v>
      </c>
      <c r="X51">
        <f>G51-P51</f>
        <v>7.3346281792543034E-5</v>
      </c>
    </row>
    <row r="52" spans="1:42">
      <c r="A52" s="163" t="s">
        <v>94</v>
      </c>
      <c r="B52" s="160"/>
      <c r="C52" s="159">
        <v>54591.866499999996</v>
      </c>
      <c r="D52" s="159">
        <v>1E-4</v>
      </c>
      <c r="E52">
        <f>+(C52-C$7)/C$8</f>
        <v>5898.5101719011091</v>
      </c>
      <c r="F52">
        <f>ROUND(2*E52,0)/2</f>
        <v>5898.5</v>
      </c>
      <c r="G52">
        <f>+C52-(C$7+F52*C$8)</f>
        <v>3.6705000020447187E-3</v>
      </c>
      <c r="J52">
        <f>+G52</f>
        <v>3.6705000020447187E-3</v>
      </c>
      <c r="O52">
        <f ca="1">+C$11+C$12*$F52</f>
        <v>-2.3128861162331388E-2</v>
      </c>
      <c r="P52">
        <f>+D$11+D$12*F52+D$13*F52^2</f>
        <v>3.3839995883232095E-3</v>
      </c>
      <c r="Q52" s="2">
        <f>+C52-15018.5</f>
        <v>39573.366499999996</v>
      </c>
      <c r="R52">
        <f>+(P52-G52)^2</f>
        <v>8.208248706259592E-8</v>
      </c>
      <c r="S52" s="156">
        <v>1</v>
      </c>
      <c r="T52" s="155">
        <f>+S52*R52</f>
        <v>8.208248706259592E-8</v>
      </c>
      <c r="X52">
        <f>G52-P52</f>
        <v>2.8650041372150917E-4</v>
      </c>
      <c r="AF52" t="s">
        <v>8</v>
      </c>
      <c r="AG52" t="s">
        <v>9</v>
      </c>
    </row>
    <row r="53" spans="1:42">
      <c r="A53" s="164" t="s">
        <v>100</v>
      </c>
      <c r="B53" s="160" t="s">
        <v>80</v>
      </c>
      <c r="C53" s="159">
        <v>54946.399550000002</v>
      </c>
      <c r="D53" s="159">
        <v>5.9999999999999995E-4</v>
      </c>
      <c r="E53">
        <f>+(C53-C$7)/C$8</f>
        <v>6881.0125898234019</v>
      </c>
      <c r="F53">
        <f>ROUND(2*E53,0)/2</f>
        <v>6881</v>
      </c>
      <c r="G53">
        <f>+C53-(C$7+F53*C$8)</f>
        <v>4.5430000027408823E-3</v>
      </c>
      <c r="K53">
        <f>+G53</f>
        <v>4.5430000027408823E-3</v>
      </c>
      <c r="O53">
        <f ca="1">+C$11+C$12*$F53</f>
        <v>-1.8292510714562088E-2</v>
      </c>
      <c r="P53">
        <f>+D$11+D$12*F53+D$13*F53^2</f>
        <v>4.540281640267472E-3</v>
      </c>
      <c r="Q53" s="2">
        <f>+C53-15018.5</f>
        <v>39927.899550000002</v>
      </c>
      <c r="R53">
        <f>+(P53-G53)^2</f>
        <v>7.3894945368453956E-12</v>
      </c>
      <c r="S53" s="156">
        <v>1</v>
      </c>
      <c r="T53" s="155">
        <f>+S53*R53</f>
        <v>7.3894945368453956E-12</v>
      </c>
      <c r="X53">
        <f>G53-P53</f>
        <v>2.718362473410306E-6</v>
      </c>
      <c r="AD53">
        <v>6881</v>
      </c>
      <c r="AE53">
        <v>4.5430000027408823E-3</v>
      </c>
      <c r="AF53">
        <f t="shared" ref="AF53:AF83" si="1">AF$48+AF$49*AD53</f>
        <v>4.1978207961865712E-3</v>
      </c>
      <c r="AG53">
        <f t="shared" ref="AG53:AG83" si="2">AI53*(AF53-AE53)^2</f>
        <v>1.1914868463746378E-7</v>
      </c>
      <c r="AI53" s="156">
        <v>1</v>
      </c>
      <c r="AK53" t="s">
        <v>11</v>
      </c>
    </row>
    <row r="54" spans="1:42" ht="13.5" thickBot="1">
      <c r="A54" s="164" t="s">
        <v>100</v>
      </c>
      <c r="B54" s="160" t="s">
        <v>80</v>
      </c>
      <c r="C54" s="159">
        <v>54946.399649999999</v>
      </c>
      <c r="D54" s="159">
        <v>2.9999999999999997E-4</v>
      </c>
      <c r="E54">
        <f>+(C54-C$7)/C$8</f>
        <v>6881.0128669491569</v>
      </c>
      <c r="F54">
        <f>ROUND(2*E54,0)/2</f>
        <v>6881</v>
      </c>
      <c r="G54">
        <f>+C54-(C$7+F54*C$8)</f>
        <v>4.6430000002146699E-3</v>
      </c>
      <c r="K54">
        <f>+G54</f>
        <v>4.6430000002146699E-3</v>
      </c>
      <c r="O54">
        <f ca="1">+C$11+C$12*$F54</f>
        <v>-1.8292510714562088E-2</v>
      </c>
      <c r="P54">
        <f>+D$11+D$12*F54+D$13*F54^2</f>
        <v>4.540281640267472E-3</v>
      </c>
      <c r="Q54" s="2">
        <f>+C54-15018.5</f>
        <v>39927.899649999999</v>
      </c>
      <c r="R54">
        <f>+(P54-G54)^2</f>
        <v>1.0551061470242094E-8</v>
      </c>
      <c r="S54" s="156">
        <v>1</v>
      </c>
      <c r="T54" s="155">
        <f>+S54*R54</f>
        <v>1.0551061470242094E-8</v>
      </c>
      <c r="X54">
        <f>G54-P54</f>
        <v>1.0271835994719782E-4</v>
      </c>
      <c r="AD54">
        <v>6881</v>
      </c>
      <c r="AE54">
        <v>4.6430000002146699E-3</v>
      </c>
      <c r="AF54">
        <f t="shared" si="1"/>
        <v>4.1978207961865712E-3</v>
      </c>
      <c r="AG54">
        <f t="shared" si="2"/>
        <v>1.9818452369909148E-7</v>
      </c>
      <c r="AI54" s="156">
        <v>1</v>
      </c>
    </row>
    <row r="55" spans="1:42">
      <c r="A55" s="164" t="s">
        <v>100</v>
      </c>
      <c r="B55" s="160" t="s">
        <v>80</v>
      </c>
      <c r="C55" s="159">
        <v>54946.400249999999</v>
      </c>
      <c r="D55" s="159">
        <v>5.9999999999999995E-4</v>
      </c>
      <c r="E55" s="145">
        <f>+(C55-C$7)/C$8</f>
        <v>6881.0145297037307</v>
      </c>
      <c r="F55">
        <f>ROUND(2*E55,0)/2</f>
        <v>6881</v>
      </c>
      <c r="G55">
        <f>+C55-(C$7+F55*C$8)</f>
        <v>5.2429999996093102E-3</v>
      </c>
      <c r="K55">
        <f>+G55</f>
        <v>5.2429999996093102E-3</v>
      </c>
      <c r="O55">
        <f ca="1">+C$11+C$12*$F55</f>
        <v>-1.8292510714562088E-2</v>
      </c>
      <c r="P55">
        <f>+D$11+D$12*F55+D$13*F55^2</f>
        <v>4.540281640267472E-3</v>
      </c>
      <c r="Q55" s="2">
        <f>+C55-15018.5</f>
        <v>39927.900249999999</v>
      </c>
      <c r="R55">
        <f>+(P55-G55)^2</f>
        <v>4.9381309255608475E-7</v>
      </c>
      <c r="S55" s="156">
        <v>1</v>
      </c>
      <c r="T55" s="155">
        <f>+S55*R55</f>
        <v>4.9381309255608475E-7</v>
      </c>
      <c r="X55">
        <f>G55-P55</f>
        <v>7.0271835934183815E-4</v>
      </c>
      <c r="AD55">
        <v>6881</v>
      </c>
      <c r="AE55">
        <v>5.2429999996093102E-3</v>
      </c>
      <c r="AF55">
        <f t="shared" si="1"/>
        <v>4.1978207961865712E-3</v>
      </c>
      <c r="AG55">
        <f t="shared" si="2"/>
        <v>1.0923995672673911E-6</v>
      </c>
      <c r="AI55" s="156">
        <v>1</v>
      </c>
      <c r="AK55" s="149" t="s">
        <v>12</v>
      </c>
      <c r="AL55" s="149"/>
    </row>
    <row r="56" spans="1:42">
      <c r="A56" s="159" t="s">
        <v>95</v>
      </c>
      <c r="B56" s="160" t="s">
        <v>80</v>
      </c>
      <c r="C56" s="159">
        <v>55003.774599999997</v>
      </c>
      <c r="D56" s="159">
        <v>2.0000000000000001E-4</v>
      </c>
      <c r="E56" s="145">
        <f>+(C56-C$7)/C$8</f>
        <v>7040.0136345875126</v>
      </c>
      <c r="F56">
        <f>ROUND(2*E56,0)/2</f>
        <v>7040</v>
      </c>
      <c r="G56">
        <f>+C56-(C$7+F56*C$8)</f>
        <v>4.9199999994016252E-3</v>
      </c>
      <c r="I56">
        <f>+G56</f>
        <v>4.9199999994016252E-3</v>
      </c>
      <c r="O56">
        <f ca="1">+C$11+C$12*$F56</f>
        <v>-1.7509834153549043E-2</v>
      </c>
      <c r="P56">
        <f>+D$11+D$12*F56+D$13*F56^2</f>
        <v>4.7433519854647721E-3</v>
      </c>
      <c r="Q56" s="2">
        <f>+C56-15018.5</f>
        <v>39985.274599999997</v>
      </c>
      <c r="R56">
        <f>+(P56-G56)^2</f>
        <v>3.1204520827834661E-8</v>
      </c>
      <c r="S56" s="156">
        <v>1</v>
      </c>
      <c r="T56" s="155">
        <f>+S56*R56</f>
        <v>3.1204520827834661E-8</v>
      </c>
      <c r="X56">
        <f>G56-P56</f>
        <v>1.7664801393685314E-4</v>
      </c>
      <c r="AD56">
        <v>7040</v>
      </c>
      <c r="AE56">
        <v>4.9199999994016252E-3</v>
      </c>
      <c r="AF56">
        <f t="shared" si="1"/>
        <v>4.4869835622157791E-3</v>
      </c>
      <c r="AG56">
        <f t="shared" si="2"/>
        <v>1.8750323487312385E-7</v>
      </c>
      <c r="AI56" s="156">
        <v>1</v>
      </c>
      <c r="AK56" s="146" t="s">
        <v>13</v>
      </c>
      <c r="AL56" s="146">
        <v>0.94889250765075139</v>
      </c>
    </row>
    <row r="57" spans="1:42">
      <c r="A57" s="165" t="s">
        <v>173</v>
      </c>
      <c r="B57" s="166" t="s">
        <v>80</v>
      </c>
      <c r="C57" s="165">
        <v>55059.346299999997</v>
      </c>
      <c r="D57" s="165">
        <v>2.0000000000000001E-4</v>
      </c>
      <c r="E57" s="145">
        <f>+(C57-C$7)/C$8</f>
        <v>7194.0171319146357</v>
      </c>
      <c r="F57">
        <f>ROUND(2*E57,0)/2</f>
        <v>7194</v>
      </c>
      <c r="G57">
        <f>+C57-(C$7+F57*C$8)</f>
        <v>6.1819999973522499E-3</v>
      </c>
      <c r="I57">
        <f>+G57</f>
        <v>6.1819999973522499E-3</v>
      </c>
      <c r="O57">
        <f ca="1">+C$11+C$12*$F57</f>
        <v>-1.6751770063008105E-2</v>
      </c>
      <c r="P57">
        <f>+D$11+D$12*F57+D$13*F57^2</f>
        <v>4.9442715992157205E-3</v>
      </c>
      <c r="Q57" s="2">
        <f>+C57-15018.5</f>
        <v>40040.846299999997</v>
      </c>
      <c r="R57">
        <f>+(P57-G57)^2</f>
        <v>1.5319715875536191E-6</v>
      </c>
      <c r="S57" s="156">
        <v>1</v>
      </c>
      <c r="T57" s="155">
        <f>+S57*R57</f>
        <v>1.5319715875536191E-6</v>
      </c>
      <c r="X57">
        <f>G57-P57</f>
        <v>1.2377283981365294E-3</v>
      </c>
      <c r="AD57">
        <v>7194</v>
      </c>
      <c r="AE57">
        <v>6.1819999973522499E-3</v>
      </c>
      <c r="AF57">
        <f t="shared" si="1"/>
        <v>4.767053159501931E-3</v>
      </c>
      <c r="AG57">
        <f t="shared" si="2"/>
        <v>2.0020745539426166E-6</v>
      </c>
      <c r="AI57" s="156">
        <v>1</v>
      </c>
      <c r="AK57" s="146" t="s">
        <v>14</v>
      </c>
      <c r="AL57" s="146">
        <v>0.90039699107573135</v>
      </c>
    </row>
    <row r="58" spans="1:42">
      <c r="A58" s="165" t="s">
        <v>173</v>
      </c>
      <c r="B58" s="166" t="s">
        <v>81</v>
      </c>
      <c r="C58" s="165">
        <v>55059.527300000002</v>
      </c>
      <c r="D58" s="165">
        <v>8.0000000000000004E-4</v>
      </c>
      <c r="E58" s="145">
        <f>+(C58-C$7)/C$8</f>
        <v>7194.5187295446676</v>
      </c>
      <c r="F58">
        <f>ROUND(2*E58,0)/2</f>
        <v>7194.5</v>
      </c>
      <c r="G58">
        <f>+C58-(C$7+F58*C$8)</f>
        <v>6.758500006981194E-3</v>
      </c>
      <c r="I58">
        <f>+G58</f>
        <v>6.758500006981194E-3</v>
      </c>
      <c r="O58">
        <f ca="1">+C$11+C$12*$F58</f>
        <v>-1.6749308815960894E-2</v>
      </c>
      <c r="P58">
        <f>+D$11+D$12*F58+D$13*F58^2</f>
        <v>4.9449307229704597E-3</v>
      </c>
      <c r="Q58" s="2">
        <f>+C58-15018.5</f>
        <v>40041.027300000002</v>
      </c>
      <c r="R58">
        <f>+(P58-G58)^2</f>
        <v>3.2890335479072075E-6</v>
      </c>
      <c r="S58" s="156">
        <v>1</v>
      </c>
      <c r="T58" s="155">
        <f>+S58*R58</f>
        <v>3.2890335479072075E-6</v>
      </c>
      <c r="X58">
        <f>G58-P58</f>
        <v>1.8135692840107343E-3</v>
      </c>
      <c r="AD58">
        <v>7194.5</v>
      </c>
      <c r="AE58">
        <v>6.758500006981194E-3</v>
      </c>
      <c r="AF58">
        <f t="shared" si="1"/>
        <v>4.7679624763762359E-3</v>
      </c>
      <c r="AG58">
        <f t="shared" si="2"/>
        <v>3.9622396607468842E-6</v>
      </c>
      <c r="AI58" s="156">
        <v>1</v>
      </c>
      <c r="AK58" s="146" t="s">
        <v>15</v>
      </c>
      <c r="AL58" s="146">
        <v>0.89808064203098092</v>
      </c>
    </row>
    <row r="59" spans="1:42">
      <c r="A59" s="84" t="s">
        <v>274</v>
      </c>
      <c r="B59" s="85" t="s">
        <v>80</v>
      </c>
      <c r="C59" s="86">
        <v>55311.218399999998</v>
      </c>
      <c r="D59" s="84" t="s">
        <v>191</v>
      </c>
      <c r="E59" s="145">
        <f>+(C59-C$7)/C$8</f>
        <v>7892.0196094189532</v>
      </c>
      <c r="F59">
        <f>ROUND(2*E59,0)/2</f>
        <v>7892</v>
      </c>
      <c r="G59">
        <f>+C59-(C$7+F59*C$8)</f>
        <v>7.0760000016889535E-3</v>
      </c>
      <c r="K59">
        <f>+G59</f>
        <v>7.0760000016889535E-3</v>
      </c>
      <c r="O59">
        <f ca="1">+C$11+C$12*$F59</f>
        <v>-1.3315869185101775E-2</v>
      </c>
      <c r="P59">
        <f>+D$11+D$12*F59+D$13*F59^2</f>
        <v>5.9071844586935582E-3</v>
      </c>
      <c r="Q59" s="2">
        <f>+C59-15018.5</f>
        <v>40292.718399999998</v>
      </c>
      <c r="R59">
        <f>+(P59-G59)^2</f>
        <v>1.3661297735476208E-6</v>
      </c>
      <c r="S59" s="156">
        <v>1</v>
      </c>
      <c r="T59" s="155">
        <f>+S59*R59</f>
        <v>1.3661297735476208E-6</v>
      </c>
      <c r="X59">
        <f>G59-P59</f>
        <v>1.1688155429953953E-3</v>
      </c>
      <c r="AD59">
        <v>7892</v>
      </c>
      <c r="AE59">
        <v>7.0760000016889535E-3</v>
      </c>
      <c r="AF59">
        <f t="shared" si="1"/>
        <v>6.0364595160326707E-3</v>
      </c>
      <c r="AG59">
        <f t="shared" si="2"/>
        <v>1.0806444213185002E-6</v>
      </c>
      <c r="AI59" s="156">
        <v>1</v>
      </c>
      <c r="AK59" s="146" t="s">
        <v>16</v>
      </c>
      <c r="AL59" s="146">
        <v>1.5683277449342024E-3</v>
      </c>
    </row>
    <row r="60" spans="1:42" ht="13.5" thickBot="1">
      <c r="A60" s="84" t="s">
        <v>274</v>
      </c>
      <c r="B60" s="85" t="s">
        <v>81</v>
      </c>
      <c r="C60" s="86">
        <v>55315.0072</v>
      </c>
      <c r="D60" s="84" t="s">
        <v>191</v>
      </c>
      <c r="E60" s="145">
        <f>+(C60-C$7)/C$8</f>
        <v>7902.5193503063711</v>
      </c>
      <c r="F60">
        <f>ROUND(2*E60,0)/2</f>
        <v>7902.5</v>
      </c>
      <c r="G60">
        <f>+C60-(C$7+F60*C$8)</f>
        <v>6.9825000027776696E-3</v>
      </c>
      <c r="K60">
        <f>+G60</f>
        <v>6.9825000027776696E-3</v>
      </c>
      <c r="O60">
        <f ca="1">+C$11+C$12*$F60</f>
        <v>-1.3264182997110345E-2</v>
      </c>
      <c r="P60">
        <f>+D$11+D$12*F60+D$13*F60^2</f>
        <v>5.9223231655787913E-3</v>
      </c>
      <c r="Q60" s="2">
        <f>+C60-15018.5</f>
        <v>40296.5072</v>
      </c>
      <c r="R60">
        <f>+(P60-G60)^2</f>
        <v>1.1239749261330168E-6</v>
      </c>
      <c r="S60" s="156">
        <v>1</v>
      </c>
      <c r="T60" s="155">
        <f>+S60*R60</f>
        <v>1.1239749261330168E-6</v>
      </c>
      <c r="X60">
        <f>G60-P60</f>
        <v>1.0601768371988783E-3</v>
      </c>
      <c r="AD60">
        <v>7902.5</v>
      </c>
      <c r="AE60">
        <v>6.9825000027776696E-3</v>
      </c>
      <c r="AF60">
        <f t="shared" si="1"/>
        <v>6.0555551703930892E-3</v>
      </c>
      <c r="AG60">
        <f t="shared" si="2"/>
        <v>8.5922672228447783E-7</v>
      </c>
      <c r="AI60" s="156">
        <v>1</v>
      </c>
      <c r="AK60" s="147" t="s">
        <v>17</v>
      </c>
      <c r="AL60" s="147">
        <v>45</v>
      </c>
    </row>
    <row r="61" spans="1:42">
      <c r="A61" s="84" t="s">
        <v>274</v>
      </c>
      <c r="B61" s="85" t="s">
        <v>81</v>
      </c>
      <c r="C61" s="86">
        <v>55316.090499999998</v>
      </c>
      <c r="D61" s="84" t="s">
        <v>191</v>
      </c>
      <c r="E61" s="145">
        <f>+(C61-C$7)/C$8</f>
        <v>7905.5214536909043</v>
      </c>
      <c r="F61">
        <f>ROUND(2*E61,0)/2</f>
        <v>7905.5</v>
      </c>
      <c r="G61">
        <f>+C61-(C$7+F61*C$8)</f>
        <v>7.7415000050677918E-3</v>
      </c>
      <c r="K61">
        <f>+G61</f>
        <v>7.7415000050677918E-3</v>
      </c>
      <c r="O61">
        <f ca="1">+C$11+C$12*$F61</f>
        <v>-1.3249415514827084E-2</v>
      </c>
      <c r="P61">
        <f>+D$11+D$12*F61+D$13*F61^2</f>
        <v>5.926652068817791E-3</v>
      </c>
      <c r="Q61" s="2">
        <f>+C61-15018.5</f>
        <v>40297.590499999998</v>
      </c>
      <c r="R61">
        <f>+(P61-G61)^2</f>
        <v>3.2936730317108868E-6</v>
      </c>
      <c r="S61" s="156">
        <v>1</v>
      </c>
      <c r="T61" s="155">
        <f>+S61*R61</f>
        <v>3.2936730317108868E-6</v>
      </c>
      <c r="X61">
        <f>G61-P61</f>
        <v>1.8148479362500008E-3</v>
      </c>
      <c r="AD61">
        <v>7905.5</v>
      </c>
      <c r="AE61">
        <v>7.7415000050677918E-3</v>
      </c>
      <c r="AF61">
        <f t="shared" si="1"/>
        <v>6.0610110716389238E-3</v>
      </c>
      <c r="AG61">
        <f t="shared" si="2"/>
        <v>2.8240430553768945E-6</v>
      </c>
      <c r="AI61" s="156">
        <v>1</v>
      </c>
    </row>
    <row r="62" spans="1:42" ht="13.5" thickBot="1">
      <c r="A62" s="84" t="s">
        <v>274</v>
      </c>
      <c r="B62" s="85" t="s">
        <v>81</v>
      </c>
      <c r="C62" s="86">
        <v>55350.010600000001</v>
      </c>
      <c r="D62" s="84" t="s">
        <v>191</v>
      </c>
      <c r="E62" s="145">
        <f>+(C62-C$7)/C$8</f>
        <v>7999.5227894370873</v>
      </c>
      <c r="F62">
        <f>ROUND(2*E62,0)/2</f>
        <v>7999.5</v>
      </c>
      <c r="G62">
        <f>+C62-(C$7+F62*C$8)</f>
        <v>8.2235000081709586E-3</v>
      </c>
      <c r="K62">
        <f>+G62</f>
        <v>8.2235000081709586E-3</v>
      </c>
      <c r="O62">
        <f ca="1">+C$11+C$12*$F62</f>
        <v>-1.2786701069951445E-2</v>
      </c>
      <c r="P62">
        <f>+D$11+D$12*F62+D$13*F62^2</f>
        <v>6.0630921635103814E-3</v>
      </c>
      <c r="Q62" s="2">
        <f>+C62-15018.5</f>
        <v>40331.510600000001</v>
      </c>
      <c r="R62">
        <f>+(P62-G62)^2</f>
        <v>4.6673620552709604E-6</v>
      </c>
      <c r="S62" s="156">
        <v>1</v>
      </c>
      <c r="T62" s="155">
        <f>+S62*R62</f>
        <v>4.6673620552709604E-6</v>
      </c>
      <c r="X62">
        <f>G62-P62</f>
        <v>2.1604078446605772E-3</v>
      </c>
      <c r="AD62">
        <v>7999.5</v>
      </c>
      <c r="AE62">
        <v>8.2235000081709586E-3</v>
      </c>
      <c r="AF62">
        <f t="shared" si="1"/>
        <v>6.2319626440083924E-3</v>
      </c>
      <c r="AG62">
        <f t="shared" si="2"/>
        <v>3.9662210728555817E-6</v>
      </c>
      <c r="AI62" s="156">
        <v>1</v>
      </c>
      <c r="AK62" t="s">
        <v>18</v>
      </c>
    </row>
    <row r="63" spans="1:42">
      <c r="A63" s="84" t="s">
        <v>274</v>
      </c>
      <c r="B63" s="85" t="s">
        <v>80</v>
      </c>
      <c r="C63" s="86">
        <v>55350.19</v>
      </c>
      <c r="D63" s="84" t="s">
        <v>191</v>
      </c>
      <c r="E63" s="145">
        <f>+(C63-C$7)/C$8</f>
        <v>8000.0199530549107</v>
      </c>
      <c r="F63">
        <f>ROUND(2*E63,0)/2</f>
        <v>8000</v>
      </c>
      <c r="G63">
        <f>+C63-(C$7+F63*C$8)</f>
        <v>7.2000000072875991E-3</v>
      </c>
      <c r="K63">
        <f>+G63</f>
        <v>7.2000000072875991E-3</v>
      </c>
      <c r="O63">
        <f ca="1">+C$11+C$12*$F63</f>
        <v>-1.2784239822904234E-2</v>
      </c>
      <c r="P63">
        <f>+D$11+D$12*F63+D$13*F63^2</f>
        <v>6.0638220601786719E-3</v>
      </c>
      <c r="Q63" s="2">
        <f>+C63-15018.5</f>
        <v>40331.69</v>
      </c>
      <c r="R63">
        <f>+(P63-G63)^2</f>
        <v>1.2909003274966563E-6</v>
      </c>
      <c r="S63" s="156">
        <v>1</v>
      </c>
      <c r="T63" s="155">
        <f>+S63*R63</f>
        <v>1.2909003274966563E-6</v>
      </c>
      <c r="X63">
        <f>G63-P63</f>
        <v>1.1361779471089272E-3</v>
      </c>
      <c r="AD63">
        <v>8000</v>
      </c>
      <c r="AE63">
        <v>7.2000000072875991E-3</v>
      </c>
      <c r="AF63">
        <f t="shared" si="1"/>
        <v>6.232871960882699E-3</v>
      </c>
      <c r="AG63">
        <f t="shared" si="2"/>
        <v>9.3533665814295868E-7</v>
      </c>
      <c r="AI63" s="156">
        <v>1</v>
      </c>
      <c r="AK63" s="148"/>
      <c r="AL63" s="148" t="s">
        <v>23</v>
      </c>
      <c r="AM63" s="148" t="s">
        <v>24</v>
      </c>
      <c r="AN63" s="148" t="s">
        <v>25</v>
      </c>
      <c r="AO63" s="148" t="s">
        <v>131</v>
      </c>
      <c r="AP63" s="148" t="s">
        <v>26</v>
      </c>
    </row>
    <row r="64" spans="1:42">
      <c r="A64" s="84" t="s">
        <v>274</v>
      </c>
      <c r="B64" s="85" t="s">
        <v>81</v>
      </c>
      <c r="C64" s="86">
        <v>55351.092199999999</v>
      </c>
      <c r="D64" s="84" t="s">
        <v>191</v>
      </c>
      <c r="E64" s="145">
        <f>+(C64-C$7)/C$8</f>
        <v>8002.5201816836561</v>
      </c>
      <c r="F64">
        <f>ROUND(2*E64,0)/2</f>
        <v>8002.5</v>
      </c>
      <c r="G64">
        <f>+C64-(C$7+F64*C$8)</f>
        <v>7.2825000024749897E-3</v>
      </c>
      <c r="K64">
        <f>+G64</f>
        <v>7.2825000024749897E-3</v>
      </c>
      <c r="O64">
        <f ca="1">+C$11+C$12*$F64</f>
        <v>-1.2771933587668177E-2</v>
      </c>
      <c r="P64">
        <f>+D$11+D$12*F64+D$13*F64^2</f>
        <v>6.0674722024858015E-3</v>
      </c>
      <c r="Q64" s="2">
        <f>+C64-15018.5</f>
        <v>40332.592199999999</v>
      </c>
      <c r="R64">
        <f>+(P64-G64)^2</f>
        <v>1.4762925547465668E-6</v>
      </c>
      <c r="S64" s="156">
        <v>1</v>
      </c>
      <c r="T64" s="155">
        <f>+S64*R64</f>
        <v>1.4762925547465668E-6</v>
      </c>
      <c r="X64">
        <f>G64-P64</f>
        <v>1.2150277999891882E-3</v>
      </c>
      <c r="AD64">
        <v>8002.5</v>
      </c>
      <c r="AE64">
        <v>7.2825000024749897E-3</v>
      </c>
      <c r="AF64">
        <f t="shared" si="1"/>
        <v>6.237418545254227E-3</v>
      </c>
      <c r="AG64">
        <f t="shared" si="2"/>
        <v>1.092195252226673E-6</v>
      </c>
      <c r="AI64" s="156">
        <v>1</v>
      </c>
      <c r="AK64" s="146" t="s">
        <v>19</v>
      </c>
      <c r="AL64" s="146">
        <v>1</v>
      </c>
      <c r="AM64" s="146">
        <v>9.561008039165531E-4</v>
      </c>
      <c r="AN64" s="146">
        <v>9.561008039165531E-4</v>
      </c>
      <c r="AO64" s="146">
        <v>388.7138655188042</v>
      </c>
      <c r="AP64" s="146">
        <v>3.6919897226207351E-23</v>
      </c>
    </row>
    <row r="65" spans="1:45">
      <c r="A65" s="164" t="s">
        <v>183</v>
      </c>
      <c r="B65" s="160" t="s">
        <v>80</v>
      </c>
      <c r="C65" s="159">
        <v>55687.58251</v>
      </c>
      <c r="D65" s="159">
        <v>1E-4</v>
      </c>
      <c r="E65" s="145">
        <f>+(C65-C$7)/C$8</f>
        <v>8935.0215188154634</v>
      </c>
      <c r="F65">
        <f>ROUND(2*E65,0)/2</f>
        <v>8935</v>
      </c>
      <c r="G65">
        <f>+C65-(C$7+F65*C$8)</f>
        <v>7.7650000021094456E-3</v>
      </c>
      <c r="I65">
        <f>+G65</f>
        <v>7.7650000021094456E-3</v>
      </c>
      <c r="O65">
        <f ca="1">+C$11+C$12*$F65</f>
        <v>-8.1817078446199676E-3</v>
      </c>
      <c r="P65">
        <f>+D$11+D$12*F65+D$13*F65^2</f>
        <v>7.5055811411002989E-3</v>
      </c>
      <c r="Q65" s="2">
        <f>+C65-15018.5</f>
        <v>40669.08251</v>
      </c>
      <c r="R65">
        <f>+(P65-G65)^2</f>
        <v>6.7298145447283009E-8</v>
      </c>
      <c r="S65" s="156">
        <v>1</v>
      </c>
      <c r="T65" s="155">
        <f>+S65*R65</f>
        <v>6.7298145447283009E-8</v>
      </c>
      <c r="X65">
        <f>G65-P65</f>
        <v>2.5941886100914677E-4</v>
      </c>
      <c r="AD65">
        <v>8935</v>
      </c>
      <c r="AE65">
        <v>7.7650000021094456E-3</v>
      </c>
      <c r="AF65">
        <f t="shared" si="1"/>
        <v>7.933294515834334E-3</v>
      </c>
      <c r="AG65">
        <f t="shared" si="2"/>
        <v>2.8323043349896653E-8</v>
      </c>
      <c r="AI65" s="156">
        <v>1</v>
      </c>
      <c r="AK65" s="146" t="s">
        <v>20</v>
      </c>
      <c r="AL65" s="146">
        <v>43</v>
      </c>
      <c r="AM65" s="146">
        <v>1.0576503236780721E-4</v>
      </c>
      <c r="AN65" s="146">
        <v>2.4596519155304003E-6</v>
      </c>
      <c r="AO65" s="146"/>
      <c r="AP65" s="146"/>
    </row>
    <row r="66" spans="1:45" ht="13.5" thickBot="1">
      <c r="A66" s="165" t="s">
        <v>176</v>
      </c>
      <c r="B66" s="166" t="s">
        <v>81</v>
      </c>
      <c r="C66" s="165">
        <v>55727.816299999999</v>
      </c>
      <c r="D66" s="165">
        <v>6.9999999999999999E-4</v>
      </c>
      <c r="E66" s="145">
        <f>+(C66-C$7)/C$8</f>
        <v>9046.5197161123742</v>
      </c>
      <c r="F66">
        <f>ROUND(2*E66,0)/2</f>
        <v>9046.5</v>
      </c>
      <c r="G66">
        <f>+C66-(C$7+F66*C$8)</f>
        <v>7.1145000038086437E-3</v>
      </c>
      <c r="I66">
        <f>+G66</f>
        <v>7.1145000038086437E-3</v>
      </c>
      <c r="O66">
        <f ca="1">+C$11+C$12*$F66</f>
        <v>-7.632849753091947E-3</v>
      </c>
      <c r="P66">
        <f>+D$11+D$12*F66+D$13*F66^2</f>
        <v>7.6877650049997992E-3</v>
      </c>
      <c r="Q66" s="2">
        <f>+C66-15018.5</f>
        <v>40709.316299999999</v>
      </c>
      <c r="R66">
        <f>+(P66-G66)^2</f>
        <v>3.2863276159069559E-7</v>
      </c>
      <c r="S66" s="156">
        <v>1</v>
      </c>
      <c r="T66" s="155">
        <f>+S66*R66</f>
        <v>3.2863276159069559E-7</v>
      </c>
      <c r="X66">
        <f>G66-P66</f>
        <v>-5.7326500119115557E-4</v>
      </c>
      <c r="AD66">
        <v>9046.5</v>
      </c>
      <c r="AE66">
        <v>7.1145000038086437E-3</v>
      </c>
      <c r="AF66">
        <f t="shared" si="1"/>
        <v>8.1360721788045001E-3</v>
      </c>
      <c r="AG66">
        <f t="shared" si="2"/>
        <v>1.0436097087257648E-6</v>
      </c>
      <c r="AI66" s="156">
        <v>1</v>
      </c>
      <c r="AK66" s="147" t="s">
        <v>21</v>
      </c>
      <c r="AL66" s="147">
        <v>44</v>
      </c>
      <c r="AM66" s="147">
        <v>1.0618658362843603E-3</v>
      </c>
      <c r="AN66" s="147"/>
      <c r="AO66" s="147"/>
      <c r="AP66" s="147"/>
    </row>
    <row r="67" spans="1:45" ht="13.5" thickBot="1">
      <c r="A67" s="164" t="s">
        <v>183</v>
      </c>
      <c r="B67" s="160" t="s">
        <v>81</v>
      </c>
      <c r="C67" s="159">
        <v>55740.447119999997</v>
      </c>
      <c r="D67" s="159">
        <v>1E-4</v>
      </c>
      <c r="E67" s="145">
        <f>+(C67-C$7)/C$8</f>
        <v>9081.5229723400789</v>
      </c>
      <c r="F67">
        <f>ROUND(2*E67,0)/2</f>
        <v>9081.5</v>
      </c>
      <c r="G67">
        <f>+C67-(C$7+F67*C$8)</f>
        <v>8.289500001410488E-3</v>
      </c>
      <c r="K67">
        <f>+G67</f>
        <v>8.289500001410488E-3</v>
      </c>
      <c r="O67">
        <f ca="1">+C$11+C$12*$F67</f>
        <v>-7.4605624597871914E-3</v>
      </c>
      <c r="P67">
        <f>+D$11+D$12*F67+D$13*F67^2</f>
        <v>7.745403277835081E-3</v>
      </c>
      <c r="Q67" s="2">
        <f>+C67-15018.5</f>
        <v>40721.947119999997</v>
      </c>
      <c r="R67">
        <f>+(P67-G67)^2</f>
        <v>2.9604124460549288E-7</v>
      </c>
      <c r="S67" s="156">
        <v>1</v>
      </c>
      <c r="T67" s="155">
        <f>+S67*R67</f>
        <v>2.9604124460549288E-7</v>
      </c>
      <c r="X67">
        <f>G67-P67</f>
        <v>5.4409672357540705E-4</v>
      </c>
      <c r="AD67">
        <v>9081.5</v>
      </c>
      <c r="AE67">
        <v>8.289500001410488E-3</v>
      </c>
      <c r="AF67">
        <f t="shared" si="1"/>
        <v>8.1997243600058986E-3</v>
      </c>
      <c r="AG67">
        <f t="shared" si="2"/>
        <v>8.0596657896054334E-9</v>
      </c>
      <c r="AI67" s="156">
        <v>1</v>
      </c>
    </row>
    <row r="68" spans="1:45">
      <c r="A68" s="89" t="s">
        <v>182</v>
      </c>
      <c r="B68" s="160"/>
      <c r="C68" s="159">
        <v>56024.974900000001</v>
      </c>
      <c r="D68" s="159">
        <v>2.0000000000000001E-4</v>
      </c>
      <c r="E68" s="145">
        <f>+(C68-C$7)/C$8</f>
        <v>9870.0227520251083</v>
      </c>
      <c r="F68">
        <f>ROUND(2*E68,0)/2</f>
        <v>9870</v>
      </c>
      <c r="G68">
        <f>+C68-(C$7+F68*C$8)</f>
        <v>8.2100000072387047E-3</v>
      </c>
      <c r="J68">
        <f>+G68</f>
        <v>8.2100000072387047E-3</v>
      </c>
      <c r="O68">
        <f ca="1">+C$11+C$12*$F68</f>
        <v>-3.5791758663357015E-3</v>
      </c>
      <c r="P68">
        <f>+D$11+D$12*F68+D$13*F68^2</f>
        <v>9.1009626934032938E-3</v>
      </c>
      <c r="Q68" s="2">
        <f>+C68-15018.5</f>
        <v>41006.474900000001</v>
      </c>
      <c r="R68">
        <f>+(P68-G68)^2</f>
        <v>7.9381450813762002E-7</v>
      </c>
      <c r="S68" s="156">
        <v>1</v>
      </c>
      <c r="T68" s="155">
        <f>+S68*R68</f>
        <v>7.9381450813762002E-7</v>
      </c>
      <c r="X68">
        <f>G68-P68</f>
        <v>-8.9096268616458904E-4</v>
      </c>
      <c r="AD68">
        <v>9870</v>
      </c>
      <c r="AE68">
        <v>8.2100000072387047E-3</v>
      </c>
      <c r="AF68">
        <f t="shared" si="1"/>
        <v>9.6337170707859673E-3</v>
      </c>
      <c r="AG68">
        <f t="shared" si="2"/>
        <v>2.0269702770356401E-6</v>
      </c>
      <c r="AI68" s="156">
        <v>1</v>
      </c>
      <c r="AK68" s="148"/>
      <c r="AL68" s="148" t="s">
        <v>27</v>
      </c>
      <c r="AM68" s="148" t="s">
        <v>16</v>
      </c>
      <c r="AN68" s="148" t="s">
        <v>28</v>
      </c>
      <c r="AO68" s="148" t="s">
        <v>29</v>
      </c>
      <c r="AP68" s="148" t="s">
        <v>30</v>
      </c>
      <c r="AQ68" s="148" t="s">
        <v>31</v>
      </c>
      <c r="AR68" s="148" t="s">
        <v>32</v>
      </c>
      <c r="AS68" s="148" t="s">
        <v>33</v>
      </c>
    </row>
    <row r="69" spans="1:45">
      <c r="A69" s="36" t="s">
        <v>182</v>
      </c>
      <c r="B69" s="167" t="s">
        <v>80</v>
      </c>
      <c r="C69" s="159">
        <v>56061.780700000003</v>
      </c>
      <c r="D69" s="159">
        <v>2.0000000000000001E-4</v>
      </c>
      <c r="E69" s="145">
        <f>+(C69-C$7)/C$8</f>
        <v>9972.021105898084</v>
      </c>
      <c r="F69">
        <f>ROUND(2*E69,0)/2</f>
        <v>9972</v>
      </c>
      <c r="G69">
        <f>+C69-(C$7+F69*C$8)</f>
        <v>7.6160000025993213E-3</v>
      </c>
      <c r="J69">
        <f>+G69</f>
        <v>7.6160000025993213E-3</v>
      </c>
      <c r="O69">
        <f ca="1">+C$11+C$12*$F69</f>
        <v>-3.0770814687046885E-3</v>
      </c>
      <c r="P69">
        <f>+D$11+D$12*F69+D$13*F69^2</f>
        <v>9.2842978420058665E-3</v>
      </c>
      <c r="Q69" s="2">
        <f>+C69-15018.5</f>
        <v>41043.280700000003</v>
      </c>
      <c r="R69">
        <f>+(P69-G69)^2</f>
        <v>2.7832176809685467E-6</v>
      </c>
      <c r="S69" s="156">
        <v>1</v>
      </c>
      <c r="T69" s="155">
        <f>+S69*R69</f>
        <v>2.7832176809685467E-6</v>
      </c>
      <c r="X69">
        <f>G69-P69</f>
        <v>-1.6682978394065451E-3</v>
      </c>
      <c r="AD69">
        <v>9972</v>
      </c>
      <c r="AE69">
        <v>7.6160000025993213E-3</v>
      </c>
      <c r="AF69">
        <f t="shared" si="1"/>
        <v>9.8192177131443265E-3</v>
      </c>
      <c r="AG69">
        <f t="shared" si="2"/>
        <v>4.8541682800591739E-6</v>
      </c>
      <c r="AI69" s="156">
        <v>1</v>
      </c>
      <c r="AK69" s="146" t="s">
        <v>22</v>
      </c>
      <c r="AL69" s="146">
        <v>-8.3161980280082645E-3</v>
      </c>
      <c r="AM69" s="146">
        <v>1.0078361683792155E-3</v>
      </c>
      <c r="AN69" s="146">
        <v>-8.2515375900650874</v>
      </c>
      <c r="AO69" s="146">
        <v>2.0932184717501776E-10</v>
      </c>
      <c r="AP69" s="146">
        <v>-1.0348691971142026E-2</v>
      </c>
      <c r="AQ69" s="146">
        <v>-6.2837040848745026E-3</v>
      </c>
      <c r="AR69" s="146">
        <v>-1.0348691971142026E-2</v>
      </c>
      <c r="AS69" s="146">
        <v>-6.2837040848745026E-3</v>
      </c>
    </row>
    <row r="70" spans="1:45" ht="13.5" thickBot="1">
      <c r="A70" s="89" t="s">
        <v>182</v>
      </c>
      <c r="B70" s="160"/>
      <c r="C70" s="159">
        <v>56072.790300000001</v>
      </c>
      <c r="D70" s="159">
        <v>2E-3</v>
      </c>
      <c r="E70" s="145">
        <f>+(C70-C$7)/C$8</f>
        <v>10002.531543839921</v>
      </c>
      <c r="F70">
        <f>ROUND(2*E70,0)/2</f>
        <v>10002.5</v>
      </c>
      <c r="G70">
        <f>+C70-(C$7+F70*C$8)</f>
        <v>1.1382500000763685E-2</v>
      </c>
      <c r="J70">
        <f>+G70</f>
        <v>1.1382500000763685E-2</v>
      </c>
      <c r="O70">
        <f ca="1">+C$11+C$12*$F70</f>
        <v>-2.9269453988248276E-3</v>
      </c>
      <c r="P70">
        <f>+D$11+D$12*F70+D$13*F70^2</f>
        <v>9.3394737189163614E-3</v>
      </c>
      <c r="Q70" s="2">
        <f>+C70-15018.5</f>
        <v>41054.290300000001</v>
      </c>
      <c r="R70">
        <f>+(P70-G70)^2</f>
        <v>4.1739563883188977E-6</v>
      </c>
      <c r="S70" s="156">
        <v>0.4</v>
      </c>
      <c r="T70" s="155">
        <f>+S70*R70</f>
        <v>1.6695825553275591E-6</v>
      </c>
      <c r="X70">
        <f>G70-P70</f>
        <v>2.0430262818473231E-3</v>
      </c>
      <c r="AD70">
        <v>10002.5</v>
      </c>
      <c r="AE70">
        <v>1.1382500000763685E-2</v>
      </c>
      <c r="AF70">
        <f t="shared" si="1"/>
        <v>9.8746860424769739E-3</v>
      </c>
      <c r="AG70">
        <f t="shared" si="2"/>
        <v>9.0940117312169539E-7</v>
      </c>
      <c r="AI70" s="156">
        <v>0.4</v>
      </c>
      <c r="AK70" s="147" t="s">
        <v>34</v>
      </c>
      <c r="AL70" s="147">
        <v>1.8186337486113715E-6</v>
      </c>
      <c r="AM70" s="147">
        <v>9.2242322656165484E-8</v>
      </c>
      <c r="AN70" s="147">
        <v>19.715827791873298</v>
      </c>
      <c r="AO70" s="147">
        <v>3.6919897226208238E-23</v>
      </c>
      <c r="AP70" s="147">
        <v>1.6326095038169505E-6</v>
      </c>
      <c r="AQ70" s="147">
        <v>2.0046579934057923E-6</v>
      </c>
      <c r="AR70" s="147">
        <v>1.6326095038169505E-6</v>
      </c>
      <c r="AS70" s="147">
        <v>2.0046579934057923E-6</v>
      </c>
    </row>
    <row r="71" spans="1:45">
      <c r="A71" s="164" t="s">
        <v>183</v>
      </c>
      <c r="B71" s="160" t="s">
        <v>80</v>
      </c>
      <c r="C71" s="159">
        <v>56096.422879999998</v>
      </c>
      <c r="D71" s="159">
        <v>2.9999999999999997E-4</v>
      </c>
      <c r="E71" s="145">
        <f>+(C71-C$7)/C$8</f>
        <v>10068.023511349689</v>
      </c>
      <c r="F71">
        <f>ROUND(2*E71,0)/2</f>
        <v>10068</v>
      </c>
      <c r="G71">
        <f>+C71-(C$7+F71*C$8)</f>
        <v>8.4839999981340952E-3</v>
      </c>
      <c r="K71">
        <f>+G71</f>
        <v>8.4839999981340952E-3</v>
      </c>
      <c r="O71">
        <f ca="1">+C$11+C$12*$F71</f>
        <v>-2.6045220356402041E-3</v>
      </c>
      <c r="P71">
        <f>+D$11+D$12*F71+D$13*F71^2</f>
        <v>9.4585186527104386E-3</v>
      </c>
      <c r="Q71" s="2">
        <f>+C71-15018.5</f>
        <v>41077.922879999998</v>
      </c>
      <c r="R71">
        <f>+(P71-G71)^2</f>
        <v>9.4968660811728644E-7</v>
      </c>
      <c r="S71" s="156">
        <v>1</v>
      </c>
      <c r="T71" s="155">
        <f>+S71*R71</f>
        <v>9.4968660811728644E-7</v>
      </c>
      <c r="X71">
        <f>G71-P71</f>
        <v>-9.7451865457634339E-4</v>
      </c>
      <c r="AD71">
        <v>10068</v>
      </c>
      <c r="AE71">
        <v>8.4839999981340952E-3</v>
      </c>
      <c r="AF71">
        <f t="shared" si="1"/>
        <v>9.9938065530110198E-3</v>
      </c>
      <c r="AG71">
        <f t="shared" si="2"/>
        <v>2.2795158331493278E-6</v>
      </c>
      <c r="AI71" s="156">
        <v>1</v>
      </c>
    </row>
    <row r="72" spans="1:45">
      <c r="A72" s="84" t="s">
        <v>357</v>
      </c>
      <c r="B72" s="85" t="s">
        <v>81</v>
      </c>
      <c r="C72" s="86">
        <v>56111.399400000002</v>
      </c>
      <c r="D72" s="84" t="s">
        <v>191</v>
      </c>
      <c r="E72" s="145">
        <f>+(C72-C$7)/C$8</f>
        <v>10109.527306587017</v>
      </c>
      <c r="F72">
        <f>ROUND(2*E72,0)/2</f>
        <v>10109.5</v>
      </c>
      <c r="G72">
        <f>+C72-(C$7+F72*C$8)</f>
        <v>9.853500007011462E-3</v>
      </c>
      <c r="I72">
        <f>+G72</f>
        <v>9.853500007011462E-3</v>
      </c>
      <c r="O72">
        <f ca="1">+C$11+C$12*$F72</f>
        <v>-2.4002385307217086E-3</v>
      </c>
      <c r="P72">
        <f>+D$11+D$12*F72+D$13*F72^2</f>
        <v>9.534334220389391E-3</v>
      </c>
      <c r="Q72" s="2">
        <f>+C72-15018.5</f>
        <v>41092.899400000002</v>
      </c>
      <c r="R72">
        <f>+(P72-G72)^2</f>
        <v>1.0186679935008537E-7</v>
      </c>
      <c r="S72" s="156">
        <v>1</v>
      </c>
      <c r="T72" s="155">
        <f>+S72*R72</f>
        <v>1.0186679935008537E-7</v>
      </c>
      <c r="X72">
        <f>G72-P72</f>
        <v>3.1916578662207103E-4</v>
      </c>
      <c r="AD72">
        <v>10109.5</v>
      </c>
      <c r="AE72">
        <v>9.853500007011462E-3</v>
      </c>
      <c r="AF72">
        <f t="shared" si="1"/>
        <v>1.0069279853578392E-2</v>
      </c>
      <c r="AG72">
        <f t="shared" si="2"/>
        <v>4.6560942184448032E-8</v>
      </c>
      <c r="AI72" s="156">
        <v>1</v>
      </c>
    </row>
    <row r="73" spans="1:45">
      <c r="A73" s="84" t="s">
        <v>357</v>
      </c>
      <c r="B73" s="85" t="s">
        <v>80</v>
      </c>
      <c r="C73" s="86">
        <v>56112.3004</v>
      </c>
      <c r="D73" s="84" t="s">
        <v>191</v>
      </c>
      <c r="E73" s="145">
        <f>+(C73-C$7)/C$8</f>
        <v>10112.024209706617</v>
      </c>
      <c r="F73">
        <f>ROUND(2*E73,0)/2</f>
        <v>10112</v>
      </c>
      <c r="G73">
        <f>+C73-(C$7+F73*C$8)</f>
        <v>8.7360000034095719E-3</v>
      </c>
      <c r="I73">
        <f>+G73</f>
        <v>8.7360000034095719E-3</v>
      </c>
      <c r="O73">
        <f ca="1">+C$11+C$12*$F73</f>
        <v>-2.3879322954856522E-3</v>
      </c>
      <c r="P73">
        <f>+D$11+D$12*F73+D$13*F73^2</f>
        <v>9.5389110880915243E-3</v>
      </c>
      <c r="Q73" s="2">
        <f>+C73-15018.5</f>
        <v>41093.8004</v>
      </c>
      <c r="R73">
        <f>+(P73-G73)^2</f>
        <v>6.4466620990514923E-7</v>
      </c>
      <c r="S73" s="156">
        <v>1</v>
      </c>
      <c r="T73" s="155">
        <f>+S73*R73</f>
        <v>6.4466620990514923E-7</v>
      </c>
      <c r="X73">
        <f>G73-P73</f>
        <v>-8.0291108468195233E-4</v>
      </c>
      <c r="AD73">
        <v>10112</v>
      </c>
      <c r="AE73">
        <v>8.7360000034095719E-3</v>
      </c>
      <c r="AF73">
        <f t="shared" si="1"/>
        <v>1.007382643794992E-2</v>
      </c>
      <c r="AG73">
        <f t="shared" si="2"/>
        <v>1.7897795689549411E-6</v>
      </c>
      <c r="AI73" s="156">
        <v>1</v>
      </c>
    </row>
    <row r="74" spans="1:45">
      <c r="A74" s="84" t="s">
        <v>357</v>
      </c>
      <c r="B74" s="85" t="s">
        <v>81</v>
      </c>
      <c r="C74" s="86">
        <v>56112.481899999999</v>
      </c>
      <c r="D74" s="84" t="s">
        <v>191</v>
      </c>
      <c r="E74" s="145">
        <f>+(C74-C$7)/C$8</f>
        <v>10112.527192965446</v>
      </c>
      <c r="F74">
        <f>ROUND(2*E74,0)/2</f>
        <v>10112.5</v>
      </c>
      <c r="G74">
        <f>+C74-(C$7+F74*C$8)</f>
        <v>9.8125000004074536E-3</v>
      </c>
      <c r="I74">
        <f>+G74</f>
        <v>9.8125000004074536E-3</v>
      </c>
      <c r="O74">
        <f ca="1">+C$11+C$12*$F74</f>
        <v>-2.3854710484384409E-3</v>
      </c>
      <c r="P74">
        <f>+D$11+D$12*F74+D$13*F74^2</f>
        <v>9.5398265934250864E-3</v>
      </c>
      <c r="Q74" s="2">
        <f>+C74-15018.5</f>
        <v>41093.981899999999</v>
      </c>
      <c r="R74">
        <f>+(P74-G74)^2</f>
        <v>7.4350786875371698E-8</v>
      </c>
      <c r="S74" s="156">
        <v>1</v>
      </c>
      <c r="T74" s="155">
        <f>+S74*R74</f>
        <v>7.4350786875371698E-8</v>
      </c>
      <c r="X74">
        <f>G74-P74</f>
        <v>2.7267340698236726E-4</v>
      </c>
      <c r="AD74">
        <v>10112.5</v>
      </c>
      <c r="AE74">
        <v>9.8125000004074536E-3</v>
      </c>
      <c r="AF74">
        <f t="shared" si="1"/>
        <v>1.0074735754824225E-2</v>
      </c>
      <c r="AG74">
        <f t="shared" si="2"/>
        <v>6.8767590894533383E-8</v>
      </c>
      <c r="AI74" s="156">
        <v>1</v>
      </c>
    </row>
    <row r="75" spans="1:45">
      <c r="A75" s="84" t="s">
        <v>357</v>
      </c>
      <c r="B75" s="85" t="s">
        <v>80</v>
      </c>
      <c r="C75" s="86">
        <v>56113.382700000002</v>
      </c>
      <c r="D75" s="84" t="s">
        <v>191</v>
      </c>
      <c r="E75" s="145">
        <f>+(C75-C$7)/C$8</f>
        <v>10115.023541833534</v>
      </c>
      <c r="F75">
        <f>ROUND(2*E75,0)/2</f>
        <v>10115</v>
      </c>
      <c r="G75">
        <f>+C75-(C$7+F75*C$8)</f>
        <v>8.4950000018579885E-3</v>
      </c>
      <c r="I75">
        <f>+G75</f>
        <v>8.4950000018579885E-3</v>
      </c>
      <c r="O75">
        <f ca="1">+C$11+C$12*$F75</f>
        <v>-2.3731648132023844E-3</v>
      </c>
      <c r="P75">
        <f>+D$11+D$12*F75+D$13*F75^2</f>
        <v>9.5444047790585722E-3</v>
      </c>
      <c r="Q75" s="2">
        <f>+C75-15018.5</f>
        <v>41094.882700000002</v>
      </c>
      <c r="R75">
        <f>+(P75-G75)^2</f>
        <v>1.1012503864114068E-6</v>
      </c>
      <c r="S75" s="156">
        <v>1</v>
      </c>
      <c r="T75" s="155">
        <f>+S75*R75</f>
        <v>1.1012503864114068E-6</v>
      </c>
      <c r="X75">
        <f>G75-P75</f>
        <v>-1.0494047772005837E-3</v>
      </c>
      <c r="AD75">
        <v>10115</v>
      </c>
      <c r="AE75">
        <v>8.4950000018579885E-3</v>
      </c>
      <c r="AF75">
        <f t="shared" si="1"/>
        <v>1.0079282339195753E-2</v>
      </c>
      <c r="AG75">
        <f t="shared" si="2"/>
        <v>2.5099505244004109E-6</v>
      </c>
      <c r="AI75" s="156">
        <v>1</v>
      </c>
    </row>
    <row r="76" spans="1:45">
      <c r="A76" s="84" t="s">
        <v>357</v>
      </c>
      <c r="B76" s="85" t="s">
        <v>80</v>
      </c>
      <c r="C76" s="86">
        <v>56114.464599999999</v>
      </c>
      <c r="D76" s="84" t="s">
        <v>191</v>
      </c>
      <c r="E76" s="145">
        <f>+(C76-C$7)/C$8</f>
        <v>10118.02176545739</v>
      </c>
      <c r="F76">
        <f>ROUND(2*E76,0)/2</f>
        <v>10118</v>
      </c>
      <c r="G76">
        <f>+C76-(C$7+F76*C$8)</f>
        <v>7.8540000031352974E-3</v>
      </c>
      <c r="I76">
        <f>+G76</f>
        <v>7.8540000031352974E-3</v>
      </c>
      <c r="O76">
        <f ca="1">+C$11+C$12*$F76</f>
        <v>-2.3583973309191236E-3</v>
      </c>
      <c r="P76">
        <f>+D$11+D$12*F76+D$13*F76^2</f>
        <v>9.5499000515432402E-3</v>
      </c>
      <c r="Q76" s="2">
        <f>+C76-15018.5</f>
        <v>41095.964599999999</v>
      </c>
      <c r="R76">
        <f>+(P76-G76)^2</f>
        <v>2.8760769741900627E-6</v>
      </c>
      <c r="S76" s="156">
        <v>1</v>
      </c>
      <c r="T76" s="155">
        <f>+S76*R76</f>
        <v>2.8760769741900627E-6</v>
      </c>
      <c r="X76">
        <f>G76-P76</f>
        <v>-1.6959000484079428E-3</v>
      </c>
      <c r="AD76">
        <v>10118</v>
      </c>
      <c r="AE76">
        <v>7.8540000031352974E-3</v>
      </c>
      <c r="AF76">
        <f t="shared" si="1"/>
        <v>1.008473824044159E-2</v>
      </c>
      <c r="AG76">
        <f t="shared" si="2"/>
        <v>4.9761930833803833E-6</v>
      </c>
      <c r="AI76" s="156">
        <v>1</v>
      </c>
    </row>
    <row r="77" spans="1:45">
      <c r="A77" s="164" t="s">
        <v>183</v>
      </c>
      <c r="B77" s="160" t="s">
        <v>81</v>
      </c>
      <c r="C77" s="159">
        <v>56167.3315</v>
      </c>
      <c r="D77" s="159">
        <v>2.9999999999999997E-4</v>
      </c>
      <c r="E77" s="145">
        <f>+(C77-C$7)/C$8</f>
        <v>10264.529565161976</v>
      </c>
      <c r="F77">
        <f>ROUND(2*E77,0)/2</f>
        <v>10264.5</v>
      </c>
      <c r="G77">
        <f>+C77-(C$7+F77*C$8)</f>
        <v>1.0668500006431714E-2</v>
      </c>
      <c r="K77">
        <f>+G77</f>
        <v>1.0668500006431714E-2</v>
      </c>
      <c r="O77">
        <f ca="1">+C$11+C$12*$F77</f>
        <v>-1.6372519460863474E-3</v>
      </c>
      <c r="P77">
        <f>+D$11+D$12*F77+D$13*F77^2</f>
        <v>9.8201768580756937E-3</v>
      </c>
      <c r="Q77" s="2">
        <f>+C77-15018.5</f>
        <v>41148.8315</v>
      </c>
      <c r="R77">
        <f>+(P77-G77)^2</f>
        <v>7.1965216403666983E-7</v>
      </c>
      <c r="S77" s="156">
        <v>1</v>
      </c>
      <c r="T77" s="155">
        <f>+S77*R77</f>
        <v>7.1965216403666983E-7</v>
      </c>
      <c r="X77">
        <f>G77-P77</f>
        <v>8.4832314835601996E-4</v>
      </c>
      <c r="AD77">
        <v>10264.5</v>
      </c>
      <c r="AE77">
        <v>1.0668500006431714E-2</v>
      </c>
      <c r="AF77">
        <f t="shared" si="1"/>
        <v>1.0351168084613154E-2</v>
      </c>
      <c r="AG77">
        <f t="shared" si="2"/>
        <v>1.0069954860506038E-7</v>
      </c>
      <c r="AI77" s="156">
        <v>1</v>
      </c>
    </row>
    <row r="78" spans="1:45">
      <c r="A78" s="84" t="s">
        <v>341</v>
      </c>
      <c r="B78" s="85" t="s">
        <v>80</v>
      </c>
      <c r="C78" s="86">
        <v>56411.0818</v>
      </c>
      <c r="D78" s="84" t="s">
        <v>191</v>
      </c>
      <c r="E78" s="145">
        <f>+(C78-C$7)/C$8</f>
        <v>10940.024442492257</v>
      </c>
      <c r="F78">
        <f>ROUND(2*E78,0)/2</f>
        <v>10940</v>
      </c>
      <c r="G78">
        <f>+C78-(C$7+F78*C$8)</f>
        <v>8.820000002742745E-3</v>
      </c>
      <c r="K78">
        <f>+G78</f>
        <v>8.820000002742745E-3</v>
      </c>
      <c r="O78">
        <f ca="1">+C$11+C$12*$F78</f>
        <v>1.687892814695495E-3</v>
      </c>
      <c r="P78">
        <f>+D$11+D$12*F78+D$13*F78^2</f>
        <v>1.1115188388722625E-2</v>
      </c>
      <c r="Q78" s="2">
        <f>+C78-15018.5</f>
        <v>41392.5818</v>
      </c>
      <c r="R78">
        <f>+(P78-G78)^2</f>
        <v>5.2678897271369268E-6</v>
      </c>
      <c r="S78" s="156">
        <v>1</v>
      </c>
      <c r="T78" s="155">
        <f>+S78*R78</f>
        <v>5.2678897271369268E-6</v>
      </c>
      <c r="X78">
        <f>G78-P78</f>
        <v>-2.2951883859798801E-3</v>
      </c>
      <c r="AD78">
        <v>10940</v>
      </c>
      <c r="AE78">
        <v>8.820000002742745E-3</v>
      </c>
      <c r="AF78">
        <f t="shared" si="1"/>
        <v>1.1579655181800139E-2</v>
      </c>
      <c r="AG78">
        <f t="shared" si="2"/>
        <v>7.6156967072982952E-6</v>
      </c>
      <c r="AI78" s="156">
        <v>1</v>
      </c>
    </row>
    <row r="79" spans="1:45">
      <c r="A79" s="84" t="s">
        <v>341</v>
      </c>
      <c r="B79" s="85" t="s">
        <v>81</v>
      </c>
      <c r="C79" s="86">
        <v>56411.263700000003</v>
      </c>
      <c r="D79" s="84" t="s">
        <v>191</v>
      </c>
      <c r="E79" s="145">
        <f>+(C79-C$7)/C$8</f>
        <v>10940.528534254148</v>
      </c>
      <c r="F79">
        <f>ROUND(2*E79,0)/2</f>
        <v>10940.5</v>
      </c>
      <c r="G79">
        <f>+C79-(C$7+F79*C$8)</f>
        <v>1.0296500004187692E-2</v>
      </c>
      <c r="K79">
        <f>+G79</f>
        <v>1.0296500004187692E-2</v>
      </c>
      <c r="O79">
        <f ca="1">+C$11+C$12*$F79</f>
        <v>1.6903540617427062E-3</v>
      </c>
      <c r="P79">
        <f>+D$11+D$12*F79+D$13*F79^2</f>
        <v>1.1116176643866762E-2</v>
      </c>
      <c r="Q79" s="2">
        <f>+C79-15018.5</f>
        <v>41392.763700000003</v>
      </c>
      <c r="R79">
        <f>+(P79-G79)^2</f>
        <v>6.7186979363557232E-7</v>
      </c>
      <c r="S79" s="156">
        <v>1</v>
      </c>
      <c r="T79" s="155">
        <f>+S79*R79</f>
        <v>6.7186979363557232E-7</v>
      </c>
      <c r="X79">
        <f>G79-P79</f>
        <v>-8.1967663967907022E-4</v>
      </c>
      <c r="AD79">
        <v>10940.5</v>
      </c>
      <c r="AE79">
        <v>1.0296500004187692E-2</v>
      </c>
      <c r="AF79">
        <f t="shared" si="1"/>
        <v>1.1580564498674444E-2</v>
      </c>
      <c r="AG79">
        <f t="shared" si="2"/>
        <v>1.6488216260015169E-6</v>
      </c>
      <c r="AI79" s="156">
        <v>1</v>
      </c>
    </row>
    <row r="80" spans="1:45">
      <c r="A80" s="159" t="s">
        <v>185</v>
      </c>
      <c r="B80" s="160" t="s">
        <v>80</v>
      </c>
      <c r="C80" s="82">
        <v>56460.519050000003</v>
      </c>
      <c r="D80" s="159">
        <v>1E-4</v>
      </c>
      <c r="E80" s="145">
        <f>+(C80-C$7)/C$8</f>
        <v>11077.027798485247</v>
      </c>
      <c r="F80">
        <f>ROUND(2*E80,0)/2</f>
        <v>11077</v>
      </c>
      <c r="G80">
        <f>+C80-(C$7+F80*C$8)</f>
        <v>1.0031000005255919E-2</v>
      </c>
      <c r="K80">
        <f>+G80</f>
        <v>1.0031000005255919E-2</v>
      </c>
      <c r="O80">
        <f ca="1">+C$11+C$12*$F80</f>
        <v>2.3622745056312636E-3</v>
      </c>
      <c r="P80">
        <f>+D$11+D$12*F80+D$13*F80^2</f>
        <v>1.1387613363232072E-2</v>
      </c>
      <c r="Q80" s="2">
        <f>+C80-15018.5</f>
        <v>41442.019050000003</v>
      </c>
      <c r="R80">
        <f>+(P80-G80)^2</f>
        <v>1.8403998030393352E-6</v>
      </c>
      <c r="S80" s="156">
        <v>1</v>
      </c>
      <c r="T80" s="155">
        <f>+S80*R80</f>
        <v>1.8403998030393352E-6</v>
      </c>
      <c r="X80">
        <f>G80-P80</f>
        <v>-1.3566133579761535E-3</v>
      </c>
      <c r="AD80">
        <v>11077</v>
      </c>
      <c r="AE80">
        <v>1.0031000005255919E-2</v>
      </c>
      <c r="AF80">
        <f t="shared" si="1"/>
        <v>1.1828808005359896E-2</v>
      </c>
      <c r="AG80">
        <f t="shared" si="2"/>
        <v>3.2321136052378626E-6</v>
      </c>
      <c r="AI80" s="156">
        <v>1</v>
      </c>
    </row>
    <row r="81" spans="1:35">
      <c r="A81" s="159" t="s">
        <v>185</v>
      </c>
      <c r="B81" s="160" t="s">
        <v>81</v>
      </c>
      <c r="C81" s="82">
        <v>56522.405650000001</v>
      </c>
      <c r="D81" s="159">
        <v>1E-4</v>
      </c>
      <c r="E81" s="145">
        <f>+(C81-C$7)/C$8</f>
        <v>11248.531510584829</v>
      </c>
      <c r="F81">
        <f>ROUND(2*E81,0)/2</f>
        <v>11248.5</v>
      </c>
      <c r="G81">
        <f>+C81-(C$7+F81*C$8)</f>
        <v>1.1370500003977213E-2</v>
      </c>
      <c r="K81">
        <f>+G81</f>
        <v>1.1370500003977213E-2</v>
      </c>
      <c r="O81">
        <f ca="1">+C$11+C$12*$F81</f>
        <v>3.2064822428245834E-3</v>
      </c>
      <c r="P81">
        <f>+D$11+D$12*F81+D$13*F81^2</f>
        <v>1.1733290292730634E-2</v>
      </c>
      <c r="Q81" s="2">
        <f>+C81-15018.5</f>
        <v>41503.905650000001</v>
      </c>
      <c r="R81">
        <f>+(P81-G81)^2</f>
        <v>1.3161679361379019E-7</v>
      </c>
      <c r="S81" s="156">
        <v>1</v>
      </c>
      <c r="T81" s="155">
        <f>+S81*R81</f>
        <v>1.3161679361379019E-7</v>
      </c>
      <c r="X81">
        <f>G81-P81</f>
        <v>-3.6279028875342047E-4</v>
      </c>
      <c r="AD81">
        <v>11248.5</v>
      </c>
      <c r="AE81">
        <v>1.1370500003977213E-2</v>
      </c>
      <c r="AF81">
        <f t="shared" si="1"/>
        <v>1.2140703693246747E-2</v>
      </c>
      <c r="AG81">
        <f t="shared" si="2"/>
        <v>5.9321372296440144E-7</v>
      </c>
      <c r="AI81" s="156">
        <v>1</v>
      </c>
    </row>
    <row r="82" spans="1:35">
      <c r="A82" s="159" t="s">
        <v>185</v>
      </c>
      <c r="B82" s="160" t="s">
        <v>81</v>
      </c>
      <c r="C82" s="82">
        <v>56777.526510000003</v>
      </c>
      <c r="D82" s="159">
        <v>1E-4</v>
      </c>
      <c r="E82" s="145">
        <f>+(C82-C$7)/C$8</f>
        <v>11955.537139009071</v>
      </c>
      <c r="F82">
        <f>ROUND(2*E82,0)/2</f>
        <v>11955.5</v>
      </c>
      <c r="G82">
        <f>+C82-(C$7+F82*C$8)</f>
        <v>1.3401500007603317E-2</v>
      </c>
      <c r="K82">
        <f>+G82</f>
        <v>1.3401500007603317E-2</v>
      </c>
      <c r="O82">
        <f ca="1">+C$11+C$12*$F82</f>
        <v>6.6866855675807094E-3</v>
      </c>
      <c r="P82">
        <f>+D$11+D$12*F82+D$13*F82^2</f>
        <v>1.3212896898221303E-2</v>
      </c>
      <c r="Q82" s="2">
        <f>+C82-15018.5</f>
        <v>41759.026510000003</v>
      </c>
      <c r="R82">
        <f>+(P82-G82)^2</f>
        <v>3.5571132868564158E-8</v>
      </c>
      <c r="S82" s="156">
        <v>1</v>
      </c>
      <c r="T82" s="155">
        <f>+S82*R82</f>
        <v>3.5571132868564158E-8</v>
      </c>
      <c r="X82">
        <f>G82-P82</f>
        <v>1.8860310938201459E-4</v>
      </c>
      <c r="AD82">
        <v>11955.5</v>
      </c>
      <c r="AE82">
        <v>1.3401500007603317E-2</v>
      </c>
      <c r="AF82">
        <f t="shared" si="1"/>
        <v>1.3426477753514989E-2</v>
      </c>
      <c r="AG82">
        <f t="shared" si="2"/>
        <v>6.238877908280299E-10</v>
      </c>
      <c r="AI82" s="156">
        <v>1</v>
      </c>
    </row>
    <row r="83" spans="1:35">
      <c r="A83" s="158" t="s">
        <v>184</v>
      </c>
      <c r="B83" s="157" t="s">
        <v>80</v>
      </c>
      <c r="C83" s="158">
        <v>56810.541299999997</v>
      </c>
      <c r="D83" s="158">
        <v>2E-3</v>
      </c>
      <c r="E83" s="145">
        <f>+(C83-C$7)/C$8</f>
        <v>12047.029627515263</v>
      </c>
      <c r="F83">
        <f>ROUND(2*E83,0)/2</f>
        <v>12047</v>
      </c>
      <c r="G83">
        <f>+C83-(C$7+F83*C$8)</f>
        <v>1.0691000003134832E-2</v>
      </c>
      <c r="I83">
        <f>+G83</f>
        <v>1.0691000003134832E-2</v>
      </c>
      <c r="O83">
        <f ca="1">+C$11+C$12*$F83</f>
        <v>7.1370937772202922E-3</v>
      </c>
      <c r="P83">
        <f>+D$11+D$12*F83+D$13*F83^2</f>
        <v>1.341080715659285E-2</v>
      </c>
      <c r="Q83" s="2">
        <f>+C83-15018.5</f>
        <v>41792.041299999997</v>
      </c>
      <c r="R83">
        <f>+(P83-G83)^2</f>
        <v>7.3973509520014083E-6</v>
      </c>
      <c r="S83" s="156">
        <v>0.2</v>
      </c>
      <c r="T83" s="155">
        <f>+S83*R83</f>
        <v>1.4794701904002818E-6</v>
      </c>
      <c r="X83">
        <f>G83-P83</f>
        <v>-2.7198071534580183E-3</v>
      </c>
      <c r="AD83">
        <v>12047</v>
      </c>
      <c r="AE83">
        <v>1.0691000003134832E-2</v>
      </c>
      <c r="AF83">
        <f t="shared" si="1"/>
        <v>1.3592882741512928E-2</v>
      </c>
      <c r="AG83">
        <f t="shared" si="2"/>
        <v>1.6841846854593518E-6</v>
      </c>
      <c r="AI83" s="156">
        <v>0.2</v>
      </c>
    </row>
    <row r="84" spans="1:35">
      <c r="A84" s="159" t="s">
        <v>185</v>
      </c>
      <c r="B84" s="160" t="s">
        <v>80</v>
      </c>
      <c r="C84" s="82">
        <v>56817.398379999999</v>
      </c>
      <c r="D84" s="159">
        <v>1E-4</v>
      </c>
      <c r="E84" s="145">
        <f>+(C84-C$7)/C$8</f>
        <v>12066.032362746544</v>
      </c>
      <c r="F84">
        <f>ROUND(2*E84,0)/2</f>
        <v>12066</v>
      </c>
      <c r="G84">
        <f>+C84-(C$7+F84*C$8)</f>
        <v>1.1678000002575573E-2</v>
      </c>
      <c r="K84">
        <f>+G84</f>
        <v>1.1678000002575573E-2</v>
      </c>
      <c r="O84">
        <f ca="1">+C$11+C$12*$F84</f>
        <v>7.2306211650143004E-3</v>
      </c>
      <c r="P84">
        <f>+D$11+D$12*F84+D$13*F84^2</f>
        <v>1.3452087742275643E-2</v>
      </c>
      <c r="Q84" s="2">
        <f>+C84-15018.5</f>
        <v>41798.898379999999</v>
      </c>
      <c r="R84">
        <f>+(P84-G84)^2</f>
        <v>3.1473873081541065E-6</v>
      </c>
      <c r="S84" s="156">
        <v>1</v>
      </c>
      <c r="T84" s="155">
        <f>+S84*R84</f>
        <v>3.1473873081541065E-6</v>
      </c>
      <c r="X84">
        <f>G84-P84</f>
        <v>-1.7740877397000709E-3</v>
      </c>
      <c r="AD84">
        <v>12066</v>
      </c>
      <c r="AE84">
        <v>1.1678000002575573E-2</v>
      </c>
      <c r="AF84">
        <f t="shared" ref="AF84:AF93" si="3">AF$48+AF$49*AD84</f>
        <v>1.3627436782736545E-2</v>
      </c>
      <c r="AG84">
        <f t="shared" ref="AG84:AG93" si="4">AI84*(AF84-AE84)^2</f>
        <v>3.8003037598443814E-6</v>
      </c>
      <c r="AI84" s="156">
        <v>1</v>
      </c>
    </row>
    <row r="85" spans="1:35">
      <c r="A85" s="158" t="s">
        <v>184</v>
      </c>
      <c r="B85" s="157" t="s">
        <v>80</v>
      </c>
      <c r="C85" s="158">
        <v>56831.472800000003</v>
      </c>
      <c r="D85" s="158">
        <v>4.0000000000000001E-3</v>
      </c>
      <c r="E85" s="145">
        <f>+(C85-C$7)/C$8</f>
        <v>12105.036206480881</v>
      </c>
      <c r="F85">
        <f>ROUND(2*E85,0)/2</f>
        <v>12105</v>
      </c>
      <c r="G85">
        <f>+C85-(C$7+F85*C$8)</f>
        <v>1.3065000006463379E-2</v>
      </c>
      <c r="I85">
        <f>+G85</f>
        <v>1.3065000006463379E-2</v>
      </c>
      <c r="O85">
        <f ca="1">+C$11+C$12*$F85</f>
        <v>7.4225984346967464E-3</v>
      </c>
      <c r="P85">
        <f>+D$11+D$12*F85+D$13*F85^2</f>
        <v>1.3537020320093324E-2</v>
      </c>
      <c r="Q85" s="2">
        <f>+C85-15018.5</f>
        <v>41812.972800000003</v>
      </c>
      <c r="R85">
        <f>+(P85-G85)^2</f>
        <v>2.2280317647931166E-7</v>
      </c>
      <c r="S85" s="156">
        <v>0.1</v>
      </c>
      <c r="T85" s="155">
        <f>+S85*R85</f>
        <v>2.2280317647931166E-8</v>
      </c>
      <c r="X85">
        <f>G85-P85</f>
        <v>-4.7202031362994501E-4</v>
      </c>
      <c r="AD85">
        <v>12105</v>
      </c>
      <c r="AE85">
        <v>1.3065000006463379E-2</v>
      </c>
      <c r="AF85">
        <f t="shared" si="3"/>
        <v>1.369836349893239E-2</v>
      </c>
      <c r="AG85">
        <f t="shared" si="4"/>
        <v>4.0114931359254347E-8</v>
      </c>
      <c r="AI85" s="156">
        <v>0.1</v>
      </c>
    </row>
    <row r="86" spans="1:35">
      <c r="A86" s="159" t="s">
        <v>192</v>
      </c>
      <c r="B86" s="160"/>
      <c r="C86" s="159">
        <v>57158.402300000002</v>
      </c>
      <c r="D86" s="159">
        <v>3.2000000000000002E-3</v>
      </c>
      <c r="E86" s="145">
        <f>+(C86-C$7)/C$8</f>
        <v>13011.042076004525</v>
      </c>
      <c r="F86">
        <f>ROUND(2*E86,0)/2</f>
        <v>13011</v>
      </c>
      <c r="G86">
        <f>+C86-(C$7+F86*C$8)</f>
        <v>1.5183000003162306E-2</v>
      </c>
      <c r="I86">
        <f>+G86</f>
        <v>1.5183000003162306E-2</v>
      </c>
      <c r="O86">
        <f ca="1">+C$11+C$12*$F86</f>
        <v>1.1882378084242792E-2</v>
      </c>
      <c r="P86">
        <f>+D$11+D$12*F86+D$13*F86^2</f>
        <v>1.5585294321204674E-2</v>
      </c>
      <c r="Q86" s="2">
        <f>+C86-15018.5</f>
        <v>42139.902300000002</v>
      </c>
      <c r="R86">
        <f>+(P86-G86)^2</f>
        <v>1.6184071832917369E-7</v>
      </c>
      <c r="S86" s="156">
        <v>1</v>
      </c>
      <c r="T86" s="155">
        <f>+S86*R86</f>
        <v>1.6184071832917369E-7</v>
      </c>
      <c r="X86">
        <f>G86-P86</f>
        <v>-4.022943180423677E-4</v>
      </c>
      <c r="AD86">
        <v>13011</v>
      </c>
      <c r="AE86">
        <v>1.5183000003162306E-2</v>
      </c>
      <c r="AF86">
        <f t="shared" si="3"/>
        <v>1.5346045675174294E-2</v>
      </c>
      <c r="AG86">
        <f t="shared" si="4"/>
        <v>2.6583891161840855E-8</v>
      </c>
      <c r="AI86" s="156">
        <v>1</v>
      </c>
    </row>
    <row r="87" spans="1:35">
      <c r="A87" s="168" t="s">
        <v>358</v>
      </c>
      <c r="B87" s="169" t="s">
        <v>80</v>
      </c>
      <c r="C87" s="170">
        <v>57160.56609</v>
      </c>
      <c r="D87" s="170">
        <v>1E-4</v>
      </c>
      <c r="E87" s="145">
        <f>+(C87-C$7)/C$8</f>
        <v>13017.038495539671</v>
      </c>
      <c r="F87">
        <f>ROUND(2*E87,0)/2</f>
        <v>13017</v>
      </c>
      <c r="G87">
        <f>+C87-(C$7+F87*C$8)</f>
        <v>1.3891000002331566E-2</v>
      </c>
      <c r="K87">
        <f>+G87</f>
        <v>1.3891000002331566E-2</v>
      </c>
      <c r="O87">
        <f ca="1">+C$11+C$12*$F87</f>
        <v>1.1911913048809314E-2</v>
      </c>
      <c r="P87">
        <f>+D$11+D$12*F87+D$13*F87^2</f>
        <v>1.5599339831045715E-2</v>
      </c>
      <c r="Q87" s="2">
        <f>+C87-15018.5</f>
        <v>42142.06609</v>
      </c>
      <c r="R87">
        <f>+(P87-G87)^2</f>
        <v>2.9184249703710881E-6</v>
      </c>
      <c r="S87" s="156">
        <v>1</v>
      </c>
      <c r="T87" s="155">
        <f>+S87*R87</f>
        <v>2.9184249703710881E-6</v>
      </c>
      <c r="X87">
        <f>G87-P87</f>
        <v>-1.7083398287141491E-3</v>
      </c>
      <c r="AD87">
        <v>13017</v>
      </c>
      <c r="AE87">
        <v>1.3891000002331566E-2</v>
      </c>
      <c r="AF87">
        <f t="shared" si="3"/>
        <v>1.5356957477665963E-2</v>
      </c>
      <c r="AG87">
        <f t="shared" si="4"/>
        <v>2.1490313194887997E-6</v>
      </c>
      <c r="AI87" s="156">
        <v>1</v>
      </c>
    </row>
    <row r="88" spans="1:35">
      <c r="A88" s="168" t="s">
        <v>358</v>
      </c>
      <c r="B88" s="169" t="s">
        <v>81</v>
      </c>
      <c r="C88" s="170">
        <v>57179.511760000001</v>
      </c>
      <c r="D88" s="170">
        <v>1E-4</v>
      </c>
      <c r="E88" s="145">
        <f>+(C88-C$7)/C$8</f>
        <v>13069.541827976967</v>
      </c>
      <c r="F88">
        <f>ROUND(2*E88,0)/2</f>
        <v>13069.5</v>
      </c>
      <c r="G88">
        <f>+C88-(C$7+F88*C$8)</f>
        <v>1.5093500005605165E-2</v>
      </c>
      <c r="K88">
        <f>+G88</f>
        <v>1.5093500005605165E-2</v>
      </c>
      <c r="O88">
        <f ca="1">+C$11+C$12*$F88</f>
        <v>1.2170343988766458E-2</v>
      </c>
      <c r="P88">
        <f>+D$11+D$12*F88+D$13*F88^2</f>
        <v>1.5722507888598934E-2</v>
      </c>
      <c r="Q88" s="2">
        <f>+C88-15018.5</f>
        <v>42161.011760000001</v>
      </c>
      <c r="R88">
        <f>+(P88-G88)^2</f>
        <v>3.9565091686830333E-7</v>
      </c>
      <c r="S88" s="156">
        <v>1</v>
      </c>
      <c r="T88" s="155">
        <f>+S88*R88</f>
        <v>3.9565091686830333E-7</v>
      </c>
      <c r="X88">
        <f>G88-P88</f>
        <v>-6.2900788299376925E-4</v>
      </c>
      <c r="AD88">
        <v>13069.5</v>
      </c>
      <c r="AE88">
        <v>1.5093500005605165E-2</v>
      </c>
      <c r="AF88">
        <f t="shared" si="3"/>
        <v>1.5452435749468058E-2</v>
      </c>
      <c r="AG88">
        <f t="shared" si="4"/>
        <v>1.2883486822240806E-7</v>
      </c>
      <c r="AI88" s="156">
        <v>1</v>
      </c>
    </row>
    <row r="89" spans="1:35">
      <c r="A89" s="168" t="s">
        <v>358</v>
      </c>
      <c r="B89" s="169" t="s">
        <v>80</v>
      </c>
      <c r="C89" s="171">
        <v>57207.477379999997</v>
      </c>
      <c r="D89" s="171">
        <v>1E-4</v>
      </c>
      <c r="E89" s="145">
        <f>+(C89-C$7)/C$8</f>
        <v>13147.041765623657</v>
      </c>
      <c r="F89">
        <f>ROUND(2*E89,0)/2</f>
        <v>13147</v>
      </c>
      <c r="G89">
        <f>+C89-(C$7+F89*C$8)</f>
        <v>1.5071000001626089E-2</v>
      </c>
      <c r="K89">
        <f>+G89</f>
        <v>1.5071000001626089E-2</v>
      </c>
      <c r="O89">
        <f ca="1">+C$11+C$12*$F89</f>
        <v>1.2551837281084138E-2</v>
      </c>
      <c r="P89">
        <f>+D$11+D$12*F89+D$13*F89^2</f>
        <v>1.5905212612687323E-2</v>
      </c>
      <c r="Q89" s="2">
        <f>+C89-15018.5</f>
        <v>42188.977379999997</v>
      </c>
      <c r="R89">
        <f>+(P89-G89)^2</f>
        <v>6.9591068045360115E-7</v>
      </c>
      <c r="S89" s="156">
        <v>1</v>
      </c>
      <c r="T89" s="155">
        <f>+S89*R89</f>
        <v>6.9591068045360115E-7</v>
      </c>
      <c r="X89">
        <f>G89-P89</f>
        <v>-8.3421261106123371E-4</v>
      </c>
      <c r="AD89">
        <v>13147</v>
      </c>
      <c r="AE89">
        <v>1.5071000001626089E-2</v>
      </c>
      <c r="AF89">
        <f t="shared" si="3"/>
        <v>1.5593379864985442E-2</v>
      </c>
      <c r="AG89">
        <f t="shared" si="4"/>
        <v>2.7288072164333594E-7</v>
      </c>
      <c r="AI89" s="156">
        <v>1</v>
      </c>
    </row>
    <row r="90" spans="1:35">
      <c r="A90" s="98" t="s">
        <v>363</v>
      </c>
      <c r="B90" s="99" t="s">
        <v>80</v>
      </c>
      <c r="C90" s="100">
        <v>57227.684699999998</v>
      </c>
      <c r="D90" s="100">
        <v>1E-4</v>
      </c>
      <c r="E90" s="145">
        <f>+(C90-C$7)/C$8</f>
        <v>13203.041455242806</v>
      </c>
      <c r="F90">
        <f>ROUND(2*E90,0)/2</f>
        <v>13203</v>
      </c>
      <c r="G90">
        <f>+C90-(C$7+F90*C$8)</f>
        <v>1.4959000000089873E-2</v>
      </c>
      <c r="K90">
        <f>+G90</f>
        <v>1.4959000000089873E-2</v>
      </c>
      <c r="O90">
        <f ca="1">+C$11+C$12*$F90</f>
        <v>1.2827496950371747E-2</v>
      </c>
      <c r="P90">
        <f>+D$11+D$12*F90+D$13*F90^2</f>
        <v>1.6037888367078486E-2</v>
      </c>
      <c r="Q90" s="2">
        <f>+C90-15018.5</f>
        <v>42209.184699999998</v>
      </c>
      <c r="R90">
        <f>+(P90-G90)^2</f>
        <v>1.1640001084233566E-6</v>
      </c>
      <c r="S90" s="156">
        <v>1</v>
      </c>
      <c r="T90" s="155">
        <f>+S90*R90</f>
        <v>1.1640001084233566E-6</v>
      </c>
      <c r="X90">
        <f>G90-P90</f>
        <v>-1.0788883669886132E-3</v>
      </c>
      <c r="AD90">
        <v>13203</v>
      </c>
      <c r="AE90">
        <v>1.4959000000089873E-2</v>
      </c>
      <c r="AF90">
        <f t="shared" si="3"/>
        <v>1.5695223354907677E-2</v>
      </c>
      <c r="AG90">
        <f t="shared" si="4"/>
        <v>5.4202482817918317E-7</v>
      </c>
      <c r="AI90" s="156">
        <v>1</v>
      </c>
    </row>
    <row r="91" spans="1:35">
      <c r="A91" s="172" t="s">
        <v>48</v>
      </c>
      <c r="B91" s="173" t="s">
        <v>80</v>
      </c>
      <c r="C91" s="174">
        <v>57546.497499999998</v>
      </c>
      <c r="D91" s="174" t="s">
        <v>49</v>
      </c>
      <c r="E91" s="145">
        <f>+(C91-C$7)/C$8</f>
        <v>14086.553858006304</v>
      </c>
      <c r="F91">
        <f>ROUND(2*E91,0)/2</f>
        <v>14086.5</v>
      </c>
      <c r="G91">
        <f>+C91-(C$7+F91*C$8)</f>
        <v>1.9434499998169485E-2</v>
      </c>
      <c r="K91">
        <f>+G91</f>
        <v>1.9434499998169485E-2</v>
      </c>
      <c r="O91">
        <f ca="1">+C$11+C$12*$F91</f>
        <v>1.7176520482793306E-2</v>
      </c>
      <c r="P91">
        <f>+D$11+D$12*F91+D$13*F91^2</f>
        <v>1.8204015087692257E-2</v>
      </c>
      <c r="Q91" s="2">
        <f>+C91-15018.5</f>
        <v>42527.997499999998</v>
      </c>
      <c r="R91">
        <f>+(P91-G91)^2</f>
        <v>1.5140931149121537E-6</v>
      </c>
      <c r="S91" s="156">
        <v>1</v>
      </c>
      <c r="T91" s="155">
        <f>+S91*R91</f>
        <v>1.5140931149121537E-6</v>
      </c>
      <c r="X91">
        <f>G91-P91</f>
        <v>1.2304849104772288E-3</v>
      </c>
      <c r="AD91">
        <v>14086.5</v>
      </c>
      <c r="AE91">
        <v>1.9434499998169485E-2</v>
      </c>
      <c r="AF91">
        <f t="shared" si="3"/>
        <v>1.7301986271805826E-2</v>
      </c>
      <c r="AG91">
        <f t="shared" si="4"/>
        <v>4.5476147931294199E-6</v>
      </c>
      <c r="AI91" s="156">
        <v>1</v>
      </c>
    </row>
    <row r="92" spans="1:35">
      <c r="A92" s="98" t="s">
        <v>364</v>
      </c>
      <c r="B92" s="99" t="s">
        <v>80</v>
      </c>
      <c r="C92" s="100">
        <v>57551.725899999998</v>
      </c>
      <c r="D92" s="100">
        <v>1E-4</v>
      </c>
      <c r="E92" s="145">
        <f>+(C92-C$7)/C$8</f>
        <v>14101.043101369836</v>
      </c>
      <c r="F92">
        <f>ROUND(2*E92,0)/2</f>
        <v>14101</v>
      </c>
      <c r="O92">
        <f ca="1">+C$11+C$12*$F92</f>
        <v>1.724789664716242E-2</v>
      </c>
      <c r="P92">
        <f>+D$11+D$12*F92+D$13*F92^2</f>
        <v>1.8240709606802245E-2</v>
      </c>
      <c r="Q92" s="2">
        <f>+C92-15018.5</f>
        <v>42533.225899999998</v>
      </c>
      <c r="R92">
        <f>+(P92-U92)^2</f>
        <v>7.223782944186665E-6</v>
      </c>
      <c r="S92" s="156"/>
      <c r="T92" s="155">
        <f>+S92*R92</f>
        <v>0</v>
      </c>
      <c r="U92">
        <f>+C92-(C$7+F92*C$8)</f>
        <v>1.5552999997453298E-2</v>
      </c>
      <c r="X92">
        <f>U92-P92</f>
        <v>-2.6877096093489462E-3</v>
      </c>
      <c r="AD92">
        <v>14101</v>
      </c>
      <c r="AE92">
        <v>1.5552999997453298E-2</v>
      </c>
      <c r="AF92">
        <f t="shared" si="3"/>
        <v>1.7328356461160693E-2</v>
      </c>
      <c r="AG92">
        <f t="shared" si="4"/>
        <v>0</v>
      </c>
      <c r="AI92" s="156"/>
    </row>
    <row r="93" spans="1:35">
      <c r="A93" s="168" t="s">
        <v>358</v>
      </c>
      <c r="B93" s="169" t="s">
        <v>81</v>
      </c>
      <c r="C93" s="171">
        <v>57571.395920000003</v>
      </c>
      <c r="D93" s="171">
        <v>1E-4</v>
      </c>
      <c r="E93" s="145">
        <f>+(C93-C$7)/C$8</f>
        <v>14155.553794267393</v>
      </c>
      <c r="F93">
        <f>ROUND(2*E93,0)/2</f>
        <v>14155.5</v>
      </c>
      <c r="G93">
        <f>+C93-(C$7+F93*C$8)</f>
        <v>1.9411500004935078E-2</v>
      </c>
      <c r="K93">
        <f>+G93</f>
        <v>1.9411500004935078E-2</v>
      </c>
      <c r="O93">
        <f ca="1">+C$11+C$12*$F93</f>
        <v>1.7516172575308395E-2</v>
      </c>
      <c r="P93">
        <f>+D$11+D$12*F93+D$13*F93^2</f>
        <v>1.8378960790915708E-2</v>
      </c>
      <c r="Q93" s="2">
        <f>+C93-15018.5</f>
        <v>42552.895920000003</v>
      </c>
      <c r="R93">
        <f>+(P93-G93)^2</f>
        <v>1.0661372284877398E-6</v>
      </c>
      <c r="S93" s="156">
        <v>1</v>
      </c>
      <c r="T93" s="155">
        <f>+S93*R93</f>
        <v>1.0661372284877398E-6</v>
      </c>
      <c r="X93">
        <f>G93-P93</f>
        <v>1.0325392140193707E-3</v>
      </c>
      <c r="AD93">
        <v>14155.5</v>
      </c>
      <c r="AE93">
        <v>1.9411500004935078E-2</v>
      </c>
      <c r="AF93">
        <f t="shared" si="3"/>
        <v>1.742747200046001E-2</v>
      </c>
      <c r="AG93">
        <f t="shared" si="4"/>
        <v>3.9363671225413219E-6</v>
      </c>
      <c r="AI93" s="156">
        <v>1</v>
      </c>
    </row>
    <row r="94" spans="1:35">
      <c r="A94" s="183" t="s">
        <v>1</v>
      </c>
      <c r="B94" s="184" t="s">
        <v>80</v>
      </c>
      <c r="C94" s="184">
        <v>57884.432399999998</v>
      </c>
      <c r="D94" s="184">
        <v>5.9999999999999995E-4</v>
      </c>
      <c r="E94" s="145">
        <f>+(C94-C$7)/C$8</f>
        <v>15023.058526189774</v>
      </c>
      <c r="F94">
        <f>ROUND(2*E94,0)/2</f>
        <v>15023</v>
      </c>
      <c r="G94">
        <f>+C94-(C$7+F94*C$8)</f>
        <v>2.1119000004546251E-2</v>
      </c>
      <c r="K94">
        <f>+G94</f>
        <v>2.1119000004546251E-2</v>
      </c>
      <c r="O94">
        <f ca="1">+C$11+C$12*$F94</f>
        <v>2.1786436202219206E-2</v>
      </c>
      <c r="P94">
        <f>+D$11+D$12*F94+D$13*F94^2</f>
        <v>2.0649839676156048E-2</v>
      </c>
      <c r="Q94" s="2">
        <f>+C94-15018.5</f>
        <v>42865.932399999998</v>
      </c>
      <c r="R94">
        <f>+(P94-G94)^2</f>
        <v>2.2011141373520371E-7</v>
      </c>
      <c r="S94" s="156">
        <v>1</v>
      </c>
      <c r="T94" s="155">
        <f>+S94*R94</f>
        <v>2.2011141373520371E-7</v>
      </c>
      <c r="X94">
        <f>G94-P94</f>
        <v>4.6916032839020363E-4</v>
      </c>
      <c r="AD94">
        <v>14210</v>
      </c>
      <c r="AE94">
        <v>2.32700000124169E-2</v>
      </c>
      <c r="AF94">
        <f t="shared" ref="AF94:AF101" si="5">AF$48+AF$49*AD94</f>
        <v>1.7526587539759331E-2</v>
      </c>
      <c r="AG94">
        <f t="shared" ref="AG94:AG101" si="6">AI94*(AF94-AE94)^2</f>
        <v>3.2986786831078535E-5</v>
      </c>
      <c r="AI94" s="156">
        <v>1</v>
      </c>
    </row>
    <row r="95" spans="1:35">
      <c r="A95" s="89" t="s">
        <v>362</v>
      </c>
      <c r="B95" s="3" t="s">
        <v>81</v>
      </c>
      <c r="C95" s="175">
        <v>57920.698299999996</v>
      </c>
      <c r="D95" s="175">
        <v>2.0000000000000001E-4</v>
      </c>
      <c r="E95" s="145">
        <f>+(C95-C$7)/C$8</f>
        <v>15123.560678071315</v>
      </c>
      <c r="F95">
        <f>ROUND(2*E95,0)/2</f>
        <v>15123.5</v>
      </c>
      <c r="G95">
        <f>+C95-(C$7+F95*C$8)</f>
        <v>2.1895500001846813E-2</v>
      </c>
      <c r="K95">
        <f>+G95</f>
        <v>2.1895500001846813E-2</v>
      </c>
      <c r="O95">
        <f ca="1">+C$11+C$12*$F95</f>
        <v>2.2281146858708578E-2</v>
      </c>
      <c r="P95">
        <f>+D$11+D$12*F95+D$13*F95^2</f>
        <v>2.0921468897797401E-2</v>
      </c>
      <c r="Q95" s="2">
        <f>+C95-15018.5</f>
        <v>42902.198299999996</v>
      </c>
      <c r="R95">
        <f>+(P95-G95)^2</f>
        <v>9.4873659165571582E-7</v>
      </c>
      <c r="S95" s="156">
        <v>1</v>
      </c>
      <c r="T95" s="155">
        <f>+S95*R95</f>
        <v>9.4873659165571582E-7</v>
      </c>
      <c r="X95">
        <f>G95-P95</f>
        <v>9.7403110404941165E-4</v>
      </c>
      <c r="AD95">
        <v>15123.5</v>
      </c>
      <c r="AE95">
        <v>2.1895500001846813E-2</v>
      </c>
      <c r="AF95">
        <f t="shared" si="5"/>
        <v>1.9187909469115822E-2</v>
      </c>
      <c r="AG95">
        <f t="shared" si="6"/>
        <v>7.3310464929344894E-6</v>
      </c>
      <c r="AI95" s="156">
        <v>1</v>
      </c>
    </row>
    <row r="96" spans="1:35">
      <c r="A96" s="89" t="s">
        <v>362</v>
      </c>
      <c r="B96" s="3" t="s">
        <v>80</v>
      </c>
      <c r="C96" s="175">
        <v>57920.877899999999</v>
      </c>
      <c r="D96" s="175">
        <v>2.9999999999999997E-4</v>
      </c>
      <c r="E96" s="145">
        <f>+(C96-C$7)/C$8</f>
        <v>15124.05839594067</v>
      </c>
      <c r="F96">
        <f>ROUND(2*E96,0)/2</f>
        <v>15124</v>
      </c>
      <c r="G96">
        <f>+C96-(C$7+F96*C$8)</f>
        <v>2.1072000003186986E-2</v>
      </c>
      <c r="K96">
        <f>+G96</f>
        <v>2.1072000003186986E-2</v>
      </c>
      <c r="O96">
        <f ca="1">+C$11+C$12*$F96</f>
        <v>2.2283608105755789E-2</v>
      </c>
      <c r="P96">
        <f>+D$11+D$12*F96+D$13*F96^2</f>
        <v>2.0922824723995346E-2</v>
      </c>
      <c r="Q96" s="2">
        <f>+C96-15018.5</f>
        <v>42902.377899999999</v>
      </c>
      <c r="R96">
        <f>+(P96-G96)^2</f>
        <v>2.2253263921903727E-8</v>
      </c>
      <c r="S96" s="156">
        <v>1</v>
      </c>
      <c r="T96" s="155">
        <f>+S96*R96</f>
        <v>2.2253263921903727E-8</v>
      </c>
      <c r="X96">
        <f>G96-P96</f>
        <v>1.4917527919163995E-4</v>
      </c>
      <c r="AD96">
        <v>15124</v>
      </c>
      <c r="AE96">
        <v>2.1072000003186986E-2</v>
      </c>
      <c r="AF96">
        <f t="shared" si="5"/>
        <v>1.9188818785990127E-2</v>
      </c>
      <c r="AG96">
        <f t="shared" si="6"/>
        <v>3.5463714968030427E-6</v>
      </c>
      <c r="AI96" s="156">
        <v>1</v>
      </c>
    </row>
    <row r="97" spans="1:35" s="64" customFormat="1">
      <c r="A97" s="89" t="s">
        <v>362</v>
      </c>
      <c r="B97" s="3" t="s">
        <v>80</v>
      </c>
      <c r="C97" s="177">
        <v>57922.682200000003</v>
      </c>
      <c r="D97" s="176">
        <v>2.0000000000000001E-4</v>
      </c>
      <c r="E97" s="145">
        <f>+(C97-C$7)/C$8</f>
        <v>15129.058576072424</v>
      </c>
      <c r="F97">
        <f>ROUND(2*E97,0)/2</f>
        <v>15129</v>
      </c>
      <c r="G97">
        <f>+C97-(C$7+F97*C$8)</f>
        <v>2.1137000003363937E-2</v>
      </c>
      <c r="H97"/>
      <c r="I97"/>
      <c r="J97"/>
      <c r="K97">
        <f>+G97</f>
        <v>2.1137000003363937E-2</v>
      </c>
      <c r="L97"/>
      <c r="M97"/>
      <c r="N97"/>
      <c r="O97">
        <f ca="1">+C$11+C$12*$F97</f>
        <v>2.2308220576227902E-2</v>
      </c>
      <c r="P97">
        <f>+D$11+D$12*F97+D$13*F97^2</f>
        <v>2.0936385402182255E-2</v>
      </c>
      <c r="Q97" s="2">
        <f>+C97-15018.5</f>
        <v>42904.182200000003</v>
      </c>
      <c r="R97">
        <f>+(P97-G97)^2</f>
        <v>4.0246218207285551E-8</v>
      </c>
      <c r="S97" s="156">
        <v>1</v>
      </c>
      <c r="T97" s="155">
        <f>+S97*R97</f>
        <v>4.0246218207285551E-8</v>
      </c>
      <c r="U97"/>
      <c r="V97"/>
      <c r="W97"/>
      <c r="X97">
        <f>G97-P97</f>
        <v>2.0061460118168256E-4</v>
      </c>
      <c r="AD97" s="145">
        <v>15129</v>
      </c>
      <c r="AE97" s="145">
        <v>2.1137000003363937E-2</v>
      </c>
      <c r="AF97">
        <f t="shared" si="5"/>
        <v>1.9197911954733183E-2</v>
      </c>
      <c r="AG97">
        <f t="shared" si="6"/>
        <v>3.7600624603426261E-6</v>
      </c>
      <c r="AI97" s="156">
        <v>1</v>
      </c>
    </row>
    <row r="98" spans="1:35">
      <c r="A98" s="89" t="s">
        <v>362</v>
      </c>
      <c r="B98" s="3" t="s">
        <v>81</v>
      </c>
      <c r="C98" s="176">
        <v>57922.863899999997</v>
      </c>
      <c r="D98" s="176">
        <v>2.9999999999999997E-4</v>
      </c>
      <c r="E98" s="145">
        <f>+(C98-C$7)/C$8</f>
        <v>15129.562113582766</v>
      </c>
      <c r="F98">
        <f>ROUND(2*E98,0)/2</f>
        <v>15129.5</v>
      </c>
      <c r="G98">
        <f>+C98-(C$7+F98*C$8)</f>
        <v>2.2413500002585351E-2</v>
      </c>
      <c r="K98">
        <f>+G98</f>
        <v>2.2413500002585351E-2</v>
      </c>
      <c r="O98">
        <f ca="1">+C$11+C$12*$F98</f>
        <v>2.2310681823275114E-2</v>
      </c>
      <c r="P98">
        <f>+D$11+D$12*F98+D$13*F98^2</f>
        <v>2.0937741711621695E-2</v>
      </c>
      <c r="Q98" s="2">
        <f>+C98-15018.5</f>
        <v>42904.363899999997</v>
      </c>
      <c r="R98">
        <f>+(P98-G98)^2</f>
        <v>2.1778625333479724E-6</v>
      </c>
      <c r="S98" s="156">
        <v>1</v>
      </c>
      <c r="T98" s="155">
        <f>+S98*R98</f>
        <v>2.1778625333479724E-6</v>
      </c>
      <c r="X98">
        <f>G98-P98</f>
        <v>1.4757582909636566E-3</v>
      </c>
      <c r="AD98">
        <v>15129.5</v>
      </c>
      <c r="AE98">
        <v>2.2413500002585351E-2</v>
      </c>
      <c r="AF98">
        <f t="shared" si="5"/>
        <v>1.9198821271607491E-2</v>
      </c>
      <c r="AG98">
        <f t="shared" si="6"/>
        <v>1.0334159343401426E-5</v>
      </c>
      <c r="AI98" s="156">
        <v>1</v>
      </c>
    </row>
    <row r="99" spans="1:35">
      <c r="A99" s="91" t="s">
        <v>359</v>
      </c>
      <c r="B99" s="178" t="s">
        <v>81</v>
      </c>
      <c r="C99" s="179">
        <v>58212.982499999998</v>
      </c>
      <c r="D99" s="179">
        <v>2.0000000000000001E-4</v>
      </c>
      <c r="E99" s="64">
        <f>+(C99-C$7)/C$8</f>
        <v>15933.555495819563</v>
      </c>
      <c r="F99" s="64">
        <f>ROUND(2*E99,0)/2</f>
        <v>15933.5</v>
      </c>
      <c r="H99" s="64"/>
      <c r="I99" s="64"/>
      <c r="J99" s="64"/>
      <c r="L99" s="64"/>
      <c r="M99" s="64"/>
      <c r="N99" s="64"/>
      <c r="O99" s="64">
        <f ca="1">+C$11+C$12*$F99</f>
        <v>2.6268367075190133E-2</v>
      </c>
      <c r="P99" s="64">
        <f>+D$11+D$12*F99+D$13*F99^2</f>
        <v>2.3175518071613416E-2</v>
      </c>
      <c r="Q99" s="180">
        <f>+C99-15018.5</f>
        <v>43194.482499999998</v>
      </c>
      <c r="R99">
        <f>+(P99-U99)^2</f>
        <v>9.9226138401934893E-6</v>
      </c>
      <c r="S99" s="178"/>
      <c r="T99" s="64">
        <f>+S99*R99</f>
        <v>0</v>
      </c>
      <c r="U99">
        <f>+C99-(C$7+F99*C$8)</f>
        <v>2.0025500001793262E-2</v>
      </c>
      <c r="X99">
        <f>U99-P99</f>
        <v>-3.1500180698201541E-3</v>
      </c>
      <c r="Y99" s="96" t="s">
        <v>360</v>
      </c>
      <c r="Z99" s="96"/>
      <c r="AA99" s="182"/>
      <c r="AD99">
        <v>15129.5</v>
      </c>
      <c r="AE99">
        <v>2.2413500002585351E-2</v>
      </c>
      <c r="AF99">
        <f t="shared" si="5"/>
        <v>1.9198821271607491E-2</v>
      </c>
      <c r="AG99">
        <f t="shared" si="6"/>
        <v>0</v>
      </c>
      <c r="AI99" s="156"/>
    </row>
    <row r="100" spans="1:35">
      <c r="A100" s="89" t="s">
        <v>359</v>
      </c>
      <c r="B100" s="3" t="s">
        <v>81</v>
      </c>
      <c r="C100" s="111">
        <v>58220.926299999999</v>
      </c>
      <c r="D100" s="9">
        <v>2.0000000000000001E-4</v>
      </c>
      <c r="E100" s="145">
        <f>+(C100-C$7)/C$8</f>
        <v>15955.569812136453</v>
      </c>
      <c r="F100">
        <f>ROUND(2*E100,0)/2</f>
        <v>15955.5</v>
      </c>
      <c r="G100">
        <f>+C100-(C$7+F100*C$8)</f>
        <v>2.5191500004439149E-2</v>
      </c>
      <c r="K100">
        <f>+G100</f>
        <v>2.5191500004439149E-2</v>
      </c>
      <c r="O100">
        <f ca="1">+C$11+C$12*$F100</f>
        <v>2.6376661945267416E-2</v>
      </c>
      <c r="P100">
        <f>+D$11+D$12*F100+D$13*F100^2</f>
        <v>2.3238347387981591E-2</v>
      </c>
      <c r="Q100" s="2">
        <f>+C100-15018.5</f>
        <v>43202.426299999999</v>
      </c>
      <c r="R100">
        <f>+(P100-G100)^2</f>
        <v>3.8148051431750055E-6</v>
      </c>
      <c r="S100" s="156">
        <v>1</v>
      </c>
      <c r="T100" s="155">
        <f>+S100*R100</f>
        <v>3.8148051431750055E-6</v>
      </c>
      <c r="X100">
        <f>G100-P100</f>
        <v>1.9531526164575583E-3</v>
      </c>
      <c r="AD100">
        <v>15129.5</v>
      </c>
      <c r="AE100">
        <v>2.24135000025854E-2</v>
      </c>
      <c r="AF100">
        <f t="shared" si="5"/>
        <v>1.9198821271607491E-2</v>
      </c>
      <c r="AG100">
        <f t="shared" si="6"/>
        <v>1.0334159343401737E-5</v>
      </c>
      <c r="AI100" s="156">
        <v>1</v>
      </c>
    </row>
    <row r="101" spans="1:35" ht="12" customHeight="1">
      <c r="A101" s="89" t="s">
        <v>359</v>
      </c>
      <c r="B101" s="3" t="s">
        <v>80</v>
      </c>
      <c r="C101" s="9">
        <v>58253.943899999998</v>
      </c>
      <c r="D101" s="9">
        <v>1E-4</v>
      </c>
      <c r="E101" s="145">
        <f>+(C101-C$7)/C$8</f>
        <v>16047.070087876584</v>
      </c>
      <c r="F101">
        <f>ROUND(2*E101,0)/2</f>
        <v>16047</v>
      </c>
      <c r="G101">
        <f>+C101-(C$7+F101*C$8)</f>
        <v>2.529099999810569E-2</v>
      </c>
      <c r="K101">
        <f>+G101</f>
        <v>2.529099999810569E-2</v>
      </c>
      <c r="O101">
        <f ca="1">+C$11+C$12*$F101</f>
        <v>2.6827070154906998E-2</v>
      </c>
      <c r="P101">
        <f>+D$11+D$12*F101+D$13*F101^2</f>
        <v>2.3500572696283736E-2</v>
      </c>
      <c r="Q101" s="2">
        <f>+C101-15018.5</f>
        <v>43235.443899999998</v>
      </c>
      <c r="R101">
        <f>+(P101-G101)^2</f>
        <v>3.2056299231094406E-6</v>
      </c>
      <c r="S101" s="156">
        <v>1</v>
      </c>
      <c r="T101" s="155">
        <f>+S101*R101</f>
        <v>3.2056299231094406E-6</v>
      </c>
      <c r="X101">
        <f>G101-P101</f>
        <v>1.7904273018219535E-3</v>
      </c>
      <c r="AD101">
        <v>15129.5</v>
      </c>
      <c r="AE101">
        <v>2.24135000025854E-2</v>
      </c>
      <c r="AF101">
        <f t="shared" si="5"/>
        <v>1.9198821271607491E-2</v>
      </c>
      <c r="AG101">
        <f t="shared" si="6"/>
        <v>1.0334159343401737E-5</v>
      </c>
      <c r="AI101" s="156">
        <v>1</v>
      </c>
    </row>
    <row r="102" spans="1:35" ht="12" customHeight="1">
      <c r="A102" s="183" t="s">
        <v>0</v>
      </c>
      <c r="B102" s="185" t="s">
        <v>80</v>
      </c>
      <c r="C102" s="183">
        <v>58281.729399999997</v>
      </c>
      <c r="D102" s="183">
        <v>1E-4</v>
      </c>
      <c r="E102" s="145">
        <f>+(C102-C$7)/C$8</f>
        <v>16124.070866599972</v>
      </c>
      <c r="F102">
        <f>ROUND(2*E102,0)/2</f>
        <v>16124</v>
      </c>
      <c r="G102">
        <f>+C102-(C$7+F102*C$8)</f>
        <v>2.5571999998646788E-2</v>
      </c>
      <c r="K102">
        <f>+G102</f>
        <v>2.5571999998646788E-2</v>
      </c>
      <c r="O102">
        <f ca="1">+C$11+C$12*$F102</f>
        <v>2.7206102200177468E-2</v>
      </c>
      <c r="P102">
        <f>+D$11+D$12*F102+D$13*F102^2</f>
        <v>2.37223831409961E-2</v>
      </c>
      <c r="Q102" s="2">
        <f>+C102-15018.5</f>
        <v>43263.229399999997</v>
      </c>
      <c r="R102">
        <f>+(P102-G102)^2</f>
        <v>3.4210825201056071E-6</v>
      </c>
      <c r="S102" s="156">
        <v>1</v>
      </c>
      <c r="T102" s="155">
        <f>+S102*R102</f>
        <v>3.4210825201056071E-6</v>
      </c>
      <c r="X102">
        <f>G102-P102</f>
        <v>1.8496168576506884E-3</v>
      </c>
    </row>
    <row r="103" spans="1:35" ht="12" customHeight="1">
      <c r="A103" s="89" t="s">
        <v>369</v>
      </c>
      <c r="C103" s="9">
        <v>58542.985833437837</v>
      </c>
      <c r="D103" s="9">
        <v>2.0000000000000001E-4</v>
      </c>
      <c r="E103" s="145">
        <f>+(C103-C$7)/C$8</f>
        <v>16848.079749694025</v>
      </c>
      <c r="F103">
        <f>ROUND(2*E103,0)/2</f>
        <v>16848</v>
      </c>
      <c r="G103">
        <f>+C103-(C$7+F103*C$8)</f>
        <v>2.8777437837561592E-2</v>
      </c>
      <c r="K103">
        <f>+G103</f>
        <v>2.8777437837561592E-2</v>
      </c>
      <c r="O103">
        <f ca="1">+C$11+C$12*$F103</f>
        <v>3.0769987924538764E-2</v>
      </c>
      <c r="P103">
        <f>+D$11+D$12*F103+D$13*F103^2</f>
        <v>2.5858930787038773E-2</v>
      </c>
      <c r="Q103" s="2">
        <f>+C103-15018.5</f>
        <v>43524.485833437837</v>
      </c>
      <c r="R103">
        <f>+(P103-G103)^2</f>
        <v>8.5176834039514067E-6</v>
      </c>
      <c r="S103" s="156">
        <v>1</v>
      </c>
      <c r="T103" s="155">
        <f>+S103*R103</f>
        <v>8.5176834039514067E-6</v>
      </c>
      <c r="X103">
        <f>G103-P103</f>
        <v>2.9185070505228193E-3</v>
      </c>
    </row>
    <row r="104" spans="1:35" ht="12" customHeight="1">
      <c r="A104" s="187" t="s">
        <v>370</v>
      </c>
      <c r="B104" s="188" t="s">
        <v>80</v>
      </c>
      <c r="C104" s="189">
        <v>58657.736900000004</v>
      </c>
      <c r="D104" s="187">
        <v>2.0000000000000001E-4</v>
      </c>
      <c r="E104" s="145">
        <f>+(C104-C$7)/C$8</f>
        <v>17166.084517815048</v>
      </c>
      <c r="F104">
        <f>ROUND(2*E104,0)/2</f>
        <v>17166</v>
      </c>
      <c r="G104">
        <f>+C104-(C$7+F104*C$8)</f>
        <v>3.0498000007355586E-2</v>
      </c>
      <c r="K104">
        <f>+G104</f>
        <v>3.0498000007355586E-2</v>
      </c>
      <c r="O104">
        <f ca="1">+C$11+C$12*$F104</f>
        <v>3.2335341046564853E-2</v>
      </c>
      <c r="P104">
        <f>+D$11+D$12*F104+D$13*F104^2</f>
        <v>2.6826472803724737E-2</v>
      </c>
      <c r="Q104" s="2">
        <f>+C104-15018.5</f>
        <v>43639.236900000004</v>
      </c>
      <c r="R104">
        <f>+(P104-G104)^2</f>
        <v>1.3480112007001362E-5</v>
      </c>
      <c r="S104" s="156">
        <v>1</v>
      </c>
      <c r="T104" s="155">
        <f>+S104*R104</f>
        <v>1.3480112007001362E-5</v>
      </c>
      <c r="X104">
        <f>G104-P104</f>
        <v>3.6715272036308491E-3</v>
      </c>
    </row>
    <row r="105" spans="1:35" ht="12" customHeight="1">
      <c r="A105" s="89" t="s">
        <v>368</v>
      </c>
      <c r="C105" s="186">
        <v>58959.9522</v>
      </c>
      <c r="D105" s="165">
        <v>2.9999999999999997E-4</v>
      </c>
      <c r="E105" s="145">
        <f>+(C105-C$7)/C$8</f>
        <v>18003.600972157183</v>
      </c>
      <c r="F105">
        <f>ROUND(2*E105,0)/2</f>
        <v>18003.5</v>
      </c>
      <c r="G105">
        <f>+C105-(C$7+F105*C$8)</f>
        <v>3.6435500005609356E-2</v>
      </c>
      <c r="K105">
        <f>+G105</f>
        <v>3.6435500005609356E-2</v>
      </c>
      <c r="O105">
        <f ca="1">+C$11+C$12*$F105</f>
        <v>3.6457929850643014E-2</v>
      </c>
      <c r="P105">
        <f>+D$11+D$12*F105+D$13*F105^2</f>
        <v>2.945966459641047E-2</v>
      </c>
      <c r="Q105" s="2">
        <f>+C105-15018.5</f>
        <v>43941.4522</v>
      </c>
      <c r="R105">
        <f>+(P105-G105)^2</f>
        <v>4.8662279656232995E-5</v>
      </c>
      <c r="S105" s="156">
        <v>1</v>
      </c>
      <c r="T105" s="155">
        <f>+S105*R105</f>
        <v>4.8662279656232995E-5</v>
      </c>
      <c r="X105">
        <f>G105-P105</f>
        <v>6.9758354091988863E-3</v>
      </c>
    </row>
    <row r="106" spans="1:35" ht="12" customHeight="1">
      <c r="A106" s="187" t="s">
        <v>371</v>
      </c>
      <c r="B106" s="188" t="s">
        <v>80</v>
      </c>
      <c r="C106" s="189">
        <v>59259.645000000019</v>
      </c>
      <c r="D106" s="187">
        <v>1E-3</v>
      </c>
      <c r="E106" s="145">
        <f>+(C106-C$7)/C$8</f>
        <v>18834.126929141774</v>
      </c>
      <c r="F106">
        <f>ROUND(2*E106,0)/2</f>
        <v>18834</v>
      </c>
      <c r="G106">
        <f>+C106-(C$7+F106*C$8)</f>
        <v>4.5802000022376888E-2</v>
      </c>
      <c r="K106">
        <f>+G106</f>
        <v>4.5802000022376888E-2</v>
      </c>
      <c r="O106">
        <f ca="1">+C$11+C$12*$F106</f>
        <v>4.0546061196060204E-2</v>
      </c>
      <c r="P106">
        <f>+D$11+D$12*F106+D$13*F106^2</f>
        <v>3.2192560690832178E-2</v>
      </c>
      <c r="Q106" s="2">
        <f>+C106-15018.5</f>
        <v>44241.145000000019</v>
      </c>
      <c r="R106">
        <f>+(P106-G106)^2</f>
        <v>1.852168389189961E-4</v>
      </c>
      <c r="S106" s="156">
        <v>1</v>
      </c>
      <c r="T106" s="155">
        <f>+S106*R106</f>
        <v>1.852168389189961E-4</v>
      </c>
      <c r="X106">
        <f>G106-P106</f>
        <v>1.3609439331544709E-2</v>
      </c>
    </row>
    <row r="107" spans="1:35" ht="12" customHeight="1"/>
    <row r="108" spans="1:35" ht="12" customHeight="1"/>
    <row r="109" spans="1:35" ht="12" customHeight="1"/>
  </sheetData>
  <sortState xmlns:xlrd2="http://schemas.microsoft.com/office/spreadsheetml/2017/richdata2" ref="A21:X106">
    <sortCondition ref="C21:C106"/>
  </sortState>
  <phoneticPr fontId="8" type="noConversion"/>
  <hyperlinks>
    <hyperlink ref="H128" r:id="rId1" display="http://vsolj.cetus-net.org/bulletin.html"/>
    <hyperlink ref="H121" r:id="rId2" display="http://vsolj.cetus-net.org/bulletin.html"/>
    <hyperlink ref="H64417" r:id="rId3" display="http://vsolj.cetus-net.org/bulletin.html"/>
    <hyperlink ref="H64410" r:id="rId4" display="https://www.aavso.org/ejaavso"/>
    <hyperlink ref="AP561" r:id="rId5" display="http://cdsbib.u-strasbg.fr/cgi-bin/cdsbib?1990RMxAA..21..381G"/>
    <hyperlink ref="AP565" r:id="rId6" display="http://cdsbib.u-strasbg.fr/cgi-bin/cdsbib?1990RMxAA..21..381G"/>
    <hyperlink ref="AP564" r:id="rId7" display="http://cdsbib.u-strasbg.fr/cgi-bin/cdsbib?1990RMxAA..21..381G"/>
    <hyperlink ref="AP545" r:id="rId8" display="http://cdsbib.u-strasbg.fr/cgi-bin/cdsbib?1990RMxAA..21..381G"/>
    <hyperlink ref="I64417" r:id="rId9" display="http://vsolj.cetus-net.org/bulletin.html"/>
    <hyperlink ref="AQ701" r:id="rId10" display="http://cdsbib.u-strasbg.fr/cgi-bin/cdsbib?1990RMxAA..21..381G"/>
    <hyperlink ref="AQ55467" r:id="rId11" display="http://cdsbib.u-strasbg.fr/cgi-bin/cdsbib?1990RMxAA..21..381G"/>
    <hyperlink ref="AQ702" r:id="rId12" display="http://cdsbib.u-strasbg.fr/cgi-bin/cdsbib?1990RMxAA..21..381G"/>
    <hyperlink ref="H64414" r:id="rId13" display="https://www.aavso.org/ejaavso"/>
    <hyperlink ref="H1587" r:id="rId14" display="http://vsolj.cetus-net.org/bulletin.html"/>
    <hyperlink ref="AP2831" r:id="rId15" display="http://cdsbib.u-strasbg.fr/cgi-bin/cdsbib?1990RMxAA..21..381G"/>
    <hyperlink ref="AP2834" r:id="rId16" display="http://cdsbib.u-strasbg.fr/cgi-bin/cdsbib?1990RMxAA..21..381G"/>
    <hyperlink ref="AP2832" r:id="rId17" display="http://cdsbib.u-strasbg.fr/cgi-bin/cdsbib?1990RMxAA..21..381G"/>
    <hyperlink ref="AP2816" r:id="rId18" display="http://cdsbib.u-strasbg.fr/cgi-bin/cdsbib?1990RMxAA..21..381G"/>
    <hyperlink ref="I1587" r:id="rId19" display="http://vsolj.cetus-net.org/bulletin.html"/>
    <hyperlink ref="AQ3045" r:id="rId20" display="http://cdsbib.u-strasbg.fr/cgi-bin/cdsbib?1990RMxAA..21..381G"/>
    <hyperlink ref="AQ65282" r:id="rId21" display="http://cdsbib.u-strasbg.fr/cgi-bin/cdsbib?1990RMxAA..21..381G"/>
    <hyperlink ref="AQ3049" r:id="rId22" display="http://cdsbib.u-strasbg.fr/cgi-bin/cdsbib?1990RMxAA..21..381G"/>
    <hyperlink ref="H64212" r:id="rId23" display="http://vsolj.cetus-net.org/bulletin.html"/>
    <hyperlink ref="H64205" r:id="rId24" display="https://www.aavso.org/ejaavso"/>
    <hyperlink ref="I64212" r:id="rId25" display="http://vsolj.cetus-net.org/bulletin.html"/>
    <hyperlink ref="AQ57863" r:id="rId26" display="http://cdsbib.u-strasbg.fr/cgi-bin/cdsbib?1990RMxAA..21..381G"/>
    <hyperlink ref="H64209" r:id="rId27" display="https://www.aavso.org/ejaavso"/>
    <hyperlink ref="AP5227" r:id="rId28" display="http://cdsbib.u-strasbg.fr/cgi-bin/cdsbib?1990RMxAA..21..381G"/>
    <hyperlink ref="AP5230" r:id="rId29" display="http://cdsbib.u-strasbg.fr/cgi-bin/cdsbib?1990RMxAA..21..381G"/>
    <hyperlink ref="AP5228" r:id="rId30" display="http://cdsbib.u-strasbg.fr/cgi-bin/cdsbib?1990RMxAA..21..381G"/>
    <hyperlink ref="AP5212" r:id="rId31" display="http://cdsbib.u-strasbg.fr/cgi-bin/cdsbib?1990RMxAA..21..381G"/>
    <hyperlink ref="AQ5441" r:id="rId32" display="http://cdsbib.u-strasbg.fr/cgi-bin/cdsbib?1990RMxAA..21..381G"/>
    <hyperlink ref="AQ5445" r:id="rId33" display="http://cdsbib.u-strasbg.fr/cgi-bin/cdsbib?1990RMxAA..21..381G"/>
    <hyperlink ref="AQ65125" r:id="rId34" display="http://cdsbib.u-strasbg.fr/cgi-bin/cdsbib?1990RMxAA..21..381G"/>
    <hyperlink ref="I2333" r:id="rId35" display="http://vsolj.cetus-net.org/bulletin.html"/>
    <hyperlink ref="H2333" r:id="rId36" display="http://vsolj.cetus-net.org/bulletin.html"/>
    <hyperlink ref="AQ250" r:id="rId37" display="http://cdsbib.u-strasbg.fr/cgi-bin/cdsbib?1990RMxAA..21..381G"/>
    <hyperlink ref="AQ249" r:id="rId38" display="http://cdsbib.u-strasbg.fr/cgi-bin/cdsbib?1990RMxAA..21..381G"/>
    <hyperlink ref="AP3503" r:id="rId39" display="http://cdsbib.u-strasbg.fr/cgi-bin/cdsbib?1990RMxAA..21..381G"/>
    <hyperlink ref="AP3521" r:id="rId40" display="http://cdsbib.u-strasbg.fr/cgi-bin/cdsbib?1990RMxAA..21..381G"/>
    <hyperlink ref="AP3522" r:id="rId41" display="http://cdsbib.u-strasbg.fr/cgi-bin/cdsbib?1990RMxAA..21..381G"/>
    <hyperlink ref="AP3518" r:id="rId42" display="http://cdsbib.u-strasbg.fr/cgi-bin/cdsbib?1990RMxAA..21..381G"/>
  </hyperlinks>
  <pageMargins left="0.75" right="0.75" top="1" bottom="1" header="0.5" footer="0.5"/>
  <pageSetup orientation="portrait" horizontalDpi="300" verticalDpi="300" r:id="rId43"/>
  <headerFooter alignWithMargins="0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07"/>
  <sheetViews>
    <sheetView workbookViewId="0">
      <pane xSplit="13" ySplit="21" topLeftCell="N88" activePane="bottomRight" state="frozen"/>
      <selection pane="topRight" activeCell="N1" sqref="N1"/>
      <selection pane="bottomLeft" activeCell="A22" sqref="A22"/>
      <selection pane="bottomRight" activeCell="C18" sqref="C18:D18"/>
    </sheetView>
  </sheetViews>
  <sheetFormatPr defaultColWidth="10.28515625" defaultRowHeight="12.75"/>
  <cols>
    <col min="1" max="1" width="14.42578125" customWidth="1"/>
    <col min="2" max="2" width="5.140625" style="3" customWidth="1"/>
    <col min="3" max="3" width="11.85546875" customWidth="1"/>
    <col min="4" max="4" width="9.42578125" customWidth="1"/>
    <col min="5" max="5" width="13" customWidth="1"/>
    <col min="6" max="6" width="16.5703125" customWidth="1"/>
    <col min="7" max="7" width="8.140625" customWidth="1"/>
    <col min="8" max="14" width="8.5703125" customWidth="1"/>
    <col min="15" max="15" width="8" customWidth="1"/>
    <col min="16" max="16" width="9" customWidth="1"/>
    <col min="17" max="17" width="9.85546875" customWidth="1"/>
    <col min="18" max="18" width="10.28515625" customWidth="1"/>
    <col min="19" max="19" width="10.28515625" style="3" customWidth="1"/>
    <col min="32" max="33" width="12.42578125" bestFit="1" customWidth="1"/>
  </cols>
  <sheetData>
    <row r="1" spans="1:23" ht="21" thickBot="1">
      <c r="A1" s="1" t="s">
        <v>77</v>
      </c>
      <c r="V1" s="4" t="s">
        <v>59</v>
      </c>
      <c r="W1" s="6" t="s">
        <v>70</v>
      </c>
    </row>
    <row r="2" spans="1:23">
      <c r="A2" t="s">
        <v>72</v>
      </c>
      <c r="B2" s="12" t="s">
        <v>87</v>
      </c>
      <c r="C2" s="8" t="s">
        <v>78</v>
      </c>
      <c r="D2" s="3"/>
      <c r="V2">
        <v>-4000</v>
      </c>
      <c r="W2">
        <f t="shared" ref="W2:W23" si="0">+D$11+D$12*V2+D$13*V2^2</f>
        <v>1.1979158186131388E-3</v>
      </c>
    </row>
    <row r="3" spans="1:23" ht="13.5" thickBot="1">
      <c r="V3">
        <v>-3000</v>
      </c>
      <c r="W3">
        <f t="shared" si="0"/>
        <v>6.3692501464984741E-4</v>
      </c>
    </row>
    <row r="4" spans="1:23" ht="13.5" thickBot="1">
      <c r="A4" s="5" t="s">
        <v>50</v>
      </c>
      <c r="C4" s="27">
        <v>52463.406799999997</v>
      </c>
      <c r="D4" s="28">
        <v>0.36084699999999997</v>
      </c>
      <c r="V4">
        <v>-2000</v>
      </c>
      <c r="W4">
        <f t="shared" si="0"/>
        <v>2.5165839082481401E-4</v>
      </c>
    </row>
    <row r="5" spans="1:23">
      <c r="A5" s="13" t="s">
        <v>88</v>
      </c>
      <c r="B5" s="8"/>
      <c r="C5" s="14">
        <v>-9.5</v>
      </c>
      <c r="D5" s="8" t="s">
        <v>89</v>
      </c>
      <c r="E5" s="8"/>
      <c r="V5">
        <v>-1000</v>
      </c>
      <c r="W5">
        <f t="shared" si="0"/>
        <v>4.2115947138038672E-5</v>
      </c>
    </row>
    <row r="6" spans="1:23">
      <c r="A6" s="5" t="s">
        <v>51</v>
      </c>
      <c r="V6">
        <v>0</v>
      </c>
      <c r="W6">
        <f t="shared" si="0"/>
        <v>8.2976835895213639E-6</v>
      </c>
    </row>
    <row r="7" spans="1:23">
      <c r="A7" t="s">
        <v>52</v>
      </c>
      <c r="C7">
        <f>+C4</f>
        <v>52463.406799999997</v>
      </c>
      <c r="V7">
        <v>1000</v>
      </c>
      <c r="W7">
        <f t="shared" si="0"/>
        <v>1.502036001792621E-4</v>
      </c>
    </row>
    <row r="8" spans="1:23">
      <c r="A8" t="s">
        <v>53</v>
      </c>
      <c r="C8">
        <f>+D4</f>
        <v>0.36084699999999997</v>
      </c>
      <c r="V8">
        <v>2000</v>
      </c>
      <c r="W8">
        <f t="shared" si="0"/>
        <v>4.6783369690726081E-4</v>
      </c>
    </row>
    <row r="9" spans="1:23">
      <c r="A9" s="25" t="s">
        <v>93</v>
      </c>
      <c r="B9" s="26">
        <v>53</v>
      </c>
      <c r="C9" s="23" t="str">
        <f>"F"&amp;B9</f>
        <v>F53</v>
      </c>
      <c r="D9" s="24" t="str">
        <f>"G"&amp;B9</f>
        <v>G53</v>
      </c>
      <c r="V9">
        <v>3000</v>
      </c>
      <c r="W9">
        <f t="shared" si="0"/>
        <v>9.6118797377351772E-4</v>
      </c>
    </row>
    <row r="10" spans="1:23" ht="13.5" thickBot="1">
      <c r="A10" s="8"/>
      <c r="B10" s="8"/>
      <c r="C10" s="4" t="s">
        <v>68</v>
      </c>
      <c r="D10" s="4" t="s">
        <v>69</v>
      </c>
      <c r="E10" s="8"/>
      <c r="V10">
        <v>4000</v>
      </c>
      <c r="W10">
        <f t="shared" si="0"/>
        <v>1.6302664307780324E-3</v>
      </c>
    </row>
    <row r="11" spans="1:23">
      <c r="A11" s="8" t="s">
        <v>64</v>
      </c>
      <c r="B11" s="8"/>
      <c r="C11" s="22">
        <f ca="1">INTERCEPT(INDIRECT($D$9):INDIRECT($D$14),INDIRECT($C$9):INDIRECT($C$14))</f>
        <v>-8.3161980280082801E-3</v>
      </c>
      <c r="D11" s="3">
        <f>E11*F11</f>
        <v>8.2976835895213639E-6</v>
      </c>
      <c r="E11" s="54">
        <v>0.8297683589521363</v>
      </c>
      <c r="F11">
        <v>1.0000000000000001E-5</v>
      </c>
      <c r="H11">
        <v>52463.406808297703</v>
      </c>
      <c r="I11">
        <v>-8.3161980280082939E-3</v>
      </c>
      <c r="V11">
        <v>5000</v>
      </c>
      <c r="W11">
        <f t="shared" si="0"/>
        <v>2.4750690679208056E-3</v>
      </c>
    </row>
    <row r="12" spans="1:23">
      <c r="A12" s="8" t="s">
        <v>65</v>
      </c>
      <c r="B12" s="8"/>
      <c r="C12" s="22">
        <f ca="1">SLOPE(INDIRECT($D$9):INDIRECT($D$14),INDIRECT($C$9):INDIRECT($C$14))</f>
        <v>1.818633748611373E-6</v>
      </c>
      <c r="D12" s="3">
        <f>E12*F12</f>
        <v>5.404382652061171E-8</v>
      </c>
      <c r="E12" s="55">
        <v>0.54043826520611715</v>
      </c>
      <c r="F12">
        <v>9.9999999999999995E-8</v>
      </c>
      <c r="H12">
        <v>0.360847054043826</v>
      </c>
      <c r="I12">
        <v>1.8186337486113741E-6</v>
      </c>
      <c r="V12">
        <v>6000</v>
      </c>
      <c r="W12">
        <f t="shared" si="0"/>
        <v>3.4955958852018365E-3</v>
      </c>
    </row>
    <row r="13" spans="1:23" ht="13.5" thickBot="1">
      <c r="A13" s="8" t="s">
        <v>67</v>
      </c>
      <c r="B13" s="8"/>
      <c r="C13" s="3" t="s">
        <v>62</v>
      </c>
      <c r="D13" s="3">
        <f>E13*F13</f>
        <v>8.7862090069129021E-11</v>
      </c>
      <c r="E13" s="56">
        <v>0.87862090069129017</v>
      </c>
      <c r="F13" s="53">
        <v>1E-10</v>
      </c>
      <c r="H13">
        <v>8.7862090069129021E-11</v>
      </c>
      <c r="V13">
        <v>7000</v>
      </c>
      <c r="W13">
        <f t="shared" si="0"/>
        <v>4.691846882621125E-3</v>
      </c>
    </row>
    <row r="14" spans="1:23">
      <c r="A14" s="112" t="s">
        <v>365</v>
      </c>
      <c r="B14" s="144">
        <v>97</v>
      </c>
      <c r="C14" s="23" t="str">
        <f>"F"&amp;B14</f>
        <v>F97</v>
      </c>
      <c r="D14" s="24" t="str">
        <f>"G"&amp;B14</f>
        <v>G97</v>
      </c>
      <c r="E14">
        <f>SUM(T21:T945)</f>
        <v>8.7489556885727638E-4</v>
      </c>
      <c r="V14">
        <v>8000</v>
      </c>
      <c r="W14">
        <f t="shared" si="0"/>
        <v>6.0638220601786719E-3</v>
      </c>
    </row>
    <row r="15" spans="1:23">
      <c r="A15" s="15" t="s">
        <v>66</v>
      </c>
      <c r="B15" s="8"/>
      <c r="C15" s="16">
        <f ca="1">(C7+C11)+(C8+C12)*INT(MAX(F21:F3528))</f>
        <v>59259.625133949987</v>
      </c>
      <c r="D15" s="24">
        <f>+C7+INT(MAX(F21:F1583))*C8+D11+D12*INT(MAX(F21:F4018))+D13*INT(MAX(F21:F4045)^2)</f>
        <v>59259.631390560688</v>
      </c>
      <c r="E15" s="17" t="s">
        <v>174</v>
      </c>
      <c r="F15" s="14">
        <v>1</v>
      </c>
      <c r="V15">
        <v>9000</v>
      </c>
      <c r="W15">
        <f t="shared" si="0"/>
        <v>7.6115214178744776E-3</v>
      </c>
    </row>
    <row r="16" spans="1:23">
      <c r="A16" s="19" t="s">
        <v>54</v>
      </c>
      <c r="B16" s="8"/>
      <c r="C16" s="20">
        <f ca="1">+C8+C12</f>
        <v>0.36084881863374857</v>
      </c>
      <c r="D16" s="24">
        <f>+C8+D12+2*D13*MAX(F21:F891)</f>
        <v>0.36085036363303524</v>
      </c>
      <c r="E16" s="17" t="s">
        <v>90</v>
      </c>
      <c r="F16" s="18">
        <f ca="1">NOW()+15018.5+$C$5/24</f>
        <v>59960.718207407408</v>
      </c>
      <c r="V16">
        <v>10000</v>
      </c>
      <c r="W16">
        <f t="shared" si="0"/>
        <v>9.3349449557085414E-3</v>
      </c>
    </row>
    <row r="17" spans="1:23" ht="13.5" thickBot="1">
      <c r="A17" s="17" t="s">
        <v>76</v>
      </c>
      <c r="B17" s="8"/>
      <c r="C17" s="8">
        <f>COUNT(C21:C2186)</f>
        <v>84</v>
      </c>
      <c r="E17" s="17" t="s">
        <v>175</v>
      </c>
      <c r="F17" s="18">
        <f ca="1">ROUND(2*(F16-$C$7)/$C$8,0)/2+F15</f>
        <v>20778</v>
      </c>
      <c r="V17">
        <v>11000</v>
      </c>
      <c r="W17">
        <f t="shared" si="0"/>
        <v>1.1234092673680862E-2</v>
      </c>
    </row>
    <row r="18" spans="1:23" ht="14.25" thickTop="1" thickBot="1">
      <c r="A18" s="5" t="s">
        <v>177</v>
      </c>
      <c r="B18"/>
      <c r="C18" s="57">
        <f ca="1">+C15</f>
        <v>59259.625133949987</v>
      </c>
      <c r="D18" s="58">
        <f ca="1">C16</f>
        <v>0.36084881863374857</v>
      </c>
      <c r="E18" s="17" t="s">
        <v>91</v>
      </c>
      <c r="F18" s="24">
        <f ca="1">ROUND(2*(F16-$C$15)/$C$16,0)/2+F15</f>
        <v>1944</v>
      </c>
      <c r="V18">
        <v>12000</v>
      </c>
      <c r="W18">
        <f t="shared" si="0"/>
        <v>1.3308964571791442E-2</v>
      </c>
    </row>
    <row r="19" spans="1:23" ht="13.5" thickBot="1">
      <c r="A19" s="5" t="s">
        <v>178</v>
      </c>
      <c r="B19"/>
      <c r="C19" s="59">
        <f>+D15</f>
        <v>59259.631390560688</v>
      </c>
      <c r="D19" s="60">
        <f>+D16</f>
        <v>0.36085036363303524</v>
      </c>
      <c r="E19" s="17" t="s">
        <v>92</v>
      </c>
      <c r="F19" s="21">
        <f ca="1">+$C$15+$C$16*F18-15018.5-$C$5/24</f>
        <v>44943.011070707333</v>
      </c>
      <c r="V19">
        <v>13000</v>
      </c>
      <c r="W19">
        <f t="shared" si="0"/>
        <v>1.5559560650040277E-2</v>
      </c>
    </row>
    <row r="20" spans="1:23" ht="15" thickBot="1">
      <c r="A20" s="4" t="s">
        <v>55</v>
      </c>
      <c r="B20" s="4" t="s">
        <v>56</v>
      </c>
      <c r="C20" s="4" t="s">
        <v>57</v>
      </c>
      <c r="D20" s="4" t="s">
        <v>61</v>
      </c>
      <c r="E20" s="4" t="s">
        <v>58</v>
      </c>
      <c r="F20" s="4" t="s">
        <v>59</v>
      </c>
      <c r="G20" s="4" t="s">
        <v>60</v>
      </c>
      <c r="H20" s="7" t="s">
        <v>190</v>
      </c>
      <c r="I20" s="7" t="s">
        <v>191</v>
      </c>
      <c r="J20" s="7" t="s">
        <v>188</v>
      </c>
      <c r="K20" s="7" t="s">
        <v>187</v>
      </c>
      <c r="L20" s="7" t="s">
        <v>73</v>
      </c>
      <c r="M20" s="7" t="s">
        <v>74</v>
      </c>
      <c r="N20" s="7" t="s">
        <v>75</v>
      </c>
      <c r="O20" s="7" t="s">
        <v>71</v>
      </c>
      <c r="P20" s="6" t="s">
        <v>70</v>
      </c>
      <c r="Q20" s="4" t="s">
        <v>63</v>
      </c>
      <c r="R20" s="61" t="s">
        <v>179</v>
      </c>
      <c r="S20" s="6" t="s">
        <v>180</v>
      </c>
      <c r="T20" s="61" t="s">
        <v>181</v>
      </c>
      <c r="U20" s="62" t="s">
        <v>361</v>
      </c>
      <c r="V20">
        <v>14000</v>
      </c>
      <c r="W20">
        <f t="shared" si="0"/>
        <v>1.7985880908427371E-2</v>
      </c>
    </row>
    <row r="21" spans="1:23">
      <c r="A21" t="s">
        <v>86</v>
      </c>
      <c r="B21" s="3" t="s">
        <v>85</v>
      </c>
      <c r="C21" s="11">
        <v>51306.892599999999</v>
      </c>
      <c r="D21" s="9">
        <v>5.0000000000000001E-4</v>
      </c>
      <c r="E21">
        <f>+(C21-C$7)/C$8</f>
        <v>-3204.9987945029275</v>
      </c>
      <c r="F21">
        <f>ROUND(2*E21,0)/2</f>
        <v>-3205</v>
      </c>
      <c r="G21">
        <f>+C21-(C$7+F21*C$8)</f>
        <v>4.3500000174390152E-4</v>
      </c>
      <c r="I21">
        <f>+G21</f>
        <v>4.3500000174390152E-4</v>
      </c>
      <c r="P21">
        <f>+D$11+D$12*F21+D$13*F21^2</f>
        <v>7.3760880533330585E-4</v>
      </c>
      <c r="Q21" s="2">
        <f>+C21-15018.5</f>
        <v>36288.392599999999</v>
      </c>
      <c r="R21" s="63">
        <f>+(P21-G21)^2</f>
        <v>9.1572088009810689E-8</v>
      </c>
      <c r="S21" s="97">
        <v>1</v>
      </c>
      <c r="T21" s="63">
        <f>+S21*R21</f>
        <v>9.1572088009810689E-8</v>
      </c>
      <c r="U21" s="64"/>
      <c r="V21">
        <v>15000</v>
      </c>
      <c r="W21">
        <f t="shared" si="0"/>
        <v>2.0587925346952727E-2</v>
      </c>
    </row>
    <row r="22" spans="1:23">
      <c r="A22" t="s">
        <v>86</v>
      </c>
      <c r="B22" s="10" t="s">
        <v>80</v>
      </c>
      <c r="C22" s="11">
        <v>52411.445500000002</v>
      </c>
      <c r="D22" s="9">
        <v>2E-3</v>
      </c>
      <c r="E22">
        <f>+(C22-C$7)/C$8</f>
        <v>-143.99814879989412</v>
      </c>
      <c r="F22">
        <f>ROUND(2*E22,0)/2</f>
        <v>-144</v>
      </c>
      <c r="G22">
        <f>+C22-(C$7+F22*C$8)</f>
        <v>6.680000078631565E-4</v>
      </c>
      <c r="I22">
        <f>+G22</f>
        <v>6.680000078631565E-4</v>
      </c>
      <c r="P22">
        <f>+D$11+D$12*F22+D$13*F22^2</f>
        <v>2.3372808702267366E-6</v>
      </c>
      <c r="Q22" s="2">
        <f>+C22-15018.5</f>
        <v>37392.945500000002</v>
      </c>
      <c r="R22">
        <f>+(P22-G22)^2</f>
        <v>4.4310686610766373E-7</v>
      </c>
      <c r="S22" s="97">
        <v>0.4</v>
      </c>
      <c r="T22" s="63">
        <f>+S22*R22</f>
        <v>1.7724274644306549E-7</v>
      </c>
      <c r="V22">
        <v>16000</v>
      </c>
      <c r="W22">
        <f t="shared" si="0"/>
        <v>2.3365693965616337E-2</v>
      </c>
    </row>
    <row r="23" spans="1:23">
      <c r="A23" t="s">
        <v>86</v>
      </c>
      <c r="B23" s="10" t="s">
        <v>80</v>
      </c>
      <c r="C23" s="11">
        <v>52415.4139</v>
      </c>
      <c r="D23" s="9">
        <v>2.0000000000000001E-4</v>
      </c>
      <c r="E23">
        <f>+(C23-C$7)/C$8</f>
        <v>-133.00069004314145</v>
      </c>
      <c r="F23">
        <f>ROUND(2*E23,0)/2</f>
        <v>-133</v>
      </c>
      <c r="G23">
        <f>+C23-(C$7+F23*C$8)</f>
        <v>-2.4899999698391184E-4</v>
      </c>
      <c r="I23">
        <f>+G23</f>
        <v>-2.4899999698391184E-4</v>
      </c>
      <c r="P23">
        <f>+D$11+D$12*F23+D$13*F23^2</f>
        <v>2.6640471735128295E-6</v>
      </c>
      <c r="Q23" s="2">
        <f>+C23-15018.5</f>
        <v>37396.9139</v>
      </c>
      <c r="R23">
        <f>+(P23-G23)^2</f>
        <v>6.3334791121670182E-8</v>
      </c>
      <c r="S23" s="97">
        <v>1</v>
      </c>
      <c r="T23" s="63">
        <f>+S23*R23</f>
        <v>6.3334791121670182E-8</v>
      </c>
      <c r="V23">
        <v>17000</v>
      </c>
      <c r="W23">
        <f t="shared" si="0"/>
        <v>2.6319186764418207E-2</v>
      </c>
    </row>
    <row r="24" spans="1:23">
      <c r="A24" t="s">
        <v>86</v>
      </c>
      <c r="B24" s="10" t="s">
        <v>81</v>
      </c>
      <c r="C24" s="11">
        <v>52426.4205</v>
      </c>
      <c r="D24" s="9">
        <v>2.9999999999999997E-4</v>
      </c>
      <c r="E24">
        <f>+(C24-C$7)/C$8</f>
        <v>-102.49856587417062</v>
      </c>
      <c r="F24">
        <f>ROUND(2*E24,0)/2</f>
        <v>-102.5</v>
      </c>
      <c r="G24">
        <f>+C24-(C$7+F24*C$8)</f>
        <v>5.1750000420724973E-4</v>
      </c>
      <c r="I24">
        <f>+G24</f>
        <v>5.1750000420724973E-4</v>
      </c>
      <c r="P24">
        <f>+D$11+D$12*F24+D$13*F24^2</f>
        <v>3.6812924549474506E-6</v>
      </c>
      <c r="Q24" s="2">
        <f>+C24-15018.5</f>
        <v>37407.9205</v>
      </c>
      <c r="R24">
        <f>+(P24-G24)^2</f>
        <v>2.6400966854679546E-7</v>
      </c>
      <c r="S24" s="97">
        <v>1</v>
      </c>
      <c r="T24" s="63">
        <f>+S24*R24</f>
        <v>2.6400966854679546E-7</v>
      </c>
    </row>
    <row r="25" spans="1:23">
      <c r="A25" t="s">
        <v>86</v>
      </c>
      <c r="B25" s="10" t="s">
        <v>80</v>
      </c>
      <c r="C25" s="11">
        <v>52442.477200000001</v>
      </c>
      <c r="D25" s="9">
        <v>8.9999999999999998E-4</v>
      </c>
      <c r="E25">
        <f>+(C25-C$7)/C$8</f>
        <v>-58.001313576102461</v>
      </c>
      <c r="F25">
        <f>ROUND(2*E25,0)/2</f>
        <v>-58</v>
      </c>
      <c r="G25">
        <f>+C25-(C$7+F25*C$8)</f>
        <v>-4.7399999311892316E-4</v>
      </c>
      <c r="I25">
        <f>+G25</f>
        <v>-4.7399999311892316E-4</v>
      </c>
      <c r="P25">
        <f>+D$11+D$12*F25+D$13*F25^2</f>
        <v>5.4587097223184355E-6</v>
      </c>
      <c r="Q25" s="2">
        <f>+C25-15018.5</f>
        <v>37423.977200000001</v>
      </c>
      <c r="R25">
        <f>+(P25-G25)^2</f>
        <v>2.2988064773020599E-7</v>
      </c>
      <c r="S25" s="97">
        <v>1</v>
      </c>
      <c r="T25" s="63">
        <f>+S25*R25</f>
        <v>2.2988064773020599E-7</v>
      </c>
    </row>
    <row r="26" spans="1:23">
      <c r="A26" t="s">
        <v>86</v>
      </c>
      <c r="B26" s="10" t="s">
        <v>80</v>
      </c>
      <c r="C26" s="11">
        <v>52463.4064</v>
      </c>
      <c r="D26" s="9">
        <v>8.0000000000000004E-4</v>
      </c>
      <c r="E26">
        <f>+(C26-C$7)/C$8</f>
        <v>-1.1085030419294263E-3</v>
      </c>
      <c r="F26">
        <f>ROUND(2*E26,0)/2</f>
        <v>0</v>
      </c>
      <c r="G26">
        <f>+C26-(C$7+F26*C$8)</f>
        <v>-3.9999999717110768E-4</v>
      </c>
      <c r="I26">
        <f>+G26</f>
        <v>-3.9999999717110768E-4</v>
      </c>
      <c r="P26">
        <f>+D$11+D$12*F26+D$13*F26^2</f>
        <v>8.2976835895213639E-6</v>
      </c>
      <c r="Q26" s="2">
        <f>+C26-15018.5</f>
        <v>37444.9064</v>
      </c>
      <c r="R26">
        <f>+(P26-G26)^2</f>
        <v>1.6670699611450853E-7</v>
      </c>
      <c r="S26" s="97">
        <v>1</v>
      </c>
      <c r="T26" s="63">
        <f>+S26*R26</f>
        <v>1.6670699611450853E-7</v>
      </c>
    </row>
    <row r="27" spans="1:23">
      <c r="A27" t="s">
        <v>86</v>
      </c>
      <c r="B27" s="10" t="s">
        <v>81</v>
      </c>
      <c r="C27" s="11">
        <v>52463.585700000003</v>
      </c>
      <c r="D27" s="9">
        <v>1.2999999999999999E-3</v>
      </c>
      <c r="E27">
        <f>+(C27-C$7)/C$8</f>
        <v>0.49577798902651682</v>
      </c>
      <c r="F27">
        <f>ROUND(2*E27,0)/2</f>
        <v>0.5</v>
      </c>
      <c r="G27">
        <f>+C27-(C$7+F27*C$8)</f>
        <v>-1.5234999955282547E-3</v>
      </c>
      <c r="I27">
        <f>+G27</f>
        <v>-1.5234999955282547E-3</v>
      </c>
      <c r="P27">
        <f>+D$11+D$12*F27+D$13*F27^2</f>
        <v>8.3247274683041867E-6</v>
      </c>
      <c r="Q27" s="2">
        <f>+C27-15018.5</f>
        <v>37445.085700000003</v>
      </c>
      <c r="R27">
        <f>+(P27-G27)^2</f>
        <v>2.3464869819834844E-6</v>
      </c>
      <c r="S27" s="97">
        <v>0.7</v>
      </c>
      <c r="T27" s="63">
        <f>+S27*R27</f>
        <v>1.6425408873884391E-6</v>
      </c>
    </row>
    <row r="28" spans="1:23">
      <c r="A28" s="44" t="s">
        <v>86</v>
      </c>
      <c r="B28" s="45" t="s">
        <v>81</v>
      </c>
      <c r="C28" s="46">
        <v>52475.495300000002</v>
      </c>
      <c r="D28" s="47">
        <v>5.9999999999999995E-4</v>
      </c>
      <c r="E28">
        <f>+(C28-C$7)/C$8</f>
        <v>33.500347792846547</v>
      </c>
      <c r="F28">
        <f>ROUND(2*E28,0)/2</f>
        <v>33.5</v>
      </c>
      <c r="G28">
        <f>+C28-(C$7+F28*C$8)</f>
        <v>1.2550000246847048E-4</v>
      </c>
      <c r="I28">
        <f>+G28</f>
        <v>1.2550000246847048E-4</v>
      </c>
      <c r="P28">
        <f>+D$11+D$12*F28+D$13*F28^2</f>
        <v>1.0206755008541936E-5</v>
      </c>
      <c r="Q28" s="2">
        <f>+C28-15018.5</f>
        <v>37456.995300000002</v>
      </c>
      <c r="R28">
        <f>+(P28-G28)^2</f>
        <v>1.3292532909856321E-8</v>
      </c>
      <c r="S28" s="97">
        <v>1</v>
      </c>
      <c r="T28" s="63">
        <f>+S28*R28</f>
        <v>1.3292532909856321E-8</v>
      </c>
    </row>
    <row r="29" spans="1:23">
      <c r="A29" s="44" t="s">
        <v>86</v>
      </c>
      <c r="B29" s="45" t="s">
        <v>81</v>
      </c>
      <c r="C29" s="46">
        <v>52483.434399999998</v>
      </c>
      <c r="D29" s="47">
        <v>8.0000000000000004E-4</v>
      </c>
      <c r="E29">
        <f>+(C29-C$7)/C$8</f>
        <v>55.501639198888334</v>
      </c>
      <c r="F29">
        <f>ROUND(2*E29,0)/2</f>
        <v>55.5</v>
      </c>
      <c r="G29">
        <f>+C29-(C$7+F29*C$8)</f>
        <v>5.9150000015506521E-4</v>
      </c>
      <c r="I29">
        <f>+G29</f>
        <v>5.9150000015506521E-4</v>
      </c>
      <c r="P29">
        <f>+D$11+D$12*F29+D$13*F29^2</f>
        <v>1.1567753164350749E-5</v>
      </c>
      <c r="Q29" s="2">
        <f>+C29-15018.5</f>
        <v>37464.934399999998</v>
      </c>
      <c r="R29">
        <f>+(P29-G29)^2</f>
        <v>3.3632141109969903E-7</v>
      </c>
      <c r="S29" s="97">
        <v>1</v>
      </c>
      <c r="T29" s="63">
        <f>+S29*R29</f>
        <v>3.3632141109969903E-7</v>
      </c>
    </row>
    <row r="30" spans="1:23">
      <c r="A30" s="44" t="s">
        <v>84</v>
      </c>
      <c r="B30" s="48" t="s">
        <v>81</v>
      </c>
      <c r="C30" s="47">
        <v>52746.491399999999</v>
      </c>
      <c r="D30" s="47">
        <v>8.0000000000000004E-4</v>
      </c>
      <c r="E30">
        <f>+(C30-C$7)/C$8</f>
        <v>784.50035610661018</v>
      </c>
      <c r="F30">
        <f>ROUND(2*E30,0)/2</f>
        <v>784.5</v>
      </c>
      <c r="G30">
        <f>+C30-(C$7+F30*C$8)</f>
        <v>1.2850000348407775E-4</v>
      </c>
      <c r="I30">
        <f>+G30</f>
        <v>1.2850000348407775E-4</v>
      </c>
      <c r="P30">
        <f>+D$11+D$12*F30+D$13*F30^2</f>
        <v>1.0476893217260854E-4</v>
      </c>
      <c r="Q30" s="2">
        <f>+C30-15018.5</f>
        <v>37727.991399999999</v>
      </c>
      <c r="R30">
        <f>+(P30-G30)^2</f>
        <v>5.6316374559003722E-10</v>
      </c>
      <c r="S30" s="97">
        <v>1</v>
      </c>
      <c r="T30" s="63">
        <f>+S30*R30</f>
        <v>5.6316374559003722E-10</v>
      </c>
    </row>
    <row r="31" spans="1:23">
      <c r="A31" s="44" t="s">
        <v>83</v>
      </c>
      <c r="B31" s="48" t="s">
        <v>81</v>
      </c>
      <c r="C31" s="47">
        <v>53096.512699999999</v>
      </c>
      <c r="D31" s="47">
        <v>1.1000000000000001E-3</v>
      </c>
      <c r="E31">
        <f>+(C31-C$7)/C$8</f>
        <v>1754.4995524419001</v>
      </c>
      <c r="F31">
        <f>ROUND(2*E31,0)/2</f>
        <v>1754.5</v>
      </c>
      <c r="G31">
        <f>+C31-(C$7+F31*C$8)</f>
        <v>-1.6150000010384247E-4</v>
      </c>
      <c r="I31">
        <f>+G31</f>
        <v>-1.6150000010384247E-4</v>
      </c>
      <c r="P31">
        <f>+D$11+D$12*F31+D$13*F31^2</f>
        <v>3.7358083518255493E-4</v>
      </c>
      <c r="Q31" s="2">
        <f>+C31-15018.5</f>
        <v>38078.012699999999</v>
      </c>
      <c r="R31">
        <f>+(P31-G31)^2</f>
        <v>2.8631150029078876E-7</v>
      </c>
      <c r="S31" s="97">
        <v>0.7</v>
      </c>
      <c r="T31" s="63">
        <f>+S31*R31</f>
        <v>2.0041805020355211E-7</v>
      </c>
    </row>
    <row r="32" spans="1:23">
      <c r="A32" s="49" t="s">
        <v>96</v>
      </c>
      <c r="B32" s="50" t="s">
        <v>80</v>
      </c>
      <c r="C32" s="49">
        <v>53185.461900000002</v>
      </c>
      <c r="D32" s="49" t="s">
        <v>97</v>
      </c>
      <c r="E32">
        <f>+(C32-C$7)/C$8</f>
        <v>2001.000701128193</v>
      </c>
      <c r="F32">
        <f>ROUND(2*E32,0)/2</f>
        <v>2001</v>
      </c>
      <c r="G32">
        <f>+C32-(C$7+F32*C$8)</f>
        <v>2.5300000561401248E-4</v>
      </c>
      <c r="K32">
        <f>+G32</f>
        <v>2.5300000561401248E-4</v>
      </c>
      <c r="P32">
        <f>+D$11+D$12*F32+D$13*F32^2</f>
        <v>4.6823927695614803E-4</v>
      </c>
      <c r="Q32" s="2">
        <f>+C32-15018.5</f>
        <v>38166.961900000002</v>
      </c>
      <c r="R32">
        <f>+(P32-G32)^2</f>
        <v>4.6327943927893453E-8</v>
      </c>
      <c r="S32" s="97">
        <v>1</v>
      </c>
      <c r="T32" s="63">
        <f>+S32*R32</f>
        <v>4.6327943927893453E-8</v>
      </c>
    </row>
    <row r="33" spans="1:32">
      <c r="A33" s="49" t="s">
        <v>96</v>
      </c>
      <c r="B33" s="50" t="s">
        <v>80</v>
      </c>
      <c r="C33" s="49">
        <v>53233.45248</v>
      </c>
      <c r="D33" s="49" t="s">
        <v>98</v>
      </c>
      <c r="E33">
        <f>+(C33-C$7)/C$8</f>
        <v>2133.9949618536471</v>
      </c>
      <c r="F33">
        <f>ROUND(2*E33,0)/2</f>
        <v>2134</v>
      </c>
      <c r="G33">
        <f>+C33-(C$7+F33*C$8)</f>
        <v>-1.817999997001607E-3</v>
      </c>
      <c r="K33">
        <f>+G33</f>
        <v>-1.817999997001607E-3</v>
      </c>
      <c r="P33">
        <f>+D$11+D$12*F33+D$13*F33^2</f>
        <v>5.2374730162735729E-4</v>
      </c>
      <c r="Q33" s="2">
        <f>+C33-15018.5</f>
        <v>38214.95248</v>
      </c>
      <c r="R33">
        <f>+(P33-G33)^2</f>
        <v>5.4837804106360521E-6</v>
      </c>
      <c r="S33" s="97">
        <v>1</v>
      </c>
      <c r="T33" s="63">
        <f>+S33*R33</f>
        <v>5.4837804106360521E-6</v>
      </c>
    </row>
    <row r="34" spans="1:32">
      <c r="A34" s="49" t="s">
        <v>96</v>
      </c>
      <c r="B34" s="50" t="s">
        <v>80</v>
      </c>
      <c r="C34" s="49">
        <v>53237.423790000001</v>
      </c>
      <c r="D34" s="49" t="s">
        <v>99</v>
      </c>
      <c r="E34">
        <f>+(C34-C$7)/C$8</f>
        <v>2145.0004849700949</v>
      </c>
      <c r="F34">
        <f>ROUND(2*E34,0)/2</f>
        <v>2145</v>
      </c>
      <c r="G34">
        <f>+C34-(C$7+F34*C$8)</f>
        <v>1.7500000103609636E-4</v>
      </c>
      <c r="K34">
        <f>+G34</f>
        <v>1.7500000103609636E-4</v>
      </c>
      <c r="P34">
        <f>+D$11+D$12*F34+D$13*F34^2</f>
        <v>5.2847736443654785E-4</v>
      </c>
      <c r="Q34" s="2">
        <f>+C34-15018.5</f>
        <v>38218.923790000001</v>
      </c>
      <c r="R34">
        <f>+(P34-G34)^2</f>
        <v>1.2494624643653485E-7</v>
      </c>
      <c r="S34" s="97">
        <v>1</v>
      </c>
      <c r="T34" s="63">
        <f>+S34*R34</f>
        <v>1.2494624643653485E-7</v>
      </c>
    </row>
    <row r="35" spans="1:32">
      <c r="A35" s="49" t="s">
        <v>96</v>
      </c>
      <c r="B35" s="50" t="s">
        <v>81</v>
      </c>
      <c r="C35" s="49">
        <v>53510.404820000003</v>
      </c>
      <c r="D35" s="49" t="s">
        <v>99</v>
      </c>
      <c r="E35">
        <f>+(C35-C$7)/C$8</f>
        <v>2901.5012456803202</v>
      </c>
      <c r="F35">
        <f>ROUND(2*E35,0)/2</f>
        <v>2901.5</v>
      </c>
      <c r="G35">
        <f>+C35-(C$7+F35*C$8)</f>
        <v>4.4950000301469117E-4</v>
      </c>
      <c r="K35">
        <f>+G35</f>
        <v>4.4950000301469117E-4</v>
      </c>
      <c r="P35">
        <f>+D$11+D$12*F35+D$13*F35^2</f>
        <v>9.0479062159375535E-4</v>
      </c>
      <c r="Q35" s="2">
        <f>+C35-15018.5</f>
        <v>38491.904820000003</v>
      </c>
      <c r="R35">
        <f>+(P35-G35)^2</f>
        <v>2.0728954736610691E-7</v>
      </c>
      <c r="S35" s="97">
        <v>1</v>
      </c>
      <c r="T35" s="63">
        <f>+S35*R35</f>
        <v>2.0728954736610691E-7</v>
      </c>
    </row>
    <row r="36" spans="1:32">
      <c r="A36" s="49" t="s">
        <v>96</v>
      </c>
      <c r="B36" s="50" t="s">
        <v>80</v>
      </c>
      <c r="C36" s="49">
        <v>53512.388890000002</v>
      </c>
      <c r="D36" s="49" t="s">
        <v>99</v>
      </c>
      <c r="E36">
        <f>+(C36-C$7)/C$8</f>
        <v>2906.9996147952043</v>
      </c>
      <c r="F36">
        <f>ROUND(2*E36,0)/2</f>
        <v>2907</v>
      </c>
      <c r="G36">
        <f>+C36-(C$7+F36*C$8)</f>
        <v>-1.3899999612476677E-4</v>
      </c>
      <c r="K36">
        <f>+G36</f>
        <v>-1.3899999612476677E-4</v>
      </c>
      <c r="P36">
        <f>+D$11+D$12*F36+D$13*F36^2</f>
        <v>9.0789477086553462E-4</v>
      </c>
      <c r="Q36" s="2">
        <f>+C36-15018.5</f>
        <v>38493.888890000002</v>
      </c>
      <c r="R36">
        <f>+(P36-G36)^2</f>
        <v>1.0959886531516773E-6</v>
      </c>
      <c r="S36" s="97">
        <v>1</v>
      </c>
      <c r="T36" s="63">
        <f>+S36*R36</f>
        <v>1.0959886531516773E-6</v>
      </c>
    </row>
    <row r="37" spans="1:32">
      <c r="A37" s="49" t="s">
        <v>96</v>
      </c>
      <c r="B37" s="50" t="s">
        <v>80</v>
      </c>
      <c r="C37" s="49">
        <v>53516.359109999998</v>
      </c>
      <c r="D37" s="49" t="s">
        <v>99</v>
      </c>
      <c r="E37">
        <f>+(C37-C$7)/C$8</f>
        <v>2918.0021172408269</v>
      </c>
      <c r="F37">
        <f>ROUND(2*E37,0)/2</f>
        <v>2918</v>
      </c>
      <c r="G37">
        <f>+C37-(C$7+F37*C$8)</f>
        <v>7.6400000398280099E-4</v>
      </c>
      <c r="K37">
        <f>+G37</f>
        <v>7.6400000398280099E-4</v>
      </c>
      <c r="P37">
        <f>+D$11+D$12*F37+D$13*F37^2</f>
        <v>9.1411901637844083E-4</v>
      </c>
      <c r="Q37" s="2">
        <f>+C37-15018.5</f>
        <v>38497.859109999998</v>
      </c>
      <c r="R37">
        <f>+(P37-G37)^2</f>
        <v>2.2535717882642268E-8</v>
      </c>
      <c r="S37" s="97">
        <v>1</v>
      </c>
      <c r="T37" s="63">
        <f>+S37*R37</f>
        <v>2.2535717882642268E-8</v>
      </c>
    </row>
    <row r="38" spans="1:32">
      <c r="A38" s="44" t="s">
        <v>82</v>
      </c>
      <c r="B38" s="48" t="s">
        <v>80</v>
      </c>
      <c r="C38" s="47">
        <v>53612.345200000003</v>
      </c>
      <c r="D38" s="47">
        <v>1E-3</v>
      </c>
      <c r="E38">
        <f>+(C38-C$7)/C$8</f>
        <v>3184.0043009918509</v>
      </c>
      <c r="F38">
        <f>ROUND(2*E38,0)/2</f>
        <v>3184</v>
      </c>
      <c r="G38">
        <f>+C38-(C$7+F38*C$8)</f>
        <v>1.5520000088145025E-3</v>
      </c>
      <c r="I38">
        <f>+G38</f>
        <v>1.5520000088145025E-3</v>
      </c>
      <c r="P38">
        <f>+D$11+D$12*F38+D$13*F38^2</f>
        <v>1.0711064442110092E-3</v>
      </c>
      <c r="Q38" s="2">
        <f>+C38-15018.5</f>
        <v>38593.845200000003</v>
      </c>
      <c r="R38">
        <f>+(P38-G38)^2</f>
        <v>2.3125862047705421E-7</v>
      </c>
      <c r="S38" s="97">
        <v>0.7</v>
      </c>
      <c r="T38" s="63">
        <f>+S38*R38</f>
        <v>1.6188103433393793E-7</v>
      </c>
    </row>
    <row r="39" spans="1:32">
      <c r="A39" s="44" t="s">
        <v>82</v>
      </c>
      <c r="B39" s="48" t="s">
        <v>81</v>
      </c>
      <c r="C39" s="47">
        <v>53612.525600000001</v>
      </c>
      <c r="D39" s="47">
        <v>6.9999999999999999E-4</v>
      </c>
      <c r="E39">
        <f>+(C39-C$7)/C$8</f>
        <v>3184.5042358672899</v>
      </c>
      <c r="F39">
        <f>ROUND(2*E39,0)/2</f>
        <v>3184.5</v>
      </c>
      <c r="G39">
        <f>+C39-(C$7+F39*C$8)</f>
        <v>1.5285000044968911E-3</v>
      </c>
      <c r="I39">
        <f>+G39</f>
        <v>1.5285000044968911E-3</v>
      </c>
      <c r="P39">
        <f>+D$11+D$12*F39+D$13*F39^2</f>
        <v>1.0714132409845719E-3</v>
      </c>
      <c r="Q39" s="2">
        <f>+C39-15018.5</f>
        <v>38594.025600000001</v>
      </c>
      <c r="R39">
        <f>+(P39-G39)^2</f>
        <v>2.0892830937816674E-7</v>
      </c>
      <c r="S39" s="97">
        <v>1</v>
      </c>
      <c r="T39" s="63">
        <f>+S39*R39</f>
        <v>2.0892830937816674E-7</v>
      </c>
    </row>
    <row r="40" spans="1:32">
      <c r="A40" s="49" t="s">
        <v>96</v>
      </c>
      <c r="B40" s="50" t="s">
        <v>81</v>
      </c>
      <c r="C40" s="49">
        <v>53636.341209999999</v>
      </c>
      <c r="D40" s="49" t="s">
        <v>99</v>
      </c>
      <c r="E40">
        <f>+(C40-C$7)/C$8</f>
        <v>3250.5034266600574</v>
      </c>
      <c r="F40">
        <f>ROUND(2*E40,0)/2</f>
        <v>3250.5</v>
      </c>
      <c r="G40">
        <f>+C40-(C$7+F40*C$8)</f>
        <v>1.2365000002318993E-3</v>
      </c>
      <c r="K40">
        <f>+G40</f>
        <v>1.2365000002318993E-3</v>
      </c>
      <c r="P40">
        <f>+D$11+D$12*F40+D$13*F40^2</f>
        <v>1.1122960418081921E-3</v>
      </c>
      <c r="Q40" s="2">
        <f>+C40-15018.5</f>
        <v>38617.841209999999</v>
      </c>
      <c r="R40">
        <f>+(P40-G40)^2</f>
        <v>1.5426623288117981E-8</v>
      </c>
      <c r="S40" s="97">
        <v>1</v>
      </c>
      <c r="T40" s="63">
        <f>+S40*R40</f>
        <v>1.5426623288117981E-8</v>
      </c>
    </row>
    <row r="41" spans="1:32">
      <c r="A41" s="49" t="s">
        <v>96</v>
      </c>
      <c r="B41" s="50" t="s">
        <v>80</v>
      </c>
      <c r="C41" s="49">
        <v>53638.325799999999</v>
      </c>
      <c r="D41" s="49" t="s">
        <v>98</v>
      </c>
      <c r="E41">
        <f>+(C41-C$7)/C$8</f>
        <v>3256.0032368289103</v>
      </c>
      <c r="F41">
        <f>ROUND(2*E41,0)/2</f>
        <v>3256</v>
      </c>
      <c r="G41">
        <f>+C41-(C$7+F41*C$8)</f>
        <v>1.1680000025080517E-3</v>
      </c>
      <c r="K41">
        <f>+G41</f>
        <v>1.1680000025080517E-3</v>
      </c>
      <c r="P41">
        <f>+D$11+D$12*F41+D$13*F41^2</f>
        <v>1.1157374936437469E-3</v>
      </c>
      <c r="Q41" s="2">
        <f>+C41-15018.5</f>
        <v>38619.825799999999</v>
      </c>
      <c r="R41">
        <f>+(P41-G41)^2</f>
        <v>2.7313698327915407E-9</v>
      </c>
      <c r="S41" s="97">
        <v>1</v>
      </c>
      <c r="T41" s="63">
        <f>+S41*R41</f>
        <v>2.7313698327915407E-9</v>
      </c>
    </row>
    <row r="42" spans="1:32">
      <c r="A42" s="49" t="s">
        <v>96</v>
      </c>
      <c r="B42" s="50" t="s">
        <v>80</v>
      </c>
      <c r="C42" s="49">
        <v>53815.501389999998</v>
      </c>
      <c r="D42" s="49" t="s">
        <v>99</v>
      </c>
      <c r="E42">
        <f>+(C42-C$7)/C$8</f>
        <v>3747.0024414779691</v>
      </c>
      <c r="F42">
        <f>ROUND(2*E42,0)/2</f>
        <v>3747</v>
      </c>
      <c r="G42">
        <f>+C42-(C$7+F42*C$8)</f>
        <v>8.8099999993573874E-4</v>
      </c>
      <c r="K42">
        <f>+G42</f>
        <v>8.8099999993573874E-4</v>
      </c>
      <c r="P42">
        <f>+D$11+D$12*F42+D$13*F42^2</f>
        <v>1.4443844368916354E-3</v>
      </c>
      <c r="Q42" s="2">
        <f>+C42-15018.5</f>
        <v>38797.001389999998</v>
      </c>
      <c r="R42">
        <f>+(P42-G42)^2</f>
        <v>3.1740202380411273E-7</v>
      </c>
      <c r="S42" s="97">
        <v>1</v>
      </c>
      <c r="T42" s="63">
        <f>+S42*R42</f>
        <v>3.1740202380411273E-7</v>
      </c>
    </row>
    <row r="43" spans="1:32">
      <c r="A43" s="49" t="s">
        <v>96</v>
      </c>
      <c r="B43" s="50" t="s">
        <v>80</v>
      </c>
      <c r="C43" s="49">
        <v>53832.461340000002</v>
      </c>
      <c r="D43" s="49" t="s">
        <v>97</v>
      </c>
      <c r="E43">
        <f>+(C43-C$7)/C$8</f>
        <v>3794.0028322253052</v>
      </c>
      <c r="F43">
        <f>ROUND(2*E43,0)/2</f>
        <v>3794</v>
      </c>
      <c r="G43">
        <f>+C43-(C$7+F43*C$8)</f>
        <v>1.0220000040135346E-3</v>
      </c>
      <c r="K43">
        <f>+G43</f>
        <v>1.0220000040135346E-3</v>
      </c>
      <c r="P43">
        <f>+D$11+D$12*F43+D$13*F43^2</f>
        <v>1.4780651937350356E-3</v>
      </c>
      <c r="Q43" s="2">
        <f>+C43-15018.5</f>
        <v>38813.961340000002</v>
      </c>
      <c r="R43">
        <f>+(P43-G43)^2</f>
        <v>2.0799545727570866E-7</v>
      </c>
      <c r="S43" s="97">
        <v>1</v>
      </c>
      <c r="T43" s="63">
        <f>+S43*R43</f>
        <v>2.0799545727570866E-7</v>
      </c>
    </row>
    <row r="44" spans="1:32">
      <c r="A44" s="49" t="s">
        <v>96</v>
      </c>
      <c r="B44" s="50" t="s">
        <v>81</v>
      </c>
      <c r="C44" s="49">
        <v>53834.447569999997</v>
      </c>
      <c r="D44" s="49" t="s">
        <v>98</v>
      </c>
      <c r="E44">
        <f>+(C44-C$7)/C$8</f>
        <v>3799.5071872566482</v>
      </c>
      <c r="F44">
        <f>ROUND(2*E44,0)/2</f>
        <v>3799.5</v>
      </c>
      <c r="G44">
        <f>+C44-(C$7+F44*C$8)</f>
        <v>2.5935000012395903E-3</v>
      </c>
      <c r="K44">
        <f>+G44</f>
        <v>2.5935000012395903E-3</v>
      </c>
      <c r="P44">
        <f>+D$11+D$12*F44+D$13*F44^2</f>
        <v>1.4820319290760684E-3</v>
      </c>
      <c r="Q44" s="2">
        <f>+C44-15018.5</f>
        <v>38815.947569999997</v>
      </c>
      <c r="R44">
        <f>+(P44-G44)^2</f>
        <v>1.2353612754388959E-6</v>
      </c>
      <c r="S44" s="97">
        <v>1</v>
      </c>
      <c r="T44" s="63">
        <f>+S44*R44</f>
        <v>1.2353612754388959E-6</v>
      </c>
    </row>
    <row r="45" spans="1:32">
      <c r="A45" s="49" t="s">
        <v>96</v>
      </c>
      <c r="B45" s="50" t="s">
        <v>80</v>
      </c>
      <c r="C45" s="49">
        <v>53923.395060000003</v>
      </c>
      <c r="D45" s="49" t="s">
        <v>99</v>
      </c>
      <c r="E45">
        <f>+(C45-C$7)/C$8</f>
        <v>4046.0035970924123</v>
      </c>
      <c r="F45">
        <f>ROUND(2*E45,0)/2</f>
        <v>4046</v>
      </c>
      <c r="G45">
        <f>+C45-(C$7+F45*C$8)</f>
        <v>1.2980000028619543E-3</v>
      </c>
      <c r="K45">
        <f>+G45</f>
        <v>1.2980000028619543E-3</v>
      </c>
      <c r="P45">
        <f>+D$11+D$12*F45+D$13*F45^2</f>
        <v>1.6652716121260064E-3</v>
      </c>
      <c r="Q45" s="2">
        <f>+C45-15018.5</f>
        <v>38904.895060000003</v>
      </c>
      <c r="R45">
        <f>+(P45-G45)^2</f>
        <v>1.348884349714066E-7</v>
      </c>
      <c r="S45" s="97">
        <v>1</v>
      </c>
      <c r="T45" s="63">
        <f>+S45*R45</f>
        <v>1.348884349714066E-7</v>
      </c>
    </row>
    <row r="46" spans="1:32">
      <c r="A46" s="49" t="s">
        <v>96</v>
      </c>
      <c r="B46" s="50" t="s">
        <v>81</v>
      </c>
      <c r="C46" s="49">
        <v>53991.415439999997</v>
      </c>
      <c r="D46" s="49" t="s">
        <v>97</v>
      </c>
      <c r="E46">
        <f>+(C46-C$7)/C$8</f>
        <v>4234.505593783515</v>
      </c>
      <c r="F46">
        <f>ROUND(2*E46,0)/2</f>
        <v>4234.5</v>
      </c>
      <c r="G46">
        <f>+C46-(C$7+F46*C$8)</f>
        <v>2.0185000030323863E-3</v>
      </c>
      <c r="K46">
        <f>+G46</f>
        <v>2.0185000030323863E-3</v>
      </c>
      <c r="P46">
        <f>+D$11+D$12*F46+D$13*F46^2</f>
        <v>1.812600547365226E-3</v>
      </c>
      <c r="Q46" s="2">
        <f>+C46-15018.5</f>
        <v>38972.915439999997</v>
      </c>
      <c r="R46">
        <f>+(P46-G46)^2</f>
        <v>4.2394585844032916E-8</v>
      </c>
      <c r="S46" s="97">
        <v>1</v>
      </c>
      <c r="T46" s="63">
        <f>+S46*R46</f>
        <v>4.2394585844032916E-8</v>
      </c>
    </row>
    <row r="47" spans="1:32">
      <c r="A47" s="44" t="s">
        <v>79</v>
      </c>
      <c r="B47" s="48" t="s">
        <v>80</v>
      </c>
      <c r="C47" s="47">
        <v>54002.4182</v>
      </c>
      <c r="D47" s="47">
        <v>1E-3</v>
      </c>
      <c r="E47">
        <f>+(C47-C$7)/C$8</f>
        <v>4264.997076323215</v>
      </c>
      <c r="F47">
        <f>ROUND(2*E47,0)/2</f>
        <v>4265</v>
      </c>
      <c r="I47" s="24"/>
      <c r="O47">
        <f ca="1">+C$11+C$12*$F47</f>
        <v>-5.5972509018077394E-4</v>
      </c>
      <c r="P47">
        <f>+D$11+D$12*F47+D$13*F47^2</f>
        <v>1.8370257910276526E-3</v>
      </c>
      <c r="Q47" s="2">
        <f>+C47-15018.5</f>
        <v>38983.9182</v>
      </c>
      <c r="R47">
        <f>+(P47-G47)^2</f>
        <v>3.3746637569007728E-6</v>
      </c>
      <c r="S47" s="97">
        <v>0</v>
      </c>
      <c r="T47" s="63">
        <f>+S47*R47</f>
        <v>0</v>
      </c>
    </row>
    <row r="48" spans="1:32">
      <c r="A48" s="44" t="s">
        <v>79</v>
      </c>
      <c r="B48" s="48" t="s">
        <v>81</v>
      </c>
      <c r="C48" s="47">
        <v>54210.450499999999</v>
      </c>
      <c r="D48" s="47">
        <v>2.0000000000000001E-4</v>
      </c>
      <c r="E48">
        <f>+(C48-C$7)/C$8</f>
        <v>4841.5081738243689</v>
      </c>
      <c r="F48">
        <f>ROUND(2*E48,0)/2</f>
        <v>4841.5</v>
      </c>
      <c r="G48">
        <f>+C48-(C$7+F48*C$8)</f>
        <v>2.9495000053429976E-3</v>
      </c>
      <c r="I48">
        <f>+G48</f>
        <v>2.9495000053429976E-3</v>
      </c>
      <c r="O48">
        <f ca="1">+C$11+C$12*$F48</f>
        <v>4.887172658936817E-4</v>
      </c>
      <c r="P48">
        <f>+D$11+D$12*F48+D$13*F48^2</f>
        <v>2.3294490020499582E-3</v>
      </c>
      <c r="Q48" s="2">
        <f>+C48-15018.5</f>
        <v>39191.950499999999</v>
      </c>
      <c r="R48">
        <f>+(P48-G48)^2</f>
        <v>3.8446324668470476E-7</v>
      </c>
      <c r="S48" s="97">
        <v>1</v>
      </c>
      <c r="T48" s="63">
        <f>+S48*R48</f>
        <v>3.8446324668470476E-7</v>
      </c>
      <c r="AE48" t="s">
        <v>6</v>
      </c>
      <c r="AF48">
        <v>-8.3161980280082939E-3</v>
      </c>
    </row>
    <row r="49" spans="1:42">
      <c r="A49" s="49" t="s">
        <v>96</v>
      </c>
      <c r="B49" s="50" t="s">
        <v>81</v>
      </c>
      <c r="C49" s="49">
        <v>54240.400130000002</v>
      </c>
      <c r="D49" s="49">
        <v>1E-4</v>
      </c>
      <c r="E49">
        <f>+(C49-C$7)/C$8</f>
        <v>4924.5063143105108</v>
      </c>
      <c r="F49">
        <f>ROUND(2*E49,0)/2</f>
        <v>4924.5</v>
      </c>
      <c r="G49">
        <f>+C49-(C$7+F49*C$8)</f>
        <v>2.2785000037401915E-3</v>
      </c>
      <c r="K49">
        <f>+G49</f>
        <v>2.2785000037401915E-3</v>
      </c>
      <c r="O49">
        <f ca="1">+C$11+C$12*$F49</f>
        <v>6.3966386702842687E-4</v>
      </c>
      <c r="P49">
        <f>+D$11+D$12*F49+D$13*F49^2</f>
        <v>2.4051537168952235E-3</v>
      </c>
      <c r="Q49" s="2">
        <f>+C49-15018.5</f>
        <v>39221.900130000002</v>
      </c>
      <c r="R49">
        <f>+(P49-G49)^2</f>
        <v>1.6041163055957124E-8</v>
      </c>
      <c r="S49" s="97">
        <v>1</v>
      </c>
      <c r="T49" s="63">
        <f>+S49*R49</f>
        <v>1.6041163055957124E-8</v>
      </c>
      <c r="AE49" t="s">
        <v>7</v>
      </c>
      <c r="AF49">
        <v>1.8186337486113741E-6</v>
      </c>
    </row>
    <row r="50" spans="1:42">
      <c r="A50" s="49" t="s">
        <v>96</v>
      </c>
      <c r="B50" s="50" t="s">
        <v>81</v>
      </c>
      <c r="C50" s="49">
        <v>54240.400329999997</v>
      </c>
      <c r="D50" s="49">
        <v>2.0000000000000001E-4</v>
      </c>
      <c r="E50">
        <f>+(C50-C$7)/C$8</f>
        <v>4924.5068685620217</v>
      </c>
      <c r="F50">
        <f>ROUND(2*E50,0)/2</f>
        <v>4924.5</v>
      </c>
      <c r="G50">
        <f>+C50-(C$7+F50*C$8)</f>
        <v>2.4784999986877665E-3</v>
      </c>
      <c r="K50">
        <f>+G50</f>
        <v>2.4784999986877665E-3</v>
      </c>
      <c r="O50">
        <f ca="1">+C$11+C$12*$F50</f>
        <v>6.3966386702842687E-4</v>
      </c>
      <c r="P50">
        <f>+D$11+D$12*F50+D$13*F50^2</f>
        <v>2.4051537168952235E-3</v>
      </c>
      <c r="Q50" s="2">
        <f>+C50-15018.5</f>
        <v>39221.900329999997</v>
      </c>
      <c r="R50">
        <f>+(P50-G50)^2</f>
        <v>5.3796770527911296E-9</v>
      </c>
      <c r="S50" s="97">
        <v>1</v>
      </c>
      <c r="T50" s="63">
        <f>+S50*R50</f>
        <v>5.3796770527911296E-9</v>
      </c>
      <c r="AE50" t="s">
        <v>10</v>
      </c>
      <c r="AF50">
        <f>SUM(AG53:AG97)</f>
        <v>9.7303157484053941E-5</v>
      </c>
    </row>
    <row r="51" spans="1:42">
      <c r="A51" s="49" t="s">
        <v>96</v>
      </c>
      <c r="B51" s="50" t="s">
        <v>81</v>
      </c>
      <c r="C51" s="49">
        <v>54240.400329999997</v>
      </c>
      <c r="D51" s="49">
        <v>2.0000000000000001E-4</v>
      </c>
      <c r="E51">
        <f>+(C51-C$7)/C$8</f>
        <v>4924.5068685620217</v>
      </c>
      <c r="F51">
        <f>ROUND(2*E51,0)/2</f>
        <v>4924.5</v>
      </c>
      <c r="G51">
        <f>+C51-(C$7+F51*C$8)</f>
        <v>2.4784999986877665E-3</v>
      </c>
      <c r="K51">
        <f>+G51</f>
        <v>2.4784999986877665E-3</v>
      </c>
      <c r="O51">
        <f ca="1">+C$11+C$12*$F51</f>
        <v>6.3966386702842687E-4</v>
      </c>
      <c r="P51">
        <f>+D$11+D$12*F51+D$13*F51^2</f>
        <v>2.4051537168952235E-3</v>
      </c>
      <c r="Q51" s="2">
        <f>+C51-15018.5</f>
        <v>39221.900329999997</v>
      </c>
      <c r="R51">
        <f>+(P51-G51)^2</f>
        <v>5.3796770527911296E-9</v>
      </c>
      <c r="S51" s="97">
        <v>1</v>
      </c>
      <c r="T51" s="63">
        <f>+S51*R51</f>
        <v>5.3796770527911296E-9</v>
      </c>
    </row>
    <row r="52" spans="1:42">
      <c r="A52" s="51" t="s">
        <v>94</v>
      </c>
      <c r="B52" s="48"/>
      <c r="C52" s="47">
        <v>54591.866499999996</v>
      </c>
      <c r="D52" s="47">
        <v>1E-4</v>
      </c>
      <c r="E52">
        <f>+(C52-C$7)/C$8</f>
        <v>5898.5101719011091</v>
      </c>
      <c r="F52">
        <f>ROUND(2*E52,0)/2</f>
        <v>5898.5</v>
      </c>
      <c r="G52">
        <f>+C52-(C$7+F52*C$8)</f>
        <v>3.6705000020447187E-3</v>
      </c>
      <c r="J52">
        <f>+G52</f>
        <v>3.6705000020447187E-3</v>
      </c>
      <c r="O52">
        <f ca="1">+C$11+C$12*$F52</f>
        <v>2.4110131381759031E-3</v>
      </c>
      <c r="P52">
        <f>+D$11+D$12*F52+D$13*F52^2</f>
        <v>3.3839995883232095E-3</v>
      </c>
      <c r="Q52" s="2">
        <f>+C52-15018.5</f>
        <v>39573.366499999996</v>
      </c>
      <c r="R52">
        <f>+(P52-G52)^2</f>
        <v>8.208248706259592E-8</v>
      </c>
      <c r="S52" s="97">
        <v>1</v>
      </c>
      <c r="T52" s="63">
        <f>+S52*R52</f>
        <v>8.208248706259592E-8</v>
      </c>
      <c r="AF52" t="s">
        <v>8</v>
      </c>
      <c r="AG52" t="s">
        <v>9</v>
      </c>
    </row>
    <row r="53" spans="1:42">
      <c r="A53" s="52" t="s">
        <v>100</v>
      </c>
      <c r="B53" s="48" t="s">
        <v>80</v>
      </c>
      <c r="C53" s="47">
        <v>54946.399550000002</v>
      </c>
      <c r="D53" s="47">
        <v>5.9999999999999995E-4</v>
      </c>
      <c r="E53">
        <f>+(C53-C$7)/C$8</f>
        <v>6881.0125898234019</v>
      </c>
      <c r="F53">
        <f>ROUND(2*E53,0)/2</f>
        <v>6881</v>
      </c>
      <c r="G53">
        <f>+C53-(C$7+F53*C$8)</f>
        <v>4.5430000027408823E-3</v>
      </c>
      <c r="K53">
        <f>+G53</f>
        <v>4.5430000027408823E-3</v>
      </c>
      <c r="O53">
        <f ca="1">+C$11+C$12*$F53</f>
        <v>4.1978207961865781E-3</v>
      </c>
      <c r="P53">
        <f>+D$11+D$12*F53+D$13*F53^2</f>
        <v>4.540281640267472E-3</v>
      </c>
      <c r="Q53" s="2">
        <f>+C53-15018.5</f>
        <v>39927.899550000002</v>
      </c>
      <c r="R53">
        <f>+(P53-G53)^2</f>
        <v>7.3894945368453956E-12</v>
      </c>
      <c r="S53" s="97">
        <v>1</v>
      </c>
      <c r="T53" s="63">
        <f>+S53*R53</f>
        <v>7.3894945368453956E-12</v>
      </c>
      <c r="AD53">
        <v>6881</v>
      </c>
      <c r="AE53">
        <v>4.5430000027408823E-3</v>
      </c>
      <c r="AF53">
        <f>AF$48+AF$49*AD53</f>
        <v>4.1978207961865712E-3</v>
      </c>
      <c r="AG53">
        <f>AI53*(AF53-AE53)^2</f>
        <v>1.1914868463746378E-7</v>
      </c>
      <c r="AI53" s="97">
        <v>1</v>
      </c>
      <c r="AK53" t="s">
        <v>11</v>
      </c>
    </row>
    <row r="54" spans="1:42" ht="13.5" thickBot="1">
      <c r="A54" s="52" t="s">
        <v>100</v>
      </c>
      <c r="B54" s="48" t="s">
        <v>80</v>
      </c>
      <c r="C54" s="47">
        <v>54946.399649999999</v>
      </c>
      <c r="D54" s="47">
        <v>2.9999999999999997E-4</v>
      </c>
      <c r="E54">
        <f>+(C54-C$7)/C$8</f>
        <v>6881.0128669491569</v>
      </c>
      <c r="F54">
        <f>ROUND(2*E54,0)/2</f>
        <v>6881</v>
      </c>
      <c r="G54">
        <f>+C54-(C$7+F54*C$8)</f>
        <v>4.6430000002146699E-3</v>
      </c>
      <c r="K54">
        <f>+G54</f>
        <v>4.6430000002146699E-3</v>
      </c>
      <c r="O54">
        <f ca="1">+C$11+C$12*$F54</f>
        <v>4.1978207961865781E-3</v>
      </c>
      <c r="P54">
        <f>+D$11+D$12*F54+D$13*F54^2</f>
        <v>4.540281640267472E-3</v>
      </c>
      <c r="Q54" s="2">
        <f>+C54-15018.5</f>
        <v>39927.899649999999</v>
      </c>
      <c r="R54">
        <f>+(P54-G54)^2</f>
        <v>1.0551061470242094E-8</v>
      </c>
      <c r="S54" s="97">
        <v>1</v>
      </c>
      <c r="T54" s="63">
        <f>+S54*R54</f>
        <v>1.0551061470242094E-8</v>
      </c>
      <c r="AD54">
        <v>6881</v>
      </c>
      <c r="AE54">
        <v>4.6430000002146699E-3</v>
      </c>
      <c r="AF54">
        <f t="shared" ref="AF54:AF97" si="1">AF$48+AF$49*AD54</f>
        <v>4.1978207961865712E-3</v>
      </c>
      <c r="AG54">
        <f t="shared" ref="AG54:AG97" si="2">AI54*(AF54-AE54)^2</f>
        <v>1.9818452369909148E-7</v>
      </c>
      <c r="AI54" s="97">
        <v>1</v>
      </c>
    </row>
    <row r="55" spans="1:42">
      <c r="A55" s="52" t="s">
        <v>100</v>
      </c>
      <c r="B55" s="48" t="s">
        <v>80</v>
      </c>
      <c r="C55" s="47">
        <v>54946.400249999999</v>
      </c>
      <c r="D55" s="47">
        <v>5.9999999999999995E-4</v>
      </c>
      <c r="E55" s="44">
        <f>+(C55-C$7)/C$8</f>
        <v>6881.0145297037307</v>
      </c>
      <c r="F55">
        <f>ROUND(2*E55,0)/2</f>
        <v>6881</v>
      </c>
      <c r="G55">
        <f>+C55-(C$7+F55*C$8)</f>
        <v>5.2429999996093102E-3</v>
      </c>
      <c r="K55">
        <f>+G55</f>
        <v>5.2429999996093102E-3</v>
      </c>
      <c r="O55">
        <f ca="1">+C$11+C$12*$F55</f>
        <v>4.1978207961865781E-3</v>
      </c>
      <c r="P55">
        <f>+D$11+D$12*F55+D$13*F55^2</f>
        <v>4.540281640267472E-3</v>
      </c>
      <c r="Q55" s="2">
        <f>+C55-15018.5</f>
        <v>39927.900249999999</v>
      </c>
      <c r="R55">
        <f>+(P55-G55)^2</f>
        <v>4.9381309255608475E-7</v>
      </c>
      <c r="S55" s="97">
        <v>1</v>
      </c>
      <c r="T55" s="63">
        <f>+S55*R55</f>
        <v>4.9381309255608475E-7</v>
      </c>
      <c r="AD55">
        <v>6881</v>
      </c>
      <c r="AE55">
        <v>5.2429999996093102E-3</v>
      </c>
      <c r="AF55">
        <f t="shared" si="1"/>
        <v>4.1978207961865712E-3</v>
      </c>
      <c r="AG55">
        <f t="shared" si="2"/>
        <v>1.0923995672673911E-6</v>
      </c>
      <c r="AI55" s="97">
        <v>1</v>
      </c>
      <c r="AK55" s="149" t="s">
        <v>12</v>
      </c>
      <c r="AL55" s="149"/>
    </row>
    <row r="56" spans="1:42">
      <c r="A56" s="47" t="s">
        <v>95</v>
      </c>
      <c r="B56" s="48" t="s">
        <v>80</v>
      </c>
      <c r="C56" s="47">
        <v>55003.774599999997</v>
      </c>
      <c r="D56" s="47">
        <v>2.0000000000000001E-4</v>
      </c>
      <c r="E56" s="44">
        <f>+(C56-C$7)/C$8</f>
        <v>7040.0136345875126</v>
      </c>
      <c r="F56">
        <f>ROUND(2*E56,0)/2</f>
        <v>7040</v>
      </c>
      <c r="G56">
        <f>+C56-(C$7+F56*C$8)</f>
        <v>4.9199999994016252E-3</v>
      </c>
      <c r="I56">
        <f>+G56</f>
        <v>4.9199999994016252E-3</v>
      </c>
      <c r="O56">
        <f ca="1">+C$11+C$12*$F56</f>
        <v>4.486983562215786E-3</v>
      </c>
      <c r="P56">
        <f>+D$11+D$12*F56+D$13*F56^2</f>
        <v>4.7433519854647721E-3</v>
      </c>
      <c r="Q56" s="2">
        <f>+C56-15018.5</f>
        <v>39985.274599999997</v>
      </c>
      <c r="R56">
        <f>+(P56-G56)^2</f>
        <v>3.1204520827834661E-8</v>
      </c>
      <c r="S56" s="97">
        <v>1</v>
      </c>
      <c r="T56" s="63">
        <f>+S56*R56</f>
        <v>3.1204520827834661E-8</v>
      </c>
      <c r="AD56">
        <v>7040</v>
      </c>
      <c r="AE56">
        <v>4.9199999994016252E-3</v>
      </c>
      <c r="AF56">
        <f t="shared" si="1"/>
        <v>4.4869835622157791E-3</v>
      </c>
      <c r="AG56">
        <f t="shared" si="2"/>
        <v>1.8750323487312385E-7</v>
      </c>
      <c r="AI56" s="97">
        <v>1</v>
      </c>
      <c r="AK56" s="146" t="s">
        <v>13</v>
      </c>
      <c r="AL56" s="146">
        <v>0.94889250765075139</v>
      </c>
    </row>
    <row r="57" spans="1:42">
      <c r="A57" s="65" t="s">
        <v>173</v>
      </c>
      <c r="B57" s="66" t="s">
        <v>80</v>
      </c>
      <c r="C57" s="65">
        <v>55059.346299999997</v>
      </c>
      <c r="D57" s="65">
        <v>2.0000000000000001E-4</v>
      </c>
      <c r="E57" s="44">
        <f>+(C57-C$7)/C$8</f>
        <v>7194.0171319146357</v>
      </c>
      <c r="F57">
        <f>ROUND(2*E57,0)/2</f>
        <v>7194</v>
      </c>
      <c r="G57">
        <f>+C57-(C$7+F57*C$8)</f>
        <v>6.1819999973522499E-3</v>
      </c>
      <c r="I57">
        <f>+G57</f>
        <v>6.1819999973522499E-3</v>
      </c>
      <c r="O57">
        <f ca="1">+C$11+C$12*$F57</f>
        <v>4.767053159501938E-3</v>
      </c>
      <c r="P57">
        <f>+D$11+D$12*F57+D$13*F57^2</f>
        <v>4.9442715992157205E-3</v>
      </c>
      <c r="Q57" s="2">
        <f>+C57-15018.5</f>
        <v>40040.846299999997</v>
      </c>
      <c r="R57">
        <f>+(P57-G57)^2</f>
        <v>1.5319715875536191E-6</v>
      </c>
      <c r="S57" s="97">
        <v>1</v>
      </c>
      <c r="T57" s="63">
        <f>+S57*R57</f>
        <v>1.5319715875536191E-6</v>
      </c>
      <c r="AD57">
        <v>7194</v>
      </c>
      <c r="AE57">
        <v>6.1819999973522499E-3</v>
      </c>
      <c r="AF57">
        <f t="shared" si="1"/>
        <v>4.767053159501931E-3</v>
      </c>
      <c r="AG57">
        <f t="shared" si="2"/>
        <v>2.0020745539426166E-6</v>
      </c>
      <c r="AI57" s="97">
        <v>1</v>
      </c>
      <c r="AK57" s="146" t="s">
        <v>14</v>
      </c>
      <c r="AL57" s="146">
        <v>0.90039699107573135</v>
      </c>
    </row>
    <row r="58" spans="1:42">
      <c r="A58" s="65" t="s">
        <v>173</v>
      </c>
      <c r="B58" s="66" t="s">
        <v>81</v>
      </c>
      <c r="C58" s="65">
        <v>55059.527300000002</v>
      </c>
      <c r="D58" s="65">
        <v>8.0000000000000004E-4</v>
      </c>
      <c r="E58" s="44">
        <f>+(C58-C$7)/C$8</f>
        <v>7194.5187295446676</v>
      </c>
      <c r="F58">
        <f>ROUND(2*E58,0)/2</f>
        <v>7194.5</v>
      </c>
      <c r="G58">
        <f>+C58-(C$7+F58*C$8)</f>
        <v>6.758500006981194E-3</v>
      </c>
      <c r="I58">
        <f>+G58</f>
        <v>6.758500006981194E-3</v>
      </c>
      <c r="O58">
        <f ca="1">+C$11+C$12*$F58</f>
        <v>4.7679624763762429E-3</v>
      </c>
      <c r="P58">
        <f>+D$11+D$12*F58+D$13*F58^2</f>
        <v>4.9449307229704597E-3</v>
      </c>
      <c r="Q58" s="2">
        <f>+C58-15018.5</f>
        <v>40041.027300000002</v>
      </c>
      <c r="R58">
        <f>+(P58-G58)^2</f>
        <v>3.2890335479072075E-6</v>
      </c>
      <c r="S58" s="97">
        <v>1</v>
      </c>
      <c r="T58" s="63">
        <f>+S58*R58</f>
        <v>3.2890335479072075E-6</v>
      </c>
      <c r="AD58">
        <v>7194.5</v>
      </c>
      <c r="AE58">
        <v>6.758500006981194E-3</v>
      </c>
      <c r="AF58">
        <f t="shared" si="1"/>
        <v>4.7679624763762359E-3</v>
      </c>
      <c r="AG58">
        <f t="shared" si="2"/>
        <v>3.9622396607468842E-6</v>
      </c>
      <c r="AI58" s="97">
        <v>1</v>
      </c>
      <c r="AK58" s="146" t="s">
        <v>15</v>
      </c>
      <c r="AL58" s="146">
        <v>0.89808064203098092</v>
      </c>
    </row>
    <row r="59" spans="1:42">
      <c r="A59" s="84" t="s">
        <v>274</v>
      </c>
      <c r="B59" s="85" t="s">
        <v>80</v>
      </c>
      <c r="C59" s="86">
        <v>55311.218399999998</v>
      </c>
      <c r="D59" s="84" t="s">
        <v>191</v>
      </c>
      <c r="E59" s="44">
        <f>+(C59-C$7)/C$8</f>
        <v>7892.0196094189532</v>
      </c>
      <c r="F59">
        <f>ROUND(2*E59,0)/2</f>
        <v>7892</v>
      </c>
      <c r="G59">
        <f>+C59-(C$7+F59*C$8)</f>
        <v>7.0760000016889535E-3</v>
      </c>
      <c r="K59">
        <f>+G59</f>
        <v>7.0760000016889535E-3</v>
      </c>
      <c r="O59">
        <f ca="1">+C$11+C$12*$F59</f>
        <v>6.0364595160326759E-3</v>
      </c>
      <c r="P59">
        <f>+D$11+D$12*F59+D$13*F59^2</f>
        <v>5.9071844586935582E-3</v>
      </c>
      <c r="Q59" s="2">
        <f>+C59-15018.5</f>
        <v>40292.718399999998</v>
      </c>
      <c r="R59">
        <f>+(P59-G59)^2</f>
        <v>1.3661297735476208E-6</v>
      </c>
      <c r="S59" s="97">
        <v>1</v>
      </c>
      <c r="T59" s="63">
        <f>+S59*R59</f>
        <v>1.3661297735476208E-6</v>
      </c>
      <c r="AD59">
        <v>7892</v>
      </c>
      <c r="AE59">
        <v>7.0760000016889535E-3</v>
      </c>
      <c r="AF59">
        <f t="shared" si="1"/>
        <v>6.0364595160326707E-3</v>
      </c>
      <c r="AG59">
        <f t="shared" si="2"/>
        <v>1.0806444213185002E-6</v>
      </c>
      <c r="AI59" s="97">
        <v>1</v>
      </c>
      <c r="AK59" s="146" t="s">
        <v>16</v>
      </c>
      <c r="AL59" s="146">
        <v>1.5683277449342024E-3</v>
      </c>
    </row>
    <row r="60" spans="1:42" ht="13.5" thickBot="1">
      <c r="A60" s="84" t="s">
        <v>274</v>
      </c>
      <c r="B60" s="85" t="s">
        <v>81</v>
      </c>
      <c r="C60" s="86">
        <v>55315.0072</v>
      </c>
      <c r="D60" s="84" t="s">
        <v>191</v>
      </c>
      <c r="E60" s="44">
        <f>+(C60-C$7)/C$8</f>
        <v>7902.5193503063711</v>
      </c>
      <c r="F60">
        <f>ROUND(2*E60,0)/2</f>
        <v>7902.5</v>
      </c>
      <c r="G60">
        <f>+C60-(C$7+F60*C$8)</f>
        <v>6.9825000027776696E-3</v>
      </c>
      <c r="K60">
        <f>+G60</f>
        <v>6.9825000027776696E-3</v>
      </c>
      <c r="O60">
        <f ca="1">+C$11+C$12*$F60</f>
        <v>6.0555551703930944E-3</v>
      </c>
      <c r="P60">
        <f>+D$11+D$12*F60+D$13*F60^2</f>
        <v>5.9223231655787913E-3</v>
      </c>
      <c r="Q60" s="2">
        <f>+C60-15018.5</f>
        <v>40296.5072</v>
      </c>
      <c r="R60">
        <f>+(P60-G60)^2</f>
        <v>1.1239749261330168E-6</v>
      </c>
      <c r="S60" s="97">
        <v>1</v>
      </c>
      <c r="T60" s="63">
        <f>+S60*R60</f>
        <v>1.1239749261330168E-6</v>
      </c>
      <c r="AD60">
        <v>7902.5</v>
      </c>
      <c r="AE60">
        <v>6.9825000027776696E-3</v>
      </c>
      <c r="AF60">
        <f t="shared" si="1"/>
        <v>6.0555551703930892E-3</v>
      </c>
      <c r="AG60">
        <f t="shared" si="2"/>
        <v>8.5922672228447783E-7</v>
      </c>
      <c r="AI60" s="97">
        <v>1</v>
      </c>
      <c r="AK60" s="147" t="s">
        <v>17</v>
      </c>
      <c r="AL60" s="147">
        <v>45</v>
      </c>
    </row>
    <row r="61" spans="1:42">
      <c r="A61" s="84" t="s">
        <v>274</v>
      </c>
      <c r="B61" s="85" t="s">
        <v>81</v>
      </c>
      <c r="C61" s="86">
        <v>55316.090499999998</v>
      </c>
      <c r="D61" s="84" t="s">
        <v>191</v>
      </c>
      <c r="E61" s="44">
        <f>+(C61-C$7)/C$8</f>
        <v>7905.5214536909043</v>
      </c>
      <c r="F61">
        <f>ROUND(2*E61,0)/2</f>
        <v>7905.5</v>
      </c>
      <c r="G61">
        <f>+C61-(C$7+F61*C$8)</f>
        <v>7.7415000050677918E-3</v>
      </c>
      <c r="K61">
        <f>+G61</f>
        <v>7.7415000050677918E-3</v>
      </c>
      <c r="O61">
        <f ca="1">+C$11+C$12*$F61</f>
        <v>6.061011071638929E-3</v>
      </c>
      <c r="P61">
        <f>+D$11+D$12*F61+D$13*F61^2</f>
        <v>5.926652068817791E-3</v>
      </c>
      <c r="Q61" s="2">
        <f>+C61-15018.5</f>
        <v>40297.590499999998</v>
      </c>
      <c r="R61">
        <f>+(P61-G61)^2</f>
        <v>3.2936730317108868E-6</v>
      </c>
      <c r="S61" s="97">
        <v>1</v>
      </c>
      <c r="T61" s="63">
        <f>+S61*R61</f>
        <v>3.2936730317108868E-6</v>
      </c>
      <c r="AD61">
        <v>7905.5</v>
      </c>
      <c r="AE61">
        <v>7.7415000050677918E-3</v>
      </c>
      <c r="AF61">
        <f t="shared" si="1"/>
        <v>6.0610110716389238E-3</v>
      </c>
      <c r="AG61">
        <f t="shared" si="2"/>
        <v>2.8240430553768945E-6</v>
      </c>
      <c r="AI61" s="97">
        <v>1</v>
      </c>
    </row>
    <row r="62" spans="1:42" ht="13.5" thickBot="1">
      <c r="A62" s="84" t="s">
        <v>274</v>
      </c>
      <c r="B62" s="85" t="s">
        <v>81</v>
      </c>
      <c r="C62" s="86">
        <v>55350.010600000001</v>
      </c>
      <c r="D62" s="84" t="s">
        <v>191</v>
      </c>
      <c r="E62" s="44">
        <f>+(C62-C$7)/C$8</f>
        <v>7999.5227894370873</v>
      </c>
      <c r="F62">
        <f>ROUND(2*E62,0)/2</f>
        <v>7999.5</v>
      </c>
      <c r="G62">
        <f>+C62-(C$7+F62*C$8)</f>
        <v>8.2235000081709586E-3</v>
      </c>
      <c r="K62">
        <f>+G62</f>
        <v>8.2235000081709586E-3</v>
      </c>
      <c r="O62">
        <f ca="1">+C$11+C$12*$F62</f>
        <v>6.2319626440083976E-3</v>
      </c>
      <c r="P62">
        <f>+D$11+D$12*F62+D$13*F62^2</f>
        <v>6.0630921635103814E-3</v>
      </c>
      <c r="Q62" s="2">
        <f>+C62-15018.5</f>
        <v>40331.510600000001</v>
      </c>
      <c r="R62">
        <f>+(P62-G62)^2</f>
        <v>4.6673620552709604E-6</v>
      </c>
      <c r="S62" s="97">
        <v>1</v>
      </c>
      <c r="T62" s="63">
        <f>+S62*R62</f>
        <v>4.6673620552709604E-6</v>
      </c>
      <c r="AD62">
        <v>7999.5</v>
      </c>
      <c r="AE62">
        <v>8.2235000081709586E-3</v>
      </c>
      <c r="AF62">
        <f t="shared" si="1"/>
        <v>6.2319626440083924E-3</v>
      </c>
      <c r="AG62">
        <f t="shared" si="2"/>
        <v>3.9662210728555817E-6</v>
      </c>
      <c r="AI62" s="97">
        <v>1</v>
      </c>
      <c r="AK62" t="s">
        <v>18</v>
      </c>
    </row>
    <row r="63" spans="1:42">
      <c r="A63" s="84" t="s">
        <v>274</v>
      </c>
      <c r="B63" s="85" t="s">
        <v>80</v>
      </c>
      <c r="C63" s="86">
        <v>55350.19</v>
      </c>
      <c r="D63" s="84" t="s">
        <v>191</v>
      </c>
      <c r="E63" s="44">
        <f>+(C63-C$7)/C$8</f>
        <v>8000.0199530549107</v>
      </c>
      <c r="F63">
        <f>ROUND(2*E63,0)/2</f>
        <v>8000</v>
      </c>
      <c r="G63">
        <f>+C63-(C$7+F63*C$8)</f>
        <v>7.2000000072875991E-3</v>
      </c>
      <c r="K63">
        <f>+G63</f>
        <v>7.2000000072875991E-3</v>
      </c>
      <c r="O63">
        <f ca="1">+C$11+C$12*$F63</f>
        <v>6.2328719608827042E-3</v>
      </c>
      <c r="P63">
        <f>+D$11+D$12*F63+D$13*F63^2</f>
        <v>6.0638220601786719E-3</v>
      </c>
      <c r="Q63" s="2">
        <f>+C63-15018.5</f>
        <v>40331.69</v>
      </c>
      <c r="R63">
        <f>+(P63-G63)^2</f>
        <v>1.2909003274966563E-6</v>
      </c>
      <c r="S63" s="97">
        <v>1</v>
      </c>
      <c r="T63" s="63">
        <f>+S63*R63</f>
        <v>1.2909003274966563E-6</v>
      </c>
      <c r="AD63">
        <v>8000</v>
      </c>
      <c r="AE63">
        <v>7.2000000072875991E-3</v>
      </c>
      <c r="AF63">
        <f t="shared" si="1"/>
        <v>6.232871960882699E-3</v>
      </c>
      <c r="AG63">
        <f t="shared" si="2"/>
        <v>9.3533665814295868E-7</v>
      </c>
      <c r="AI63" s="97">
        <v>1</v>
      </c>
      <c r="AK63" s="148"/>
      <c r="AL63" s="148" t="s">
        <v>23</v>
      </c>
      <c r="AM63" s="148" t="s">
        <v>24</v>
      </c>
      <c r="AN63" s="148" t="s">
        <v>25</v>
      </c>
      <c r="AO63" s="148" t="s">
        <v>131</v>
      </c>
      <c r="AP63" s="148" t="s">
        <v>26</v>
      </c>
    </row>
    <row r="64" spans="1:42">
      <c r="A64" s="84" t="s">
        <v>274</v>
      </c>
      <c r="B64" s="85" t="s">
        <v>81</v>
      </c>
      <c r="C64" s="86">
        <v>55351.092199999999</v>
      </c>
      <c r="D64" s="84" t="s">
        <v>191</v>
      </c>
      <c r="E64" s="44">
        <f>+(C64-C$7)/C$8</f>
        <v>8002.5201816836561</v>
      </c>
      <c r="F64">
        <f>ROUND(2*E64,0)/2</f>
        <v>8002.5</v>
      </c>
      <c r="G64">
        <f>+C64-(C$7+F64*C$8)</f>
        <v>7.2825000024749897E-3</v>
      </c>
      <c r="K64">
        <f>+G64</f>
        <v>7.2825000024749897E-3</v>
      </c>
      <c r="O64">
        <f ca="1">+C$11+C$12*$F64</f>
        <v>6.2374185452542322E-3</v>
      </c>
      <c r="P64">
        <f>+D$11+D$12*F64+D$13*F64^2</f>
        <v>6.0674722024858015E-3</v>
      </c>
      <c r="Q64" s="2">
        <f>+C64-15018.5</f>
        <v>40332.592199999999</v>
      </c>
      <c r="R64">
        <f>+(P64-G64)^2</f>
        <v>1.4762925547465668E-6</v>
      </c>
      <c r="S64" s="97">
        <v>1</v>
      </c>
      <c r="T64" s="63">
        <f>+S64*R64</f>
        <v>1.4762925547465668E-6</v>
      </c>
      <c r="AD64">
        <v>8002.5</v>
      </c>
      <c r="AE64">
        <v>7.2825000024749897E-3</v>
      </c>
      <c r="AF64">
        <f t="shared" si="1"/>
        <v>6.237418545254227E-3</v>
      </c>
      <c r="AG64">
        <f t="shared" si="2"/>
        <v>1.092195252226673E-6</v>
      </c>
      <c r="AI64" s="97">
        <v>1</v>
      </c>
      <c r="AK64" s="146" t="s">
        <v>19</v>
      </c>
      <c r="AL64" s="146">
        <v>1</v>
      </c>
      <c r="AM64" s="146">
        <v>9.561008039165531E-4</v>
      </c>
      <c r="AN64" s="146">
        <v>9.561008039165531E-4</v>
      </c>
      <c r="AO64" s="146">
        <v>388.7138655188042</v>
      </c>
      <c r="AP64" s="146">
        <v>3.6919897226207351E-23</v>
      </c>
    </row>
    <row r="65" spans="1:45">
      <c r="A65" s="52" t="s">
        <v>183</v>
      </c>
      <c r="B65" s="48" t="s">
        <v>80</v>
      </c>
      <c r="C65" s="47">
        <v>55687.58251</v>
      </c>
      <c r="D65" s="47">
        <v>1E-4</v>
      </c>
      <c r="E65" s="44">
        <f>+(C65-C$7)/C$8</f>
        <v>8935.0215188154634</v>
      </c>
      <c r="F65">
        <f>ROUND(2*E65,0)/2</f>
        <v>8935</v>
      </c>
      <c r="G65">
        <f>+C65-(C$7+F65*C$8)</f>
        <v>7.7650000021094456E-3</v>
      </c>
      <c r="I65">
        <f>+G65</f>
        <v>7.7650000021094456E-3</v>
      </c>
      <c r="O65">
        <f ca="1">+C$11+C$12*$F65</f>
        <v>7.9332945158343375E-3</v>
      </c>
      <c r="P65">
        <f>+D$11+D$12*F65+D$13*F65^2</f>
        <v>7.5055811411002989E-3</v>
      </c>
      <c r="Q65" s="2">
        <f>+C65-15018.5</f>
        <v>40669.08251</v>
      </c>
      <c r="R65">
        <f>+(P65-G65)^2</f>
        <v>6.7298145447283009E-8</v>
      </c>
      <c r="S65" s="97">
        <v>1</v>
      </c>
      <c r="T65" s="63">
        <f>+S65*R65</f>
        <v>6.7298145447283009E-8</v>
      </c>
      <c r="AD65">
        <v>8935</v>
      </c>
      <c r="AE65">
        <v>7.7650000021094456E-3</v>
      </c>
      <c r="AF65">
        <f t="shared" si="1"/>
        <v>7.933294515834334E-3</v>
      </c>
      <c r="AG65">
        <f t="shared" si="2"/>
        <v>2.8323043349896653E-8</v>
      </c>
      <c r="AI65" s="97">
        <v>1</v>
      </c>
      <c r="AK65" s="146" t="s">
        <v>20</v>
      </c>
      <c r="AL65" s="146">
        <v>43</v>
      </c>
      <c r="AM65" s="146">
        <v>1.0576503236780721E-4</v>
      </c>
      <c r="AN65" s="146">
        <v>2.4596519155304003E-6</v>
      </c>
      <c r="AO65" s="146"/>
      <c r="AP65" s="146"/>
    </row>
    <row r="66" spans="1:45" ht="13.5" thickBot="1">
      <c r="A66" s="65" t="s">
        <v>176</v>
      </c>
      <c r="B66" s="66" t="s">
        <v>81</v>
      </c>
      <c r="C66" s="65">
        <v>55727.816299999999</v>
      </c>
      <c r="D66" s="65">
        <v>6.9999999999999999E-4</v>
      </c>
      <c r="E66" s="44">
        <f>+(C66-C$7)/C$8</f>
        <v>9046.5197161123742</v>
      </c>
      <c r="F66">
        <f>ROUND(2*E66,0)/2</f>
        <v>9046.5</v>
      </c>
      <c r="G66">
        <f>+C66-(C$7+F66*C$8)</f>
        <v>7.1145000038086437E-3</v>
      </c>
      <c r="I66">
        <f>+G66</f>
        <v>7.1145000038086437E-3</v>
      </c>
      <c r="O66">
        <f ca="1">+C$11+C$12*$F66</f>
        <v>8.1360721788045071E-3</v>
      </c>
      <c r="P66">
        <f>+D$11+D$12*F66+D$13*F66^2</f>
        <v>7.6877650049997992E-3</v>
      </c>
      <c r="Q66" s="2">
        <f>+C66-15018.5</f>
        <v>40709.316299999999</v>
      </c>
      <c r="R66">
        <f>+(P66-G66)^2</f>
        <v>3.2863276159069559E-7</v>
      </c>
      <c r="S66" s="97">
        <v>1</v>
      </c>
      <c r="T66" s="63">
        <f>+S66*R66</f>
        <v>3.2863276159069559E-7</v>
      </c>
      <c r="AD66">
        <v>9046.5</v>
      </c>
      <c r="AE66">
        <v>7.1145000038086437E-3</v>
      </c>
      <c r="AF66">
        <f t="shared" si="1"/>
        <v>8.1360721788045001E-3</v>
      </c>
      <c r="AG66">
        <f t="shared" si="2"/>
        <v>1.0436097087257648E-6</v>
      </c>
      <c r="AI66" s="97">
        <v>1</v>
      </c>
      <c r="AK66" s="147" t="s">
        <v>21</v>
      </c>
      <c r="AL66" s="147">
        <v>44</v>
      </c>
      <c r="AM66" s="147">
        <v>1.0618658362843603E-3</v>
      </c>
      <c r="AN66" s="147"/>
      <c r="AO66" s="147"/>
      <c r="AP66" s="147"/>
    </row>
    <row r="67" spans="1:45" ht="13.5" thickBot="1">
      <c r="A67" s="52" t="s">
        <v>183</v>
      </c>
      <c r="B67" s="48" t="s">
        <v>81</v>
      </c>
      <c r="C67" s="47">
        <v>55740.447119999997</v>
      </c>
      <c r="D67" s="47">
        <v>1E-4</v>
      </c>
      <c r="E67" s="44">
        <f>+(C67-C$7)/C$8</f>
        <v>9081.5229723400789</v>
      </c>
      <c r="F67">
        <f>ROUND(2*E67,0)/2</f>
        <v>9081.5</v>
      </c>
      <c r="G67">
        <f>+C67-(C$7+F67*C$8)</f>
        <v>8.289500001410488E-3</v>
      </c>
      <c r="K67">
        <f>+G67</f>
        <v>8.289500001410488E-3</v>
      </c>
      <c r="O67">
        <f ca="1">+C$11+C$12*$F67</f>
        <v>8.1997243600059021E-3</v>
      </c>
      <c r="P67">
        <f>+D$11+D$12*F67+D$13*F67^2</f>
        <v>7.745403277835081E-3</v>
      </c>
      <c r="Q67" s="2">
        <f>+C67-15018.5</f>
        <v>40721.947119999997</v>
      </c>
      <c r="R67">
        <f>+(P67-G67)^2</f>
        <v>2.9604124460549288E-7</v>
      </c>
      <c r="S67" s="97">
        <v>1</v>
      </c>
      <c r="T67" s="63">
        <f>+S67*R67</f>
        <v>2.9604124460549288E-7</v>
      </c>
      <c r="AD67">
        <v>9081.5</v>
      </c>
      <c r="AE67">
        <v>8.289500001410488E-3</v>
      </c>
      <c r="AF67">
        <f t="shared" si="1"/>
        <v>8.1997243600058986E-3</v>
      </c>
      <c r="AG67">
        <f t="shared" si="2"/>
        <v>8.0596657896054334E-9</v>
      </c>
      <c r="AI67" s="97">
        <v>1</v>
      </c>
    </row>
    <row r="68" spans="1:45">
      <c r="A68" s="67" t="s">
        <v>182</v>
      </c>
      <c r="B68" s="48"/>
      <c r="C68" s="47">
        <v>56024.974900000001</v>
      </c>
      <c r="D68" s="47">
        <v>2.0000000000000001E-4</v>
      </c>
      <c r="E68" s="44">
        <f>+(C68-C$7)/C$8</f>
        <v>9870.0227520251083</v>
      </c>
      <c r="F68">
        <f>ROUND(2*E68,0)/2</f>
        <v>9870</v>
      </c>
      <c r="G68">
        <f>+C68-(C$7+F68*C$8)</f>
        <v>8.2100000072387047E-3</v>
      </c>
      <c r="J68">
        <f>+G68</f>
        <v>8.2100000072387047E-3</v>
      </c>
      <c r="O68">
        <f ca="1">+C$11+C$12*$F68</f>
        <v>9.6337170707859708E-3</v>
      </c>
      <c r="P68">
        <f>+D$11+D$12*F68+D$13*F68^2</f>
        <v>9.1009626934032938E-3</v>
      </c>
      <c r="Q68" s="2">
        <f>+C68-15018.5</f>
        <v>41006.474900000001</v>
      </c>
      <c r="R68">
        <f>+(P68-G68)^2</f>
        <v>7.9381450813762002E-7</v>
      </c>
      <c r="S68" s="97">
        <v>1</v>
      </c>
      <c r="T68" s="63">
        <f>+S68*R68</f>
        <v>7.9381450813762002E-7</v>
      </c>
      <c r="AD68">
        <v>9870</v>
      </c>
      <c r="AE68">
        <v>8.2100000072387047E-3</v>
      </c>
      <c r="AF68">
        <f t="shared" si="1"/>
        <v>9.6337170707859673E-3</v>
      </c>
      <c r="AG68">
        <f t="shared" si="2"/>
        <v>2.0269702770356401E-6</v>
      </c>
      <c r="AI68" s="97">
        <v>1</v>
      </c>
      <c r="AK68" s="148"/>
      <c r="AL68" s="148" t="s">
        <v>27</v>
      </c>
      <c r="AM68" s="148" t="s">
        <v>16</v>
      </c>
      <c r="AN68" s="148" t="s">
        <v>28</v>
      </c>
      <c r="AO68" s="148" t="s">
        <v>29</v>
      </c>
      <c r="AP68" s="148" t="s">
        <v>30</v>
      </c>
      <c r="AQ68" s="148" t="s">
        <v>31</v>
      </c>
      <c r="AR68" s="148" t="s">
        <v>32</v>
      </c>
      <c r="AS68" s="148" t="s">
        <v>33</v>
      </c>
    </row>
    <row r="69" spans="1:45">
      <c r="A69" s="68" t="s">
        <v>182</v>
      </c>
      <c r="B69" s="87" t="s">
        <v>80</v>
      </c>
      <c r="C69" s="47">
        <v>56061.780700000003</v>
      </c>
      <c r="D69" s="47">
        <v>2.0000000000000001E-4</v>
      </c>
      <c r="E69" s="44">
        <f>+(C69-C$7)/C$8</f>
        <v>9972.021105898084</v>
      </c>
      <c r="F69">
        <f>ROUND(2*E69,0)/2</f>
        <v>9972</v>
      </c>
      <c r="G69">
        <f>+C69-(C$7+F69*C$8)</f>
        <v>7.6160000025993213E-3</v>
      </c>
      <c r="J69">
        <f>+G69</f>
        <v>7.6160000025993213E-3</v>
      </c>
      <c r="O69">
        <f ca="1">+C$11+C$12*$F69</f>
        <v>9.8192177131443299E-3</v>
      </c>
      <c r="P69">
        <f>+D$11+D$12*F69+D$13*F69^2</f>
        <v>9.2842978420058665E-3</v>
      </c>
      <c r="Q69" s="2">
        <f>+C69-15018.5</f>
        <v>41043.280700000003</v>
      </c>
      <c r="R69">
        <f>+(P69-G69)^2</f>
        <v>2.7832176809685467E-6</v>
      </c>
      <c r="S69" s="97">
        <v>1</v>
      </c>
      <c r="T69" s="63">
        <f>+S69*R69</f>
        <v>2.7832176809685467E-6</v>
      </c>
      <c r="AD69">
        <v>9972</v>
      </c>
      <c r="AE69">
        <v>7.6160000025993213E-3</v>
      </c>
      <c r="AF69">
        <f t="shared" si="1"/>
        <v>9.8192177131443265E-3</v>
      </c>
      <c r="AG69">
        <f t="shared" si="2"/>
        <v>4.8541682800591739E-6</v>
      </c>
      <c r="AI69" s="97">
        <v>1</v>
      </c>
      <c r="AK69" s="146" t="s">
        <v>22</v>
      </c>
      <c r="AL69" s="146">
        <v>-8.3161980280082645E-3</v>
      </c>
      <c r="AM69" s="146">
        <v>1.0078361683792155E-3</v>
      </c>
      <c r="AN69" s="146">
        <v>-8.2515375900650874</v>
      </c>
      <c r="AO69" s="146">
        <v>2.0932184717501776E-10</v>
      </c>
      <c r="AP69" s="146">
        <v>-1.0348691971142026E-2</v>
      </c>
      <c r="AQ69" s="146">
        <v>-6.2837040848745026E-3</v>
      </c>
      <c r="AR69" s="146">
        <v>-1.0348691971142026E-2</v>
      </c>
      <c r="AS69" s="146">
        <v>-6.2837040848745026E-3</v>
      </c>
    </row>
    <row r="70" spans="1:45" ht="13.5" thickBot="1">
      <c r="A70" s="67" t="s">
        <v>182</v>
      </c>
      <c r="B70" s="48"/>
      <c r="C70" s="47">
        <v>56072.790300000001</v>
      </c>
      <c r="D70" s="47">
        <v>2E-3</v>
      </c>
      <c r="E70" s="44">
        <f>+(C70-C$7)/C$8</f>
        <v>10002.531543839921</v>
      </c>
      <c r="F70">
        <f>ROUND(2*E70,0)/2</f>
        <v>10002.5</v>
      </c>
      <c r="G70">
        <f>+C70-(C$7+F70*C$8)</f>
        <v>1.1382500000763685E-2</v>
      </c>
      <c r="J70">
        <f>+G70</f>
        <v>1.1382500000763685E-2</v>
      </c>
      <c r="O70">
        <f ca="1">+C$11+C$12*$F70</f>
        <v>9.8746860424769774E-3</v>
      </c>
      <c r="P70">
        <f>+D$11+D$12*F70+D$13*F70^2</f>
        <v>9.3394737189163614E-3</v>
      </c>
      <c r="Q70" s="2">
        <f>+C70-15018.5</f>
        <v>41054.290300000001</v>
      </c>
      <c r="R70">
        <f>+(P70-G70)^2</f>
        <v>4.1739563883188977E-6</v>
      </c>
      <c r="S70" s="97">
        <v>0.4</v>
      </c>
      <c r="T70" s="63">
        <f>+S70*R70</f>
        <v>1.6695825553275591E-6</v>
      </c>
      <c r="AD70">
        <v>10002.5</v>
      </c>
      <c r="AE70">
        <v>1.1382500000763685E-2</v>
      </c>
      <c r="AF70">
        <f t="shared" si="1"/>
        <v>9.8746860424769739E-3</v>
      </c>
      <c r="AG70">
        <f t="shared" si="2"/>
        <v>9.0940117312169539E-7</v>
      </c>
      <c r="AI70" s="97">
        <v>0.4</v>
      </c>
      <c r="AK70" s="147" t="s">
        <v>34</v>
      </c>
      <c r="AL70" s="147">
        <v>1.8186337486113715E-6</v>
      </c>
      <c r="AM70" s="147">
        <v>9.2242322656165484E-8</v>
      </c>
      <c r="AN70" s="147">
        <v>19.715827791873298</v>
      </c>
      <c r="AO70" s="147">
        <v>3.6919897226208238E-23</v>
      </c>
      <c r="AP70" s="147">
        <v>1.6326095038169505E-6</v>
      </c>
      <c r="AQ70" s="147">
        <v>2.0046579934057923E-6</v>
      </c>
      <c r="AR70" s="147">
        <v>1.6326095038169505E-6</v>
      </c>
      <c r="AS70" s="147">
        <v>2.0046579934057923E-6</v>
      </c>
    </row>
    <row r="71" spans="1:45">
      <c r="A71" s="52" t="s">
        <v>183</v>
      </c>
      <c r="B71" s="48" t="s">
        <v>80</v>
      </c>
      <c r="C71" s="47">
        <v>56096.422879999998</v>
      </c>
      <c r="D71" s="47">
        <v>2.9999999999999997E-4</v>
      </c>
      <c r="E71" s="44">
        <f>+(C71-C$7)/C$8</f>
        <v>10068.023511349689</v>
      </c>
      <c r="F71">
        <f>ROUND(2*E71,0)/2</f>
        <v>10068</v>
      </c>
      <c r="G71">
        <f>+C71-(C$7+F71*C$8)</f>
        <v>8.4839999981340952E-3</v>
      </c>
      <c r="K71">
        <f>+G71</f>
        <v>8.4839999981340952E-3</v>
      </c>
      <c r="O71">
        <f ca="1">+C$11+C$12*$F71</f>
        <v>9.9938065530110233E-3</v>
      </c>
      <c r="P71">
        <f>+D$11+D$12*F71+D$13*F71^2</f>
        <v>9.4585186527104386E-3</v>
      </c>
      <c r="Q71" s="2">
        <f>+C71-15018.5</f>
        <v>41077.922879999998</v>
      </c>
      <c r="R71">
        <f>+(P71-G71)^2</f>
        <v>9.4968660811728644E-7</v>
      </c>
      <c r="S71" s="97">
        <v>1</v>
      </c>
      <c r="T71" s="63">
        <f>+S71*R71</f>
        <v>9.4968660811728644E-7</v>
      </c>
      <c r="AD71">
        <v>10068</v>
      </c>
      <c r="AE71">
        <v>8.4839999981340952E-3</v>
      </c>
      <c r="AF71">
        <f t="shared" si="1"/>
        <v>9.9938065530110198E-3</v>
      </c>
      <c r="AG71">
        <f t="shared" si="2"/>
        <v>2.2795158331493278E-6</v>
      </c>
      <c r="AI71" s="97">
        <v>1</v>
      </c>
    </row>
    <row r="72" spans="1:45">
      <c r="A72" s="84" t="s">
        <v>357</v>
      </c>
      <c r="B72" s="85" t="s">
        <v>81</v>
      </c>
      <c r="C72" s="86">
        <v>56111.399400000002</v>
      </c>
      <c r="D72" s="84" t="s">
        <v>191</v>
      </c>
      <c r="E72" s="44">
        <f>+(C72-C$7)/C$8</f>
        <v>10109.527306587017</v>
      </c>
      <c r="F72">
        <f>ROUND(2*E72,0)/2</f>
        <v>10109.5</v>
      </c>
      <c r="G72">
        <f>+C72-(C$7+F72*C$8)</f>
        <v>9.853500007011462E-3</v>
      </c>
      <c r="I72">
        <f>+G72</f>
        <v>9.853500007011462E-3</v>
      </c>
      <c r="O72">
        <f ca="1">+C$11+C$12*$F72</f>
        <v>1.0069279853578396E-2</v>
      </c>
      <c r="P72">
        <f>+D$11+D$12*F72+D$13*F72^2</f>
        <v>9.534334220389391E-3</v>
      </c>
      <c r="Q72" s="2">
        <f>+C72-15018.5</f>
        <v>41092.899400000002</v>
      </c>
      <c r="R72">
        <f>+(P72-G72)^2</f>
        <v>1.0186679935008537E-7</v>
      </c>
      <c r="S72" s="97">
        <v>1</v>
      </c>
      <c r="T72" s="63">
        <f>+S72*R72</f>
        <v>1.0186679935008537E-7</v>
      </c>
      <c r="AD72">
        <v>10109.5</v>
      </c>
      <c r="AE72">
        <v>9.853500007011462E-3</v>
      </c>
      <c r="AF72">
        <f t="shared" si="1"/>
        <v>1.0069279853578392E-2</v>
      </c>
      <c r="AG72">
        <f t="shared" si="2"/>
        <v>4.6560942184448032E-8</v>
      </c>
      <c r="AI72" s="97">
        <v>1</v>
      </c>
    </row>
    <row r="73" spans="1:45">
      <c r="A73" s="84" t="s">
        <v>357</v>
      </c>
      <c r="B73" s="85" t="s">
        <v>80</v>
      </c>
      <c r="C73" s="86">
        <v>56112.3004</v>
      </c>
      <c r="D73" s="84" t="s">
        <v>191</v>
      </c>
      <c r="E73" s="44">
        <f>+(C73-C$7)/C$8</f>
        <v>10112.024209706617</v>
      </c>
      <c r="F73">
        <f>ROUND(2*E73,0)/2</f>
        <v>10112</v>
      </c>
      <c r="G73">
        <f>+C73-(C$7+F73*C$8)</f>
        <v>8.7360000034095719E-3</v>
      </c>
      <c r="I73">
        <f>+G73</f>
        <v>8.7360000034095719E-3</v>
      </c>
      <c r="O73">
        <f ca="1">+C$11+C$12*$F73</f>
        <v>1.0073826437949924E-2</v>
      </c>
      <c r="P73">
        <f>+D$11+D$12*F73+D$13*F73^2</f>
        <v>9.5389110880915243E-3</v>
      </c>
      <c r="Q73" s="2">
        <f>+C73-15018.5</f>
        <v>41093.8004</v>
      </c>
      <c r="R73">
        <f>+(P73-G73)^2</f>
        <v>6.4466620990514923E-7</v>
      </c>
      <c r="S73" s="97">
        <v>1</v>
      </c>
      <c r="T73" s="63">
        <f>+S73*R73</f>
        <v>6.4466620990514923E-7</v>
      </c>
      <c r="AD73">
        <v>10112</v>
      </c>
      <c r="AE73">
        <v>8.7360000034095719E-3</v>
      </c>
      <c r="AF73">
        <f t="shared" si="1"/>
        <v>1.007382643794992E-2</v>
      </c>
      <c r="AG73">
        <f t="shared" si="2"/>
        <v>1.7897795689549411E-6</v>
      </c>
      <c r="AI73" s="97">
        <v>1</v>
      </c>
    </row>
    <row r="74" spans="1:45">
      <c r="A74" s="84" t="s">
        <v>357</v>
      </c>
      <c r="B74" s="85" t="s">
        <v>81</v>
      </c>
      <c r="C74" s="86">
        <v>56112.481899999999</v>
      </c>
      <c r="D74" s="84" t="s">
        <v>191</v>
      </c>
      <c r="E74" s="44">
        <f>+(C74-C$7)/C$8</f>
        <v>10112.527192965446</v>
      </c>
      <c r="F74">
        <f>ROUND(2*E74,0)/2</f>
        <v>10112.5</v>
      </c>
      <c r="G74">
        <f>+C74-(C$7+F74*C$8)</f>
        <v>9.8125000004074536E-3</v>
      </c>
      <c r="I74">
        <f>+G74</f>
        <v>9.8125000004074536E-3</v>
      </c>
      <c r="O74">
        <f ca="1">+C$11+C$12*$F74</f>
        <v>1.0074735754824229E-2</v>
      </c>
      <c r="P74">
        <f>+D$11+D$12*F74+D$13*F74^2</f>
        <v>9.5398265934250864E-3</v>
      </c>
      <c r="Q74" s="2">
        <f>+C74-15018.5</f>
        <v>41093.981899999999</v>
      </c>
      <c r="R74">
        <f>+(P74-G74)^2</f>
        <v>7.4350786875371698E-8</v>
      </c>
      <c r="S74" s="97">
        <v>1</v>
      </c>
      <c r="T74" s="63">
        <f>+S74*R74</f>
        <v>7.4350786875371698E-8</v>
      </c>
      <c r="AD74">
        <v>10112.5</v>
      </c>
      <c r="AE74">
        <v>9.8125000004074536E-3</v>
      </c>
      <c r="AF74">
        <f t="shared" si="1"/>
        <v>1.0074735754824225E-2</v>
      </c>
      <c r="AG74">
        <f t="shared" si="2"/>
        <v>6.8767590894533383E-8</v>
      </c>
      <c r="AI74" s="97">
        <v>1</v>
      </c>
    </row>
    <row r="75" spans="1:45">
      <c r="A75" s="84" t="s">
        <v>357</v>
      </c>
      <c r="B75" s="85" t="s">
        <v>80</v>
      </c>
      <c r="C75" s="86">
        <v>56113.382700000002</v>
      </c>
      <c r="D75" s="84" t="s">
        <v>191</v>
      </c>
      <c r="E75" s="44">
        <f>+(C75-C$7)/C$8</f>
        <v>10115.023541833534</v>
      </c>
      <c r="F75">
        <f>ROUND(2*E75,0)/2</f>
        <v>10115</v>
      </c>
      <c r="G75">
        <f>+C75-(C$7+F75*C$8)</f>
        <v>8.4950000018579885E-3</v>
      </c>
      <c r="I75">
        <f>+G75</f>
        <v>8.4950000018579885E-3</v>
      </c>
      <c r="O75">
        <f ca="1">+C$11+C$12*$F75</f>
        <v>1.0079282339195757E-2</v>
      </c>
      <c r="P75">
        <f>+D$11+D$12*F75+D$13*F75^2</f>
        <v>9.5444047790585722E-3</v>
      </c>
      <c r="Q75" s="2">
        <f>+C75-15018.5</f>
        <v>41094.882700000002</v>
      </c>
      <c r="R75">
        <f>+(P75-G75)^2</f>
        <v>1.1012503864114068E-6</v>
      </c>
      <c r="S75" s="97">
        <v>1</v>
      </c>
      <c r="T75" s="63">
        <f>+S75*R75</f>
        <v>1.1012503864114068E-6</v>
      </c>
      <c r="AD75">
        <v>10115</v>
      </c>
      <c r="AE75">
        <v>8.4950000018579885E-3</v>
      </c>
      <c r="AF75">
        <f t="shared" si="1"/>
        <v>1.0079282339195753E-2</v>
      </c>
      <c r="AG75">
        <f t="shared" si="2"/>
        <v>2.5099505244004109E-6</v>
      </c>
      <c r="AI75" s="97">
        <v>1</v>
      </c>
    </row>
    <row r="76" spans="1:45">
      <c r="A76" s="84" t="s">
        <v>357</v>
      </c>
      <c r="B76" s="85" t="s">
        <v>80</v>
      </c>
      <c r="C76" s="86">
        <v>56114.464599999999</v>
      </c>
      <c r="D76" s="84" t="s">
        <v>191</v>
      </c>
      <c r="E76" s="44">
        <f>+(C76-C$7)/C$8</f>
        <v>10118.02176545739</v>
      </c>
      <c r="F76">
        <f>ROUND(2*E76,0)/2</f>
        <v>10118</v>
      </c>
      <c r="G76">
        <f>+C76-(C$7+F76*C$8)</f>
        <v>7.8540000031352974E-3</v>
      </c>
      <c r="I76">
        <f>+G76</f>
        <v>7.8540000031352974E-3</v>
      </c>
      <c r="O76">
        <f ca="1">+C$11+C$12*$F76</f>
        <v>1.0084738240441593E-2</v>
      </c>
      <c r="P76">
        <f>+D$11+D$12*F76+D$13*F76^2</f>
        <v>9.5499000515432402E-3</v>
      </c>
      <c r="Q76" s="2">
        <f>+C76-15018.5</f>
        <v>41095.964599999999</v>
      </c>
      <c r="R76">
        <f>+(P76-G76)^2</f>
        <v>2.8760769741900627E-6</v>
      </c>
      <c r="S76" s="97">
        <v>1</v>
      </c>
      <c r="T76" s="63">
        <f>+S76*R76</f>
        <v>2.8760769741900627E-6</v>
      </c>
      <c r="AD76">
        <v>10118</v>
      </c>
      <c r="AE76">
        <v>7.8540000031352974E-3</v>
      </c>
      <c r="AF76">
        <f t="shared" si="1"/>
        <v>1.008473824044159E-2</v>
      </c>
      <c r="AG76">
        <f t="shared" si="2"/>
        <v>4.9761930833803833E-6</v>
      </c>
      <c r="AI76" s="97">
        <v>1</v>
      </c>
    </row>
    <row r="77" spans="1:45">
      <c r="A77" s="52" t="s">
        <v>183</v>
      </c>
      <c r="B77" s="48" t="s">
        <v>81</v>
      </c>
      <c r="C77" s="47">
        <v>56167.3315</v>
      </c>
      <c r="D77" s="47">
        <v>2.9999999999999997E-4</v>
      </c>
      <c r="E77" s="44">
        <f>+(C77-C$7)/C$8</f>
        <v>10264.529565161976</v>
      </c>
      <c r="F77">
        <f>ROUND(2*E77,0)/2</f>
        <v>10264.5</v>
      </c>
      <c r="G77">
        <f>+C77-(C$7+F77*C$8)</f>
        <v>1.0668500006431714E-2</v>
      </c>
      <c r="K77">
        <f>+G77</f>
        <v>1.0668500006431714E-2</v>
      </c>
      <c r="O77">
        <f ca="1">+C$11+C$12*$F77</f>
        <v>1.0351168084613158E-2</v>
      </c>
      <c r="P77">
        <f>+D$11+D$12*F77+D$13*F77^2</f>
        <v>9.8201768580756937E-3</v>
      </c>
      <c r="Q77" s="2">
        <f>+C77-15018.5</f>
        <v>41148.8315</v>
      </c>
      <c r="R77">
        <f>+(P77-G77)^2</f>
        <v>7.1965216403666983E-7</v>
      </c>
      <c r="S77" s="97">
        <v>1</v>
      </c>
      <c r="T77" s="63">
        <f>+S77*R77</f>
        <v>7.1965216403666983E-7</v>
      </c>
      <c r="AD77">
        <v>10264.5</v>
      </c>
      <c r="AE77">
        <v>1.0668500006431714E-2</v>
      </c>
      <c r="AF77">
        <f t="shared" si="1"/>
        <v>1.0351168084613154E-2</v>
      </c>
      <c r="AG77">
        <f t="shared" si="2"/>
        <v>1.0069954860506038E-7</v>
      </c>
      <c r="AI77" s="97">
        <v>1</v>
      </c>
    </row>
    <row r="78" spans="1:45">
      <c r="A78" s="84" t="s">
        <v>341</v>
      </c>
      <c r="B78" s="85" t="s">
        <v>80</v>
      </c>
      <c r="C78" s="86">
        <v>56411.0818</v>
      </c>
      <c r="D78" s="84" t="s">
        <v>191</v>
      </c>
      <c r="E78" s="44">
        <f>+(C78-C$7)/C$8</f>
        <v>10940.024442492257</v>
      </c>
      <c r="F78">
        <f>ROUND(2*E78,0)/2</f>
        <v>10940</v>
      </c>
      <c r="G78">
        <f>+C78-(C$7+F78*C$8)</f>
        <v>8.820000002742745E-3</v>
      </c>
      <c r="K78">
        <f>+G78</f>
        <v>8.820000002742745E-3</v>
      </c>
      <c r="O78">
        <f ca="1">+C$11+C$12*$F78</f>
        <v>1.1579655181800142E-2</v>
      </c>
      <c r="P78">
        <f>+D$11+D$12*F78+D$13*F78^2</f>
        <v>1.1115188388722625E-2</v>
      </c>
      <c r="Q78" s="2">
        <f>+C78-15018.5</f>
        <v>41392.5818</v>
      </c>
      <c r="R78">
        <f>+(P78-G78)^2</f>
        <v>5.2678897271369268E-6</v>
      </c>
      <c r="S78" s="97">
        <v>1</v>
      </c>
      <c r="T78" s="63">
        <f>+S78*R78</f>
        <v>5.2678897271369268E-6</v>
      </c>
      <c r="AD78">
        <v>10940</v>
      </c>
      <c r="AE78">
        <v>8.820000002742745E-3</v>
      </c>
      <c r="AF78">
        <f t="shared" si="1"/>
        <v>1.1579655181800139E-2</v>
      </c>
      <c r="AG78">
        <f t="shared" si="2"/>
        <v>7.6156967072982952E-6</v>
      </c>
      <c r="AI78" s="97">
        <v>1</v>
      </c>
    </row>
    <row r="79" spans="1:45">
      <c r="A79" s="84" t="s">
        <v>341</v>
      </c>
      <c r="B79" s="85" t="s">
        <v>81</v>
      </c>
      <c r="C79" s="86">
        <v>56411.263700000003</v>
      </c>
      <c r="D79" s="84" t="s">
        <v>191</v>
      </c>
      <c r="E79" s="44">
        <f>+(C79-C$7)/C$8</f>
        <v>10940.528534254148</v>
      </c>
      <c r="F79">
        <f>ROUND(2*E79,0)/2</f>
        <v>10940.5</v>
      </c>
      <c r="G79">
        <f>+C79-(C$7+F79*C$8)</f>
        <v>1.0296500004187692E-2</v>
      </c>
      <c r="K79">
        <f>+G79</f>
        <v>1.0296500004187692E-2</v>
      </c>
      <c r="O79">
        <f ca="1">+C$11+C$12*$F79</f>
        <v>1.1580564498674447E-2</v>
      </c>
      <c r="P79">
        <f>+D$11+D$12*F79+D$13*F79^2</f>
        <v>1.1116176643866762E-2</v>
      </c>
      <c r="Q79" s="2">
        <f>+C79-15018.5</f>
        <v>41392.763700000003</v>
      </c>
      <c r="R79">
        <f>+(P79-G79)^2</f>
        <v>6.7186979363557232E-7</v>
      </c>
      <c r="S79" s="97">
        <v>1</v>
      </c>
      <c r="T79" s="63">
        <f>+S79*R79</f>
        <v>6.7186979363557232E-7</v>
      </c>
      <c r="AD79">
        <v>10940.5</v>
      </c>
      <c r="AE79">
        <v>1.0296500004187692E-2</v>
      </c>
      <c r="AF79">
        <f t="shared" si="1"/>
        <v>1.1580564498674444E-2</v>
      </c>
      <c r="AG79">
        <f t="shared" si="2"/>
        <v>1.6488216260015169E-6</v>
      </c>
      <c r="AI79" s="97">
        <v>1</v>
      </c>
    </row>
    <row r="80" spans="1:45">
      <c r="A80" s="47" t="s">
        <v>185</v>
      </c>
      <c r="B80" s="48" t="s">
        <v>80</v>
      </c>
      <c r="C80" s="82">
        <v>56460.519050000003</v>
      </c>
      <c r="D80" s="47">
        <v>1E-4</v>
      </c>
      <c r="E80" s="44">
        <f>+(C80-C$7)/C$8</f>
        <v>11077.027798485247</v>
      </c>
      <c r="F80">
        <f>ROUND(2*E80,0)/2</f>
        <v>11077</v>
      </c>
      <c r="G80">
        <f>+C80-(C$7+F80*C$8)</f>
        <v>1.0031000005255919E-2</v>
      </c>
      <c r="K80">
        <f>+G80</f>
        <v>1.0031000005255919E-2</v>
      </c>
      <c r="O80">
        <f ca="1">+C$11+C$12*$F80</f>
        <v>1.18288080053599E-2</v>
      </c>
      <c r="P80">
        <f>+D$11+D$12*F80+D$13*F80^2</f>
        <v>1.1387613363232072E-2</v>
      </c>
      <c r="Q80" s="2">
        <f>+C80-15018.5</f>
        <v>41442.019050000003</v>
      </c>
      <c r="R80">
        <f>+(P80-G80)^2</f>
        <v>1.8403998030393352E-6</v>
      </c>
      <c r="S80" s="97">
        <v>1</v>
      </c>
      <c r="T80" s="63">
        <f>+S80*R80</f>
        <v>1.8403998030393352E-6</v>
      </c>
      <c r="AD80">
        <v>11077</v>
      </c>
      <c r="AE80">
        <v>1.0031000005255919E-2</v>
      </c>
      <c r="AF80">
        <f t="shared" si="1"/>
        <v>1.1828808005359896E-2</v>
      </c>
      <c r="AG80">
        <f t="shared" si="2"/>
        <v>3.2321136052378626E-6</v>
      </c>
      <c r="AI80" s="97">
        <v>1</v>
      </c>
    </row>
    <row r="81" spans="1:35">
      <c r="A81" s="47" t="s">
        <v>185</v>
      </c>
      <c r="B81" s="48" t="s">
        <v>81</v>
      </c>
      <c r="C81" s="82">
        <v>56522.405650000001</v>
      </c>
      <c r="D81" s="47">
        <v>1E-4</v>
      </c>
      <c r="E81" s="44">
        <f>+(C81-C$7)/C$8</f>
        <v>11248.531510584829</v>
      </c>
      <c r="F81">
        <f>ROUND(2*E81,0)/2</f>
        <v>11248.5</v>
      </c>
      <c r="G81">
        <f>+C81-(C$7+F81*C$8)</f>
        <v>1.1370500003977213E-2</v>
      </c>
      <c r="K81">
        <f>+G81</f>
        <v>1.1370500003977213E-2</v>
      </c>
      <c r="O81">
        <f ca="1">+C$11+C$12*$F81</f>
        <v>1.2140703693246747E-2</v>
      </c>
      <c r="P81">
        <f>+D$11+D$12*F81+D$13*F81^2</f>
        <v>1.1733290292730634E-2</v>
      </c>
      <c r="Q81" s="2">
        <f>+C81-15018.5</f>
        <v>41503.905650000001</v>
      </c>
      <c r="R81">
        <f>+(P81-G81)^2</f>
        <v>1.3161679361379019E-7</v>
      </c>
      <c r="S81" s="97">
        <v>1</v>
      </c>
      <c r="T81" s="63">
        <f>+S81*R81</f>
        <v>1.3161679361379019E-7</v>
      </c>
      <c r="AD81">
        <v>11248.5</v>
      </c>
      <c r="AE81">
        <v>1.1370500003977213E-2</v>
      </c>
      <c r="AF81">
        <f t="shared" si="1"/>
        <v>1.2140703693246747E-2</v>
      </c>
      <c r="AG81">
        <f t="shared" si="2"/>
        <v>5.9321372296440144E-7</v>
      </c>
      <c r="AI81" s="97">
        <v>1</v>
      </c>
    </row>
    <row r="82" spans="1:35">
      <c r="A82" s="47" t="s">
        <v>185</v>
      </c>
      <c r="B82" s="48" t="s">
        <v>81</v>
      </c>
      <c r="C82" s="82">
        <v>56777.526510000003</v>
      </c>
      <c r="D82" s="47">
        <v>1E-4</v>
      </c>
      <c r="E82" s="44">
        <f>+(C82-C$7)/C$8</f>
        <v>11955.537139009071</v>
      </c>
      <c r="F82">
        <f>ROUND(2*E82,0)/2</f>
        <v>11955.5</v>
      </c>
      <c r="G82">
        <f>+C82-(C$7+F82*C$8)</f>
        <v>1.3401500007603317E-2</v>
      </c>
      <c r="K82">
        <f>+G82</f>
        <v>1.3401500007603317E-2</v>
      </c>
      <c r="O82">
        <f ca="1">+C$11+C$12*$F82</f>
        <v>1.3426477753514989E-2</v>
      </c>
      <c r="P82">
        <f>+D$11+D$12*F82+D$13*F82^2</f>
        <v>1.3212896898221303E-2</v>
      </c>
      <c r="Q82" s="2">
        <f>+C82-15018.5</f>
        <v>41759.026510000003</v>
      </c>
      <c r="R82">
        <f>+(P82-G82)^2</f>
        <v>3.5571132868564158E-8</v>
      </c>
      <c r="S82" s="97">
        <v>1</v>
      </c>
      <c r="T82" s="63">
        <f>+S82*R82</f>
        <v>3.5571132868564158E-8</v>
      </c>
      <c r="AD82">
        <v>11955.5</v>
      </c>
      <c r="AE82">
        <v>1.3401500007603317E-2</v>
      </c>
      <c r="AF82">
        <f t="shared" si="1"/>
        <v>1.3426477753514989E-2</v>
      </c>
      <c r="AG82">
        <f t="shared" si="2"/>
        <v>6.238877908280299E-10</v>
      </c>
      <c r="AI82" s="97">
        <v>1</v>
      </c>
    </row>
    <row r="83" spans="1:35">
      <c r="A83" s="46" t="s">
        <v>184</v>
      </c>
      <c r="B83" s="45" t="s">
        <v>80</v>
      </c>
      <c r="C83" s="46">
        <v>56810.541299999997</v>
      </c>
      <c r="D83" s="46">
        <v>2E-3</v>
      </c>
      <c r="E83" s="44">
        <f>+(C83-C$7)/C$8</f>
        <v>12047.029627515263</v>
      </c>
      <c r="F83">
        <f>ROUND(2*E83,0)/2</f>
        <v>12047</v>
      </c>
      <c r="G83">
        <f>+C83-(C$7+F83*C$8)</f>
        <v>1.0691000003134832E-2</v>
      </c>
      <c r="I83">
        <f>+G83</f>
        <v>1.0691000003134832E-2</v>
      </c>
      <c r="O83">
        <f ca="1">+C$11+C$12*$F83</f>
        <v>1.3592882741512931E-2</v>
      </c>
      <c r="P83">
        <f>+D$11+D$12*F83+D$13*F83^2</f>
        <v>1.341080715659285E-2</v>
      </c>
      <c r="Q83" s="2">
        <f>+C83-15018.5</f>
        <v>41792.041299999997</v>
      </c>
      <c r="R83">
        <f>+(P83-G83)^2</f>
        <v>7.3973509520014083E-6</v>
      </c>
      <c r="S83" s="97">
        <v>0.2</v>
      </c>
      <c r="T83" s="63">
        <f>+S83*R83</f>
        <v>1.4794701904002818E-6</v>
      </c>
      <c r="AD83">
        <v>12047</v>
      </c>
      <c r="AE83">
        <v>1.0691000003134832E-2</v>
      </c>
      <c r="AF83">
        <f t="shared" si="1"/>
        <v>1.3592882741512928E-2</v>
      </c>
      <c r="AG83">
        <f t="shared" si="2"/>
        <v>1.6841846854593518E-6</v>
      </c>
      <c r="AI83" s="97">
        <v>0.2</v>
      </c>
    </row>
    <row r="84" spans="1:35">
      <c r="A84" s="47" t="s">
        <v>185</v>
      </c>
      <c r="B84" s="48" t="s">
        <v>80</v>
      </c>
      <c r="C84" s="82">
        <v>56817.398379999999</v>
      </c>
      <c r="D84" s="47">
        <v>1E-4</v>
      </c>
      <c r="E84" s="44">
        <f>+(C84-C$7)/C$8</f>
        <v>12066.032362746544</v>
      </c>
      <c r="F84">
        <f>ROUND(2*E84,0)/2</f>
        <v>12066</v>
      </c>
      <c r="G84">
        <f>+C84-(C$7+F84*C$8)</f>
        <v>1.1678000002575573E-2</v>
      </c>
      <c r="K84">
        <f>+G84</f>
        <v>1.1678000002575573E-2</v>
      </c>
      <c r="O84">
        <f ca="1">+C$11+C$12*$F84</f>
        <v>1.3627436782736545E-2</v>
      </c>
      <c r="P84">
        <f>+D$11+D$12*F84+D$13*F84^2</f>
        <v>1.3452087742275643E-2</v>
      </c>
      <c r="Q84" s="2">
        <f>+C84-15018.5</f>
        <v>41798.898379999999</v>
      </c>
      <c r="R84">
        <f>+(P84-G84)^2</f>
        <v>3.1473873081541065E-6</v>
      </c>
      <c r="S84" s="97">
        <v>1</v>
      </c>
      <c r="T84" s="63">
        <f>+S84*R84</f>
        <v>3.1473873081541065E-6</v>
      </c>
      <c r="AD84">
        <v>12066</v>
      </c>
      <c r="AE84">
        <v>1.1678000002575573E-2</v>
      </c>
      <c r="AF84">
        <f t="shared" si="1"/>
        <v>1.3627436782736545E-2</v>
      </c>
      <c r="AG84">
        <f t="shared" si="2"/>
        <v>3.8003037598443814E-6</v>
      </c>
      <c r="AI84" s="97">
        <v>1</v>
      </c>
    </row>
    <row r="85" spans="1:35">
      <c r="A85" s="46" t="s">
        <v>184</v>
      </c>
      <c r="B85" s="45" t="s">
        <v>80</v>
      </c>
      <c r="C85" s="46">
        <v>56831.472800000003</v>
      </c>
      <c r="D85" s="46">
        <v>4.0000000000000001E-3</v>
      </c>
      <c r="E85" s="44">
        <f>+(C85-C$7)/C$8</f>
        <v>12105.036206480881</v>
      </c>
      <c r="F85">
        <f>ROUND(2*E85,0)/2</f>
        <v>12105</v>
      </c>
      <c r="G85">
        <f>+C85-(C$7+F85*C$8)</f>
        <v>1.3065000006463379E-2</v>
      </c>
      <c r="I85">
        <f>+G85</f>
        <v>1.3065000006463379E-2</v>
      </c>
      <c r="O85">
        <f ca="1">+C$11+C$12*$F85</f>
        <v>1.369836349893239E-2</v>
      </c>
      <c r="P85">
        <f>+D$11+D$12*F85+D$13*F85^2</f>
        <v>1.3537020320093324E-2</v>
      </c>
      <c r="Q85" s="2">
        <f>+C85-15018.5</f>
        <v>41812.972800000003</v>
      </c>
      <c r="R85">
        <f>+(P85-G85)^2</f>
        <v>2.2280317647931166E-7</v>
      </c>
      <c r="S85" s="97">
        <v>0.1</v>
      </c>
      <c r="T85" s="63">
        <f>+S85*R85</f>
        <v>2.2280317647931166E-8</v>
      </c>
      <c r="AD85">
        <v>12105</v>
      </c>
      <c r="AE85">
        <v>1.3065000006463379E-2</v>
      </c>
      <c r="AF85">
        <f t="shared" si="1"/>
        <v>1.369836349893239E-2</v>
      </c>
      <c r="AG85">
        <f t="shared" si="2"/>
        <v>4.0114931359254347E-8</v>
      </c>
      <c r="AI85" s="97">
        <v>0.1</v>
      </c>
    </row>
    <row r="86" spans="1:35">
      <c r="A86" s="101" t="s">
        <v>192</v>
      </c>
      <c r="B86" s="102"/>
      <c r="C86" s="101">
        <v>57158.402300000002</v>
      </c>
      <c r="D86" s="101">
        <v>3.2000000000000002E-3</v>
      </c>
      <c r="E86" s="44">
        <f>+(C86-C$7)/C$8</f>
        <v>13011.042076004525</v>
      </c>
      <c r="F86">
        <f>ROUND(2*E86,0)/2</f>
        <v>13011</v>
      </c>
      <c r="G86">
        <f>+C86-(C$7+F86*C$8)</f>
        <v>1.5183000003162306E-2</v>
      </c>
      <c r="I86">
        <f>+G86</f>
        <v>1.5183000003162306E-2</v>
      </c>
      <c r="O86">
        <f ca="1">+C$11+C$12*$F86</f>
        <v>1.5346045675174294E-2</v>
      </c>
      <c r="P86">
        <f>+D$11+D$12*F86+D$13*F86^2</f>
        <v>1.5585294321204674E-2</v>
      </c>
      <c r="Q86" s="2">
        <f>+C86-15018.5</f>
        <v>42139.902300000002</v>
      </c>
      <c r="R86">
        <f>+(P86-G86)^2</f>
        <v>1.6184071832917369E-7</v>
      </c>
      <c r="S86" s="97">
        <v>1</v>
      </c>
      <c r="T86" s="63">
        <f>+S86*R86</f>
        <v>1.6184071832917369E-7</v>
      </c>
      <c r="AD86">
        <v>13011</v>
      </c>
      <c r="AE86">
        <v>1.5183000003162306E-2</v>
      </c>
      <c r="AF86">
        <f t="shared" si="1"/>
        <v>1.5346045675174294E-2</v>
      </c>
      <c r="AG86">
        <f t="shared" si="2"/>
        <v>2.6583891161840855E-8</v>
      </c>
      <c r="AI86" s="97">
        <v>1</v>
      </c>
    </row>
    <row r="87" spans="1:35">
      <c r="A87" s="103" t="s">
        <v>358</v>
      </c>
      <c r="B87" s="104" t="s">
        <v>80</v>
      </c>
      <c r="C87" s="105">
        <v>57160.56609</v>
      </c>
      <c r="D87" s="105">
        <v>1E-4</v>
      </c>
      <c r="E87" s="44">
        <f>+(C87-C$7)/C$8</f>
        <v>13017.038495539671</v>
      </c>
      <c r="F87">
        <f>ROUND(2*E87,0)/2</f>
        <v>13017</v>
      </c>
      <c r="G87">
        <f>+C87-(C$7+F87*C$8)</f>
        <v>1.3891000002331566E-2</v>
      </c>
      <c r="K87">
        <f>+G87</f>
        <v>1.3891000002331566E-2</v>
      </c>
      <c r="O87">
        <f ca="1">+C$11+C$12*$F87</f>
        <v>1.5356957477665963E-2</v>
      </c>
      <c r="P87">
        <f>+D$11+D$12*F87+D$13*F87^2</f>
        <v>1.5599339831045715E-2</v>
      </c>
      <c r="Q87" s="2">
        <f>+C87-15018.5</f>
        <v>42142.06609</v>
      </c>
      <c r="R87">
        <f>+(P87-G87)^2</f>
        <v>2.9184249703710881E-6</v>
      </c>
      <c r="S87" s="97">
        <v>1</v>
      </c>
      <c r="T87" s="63">
        <f>+S87*R87</f>
        <v>2.9184249703710881E-6</v>
      </c>
      <c r="AD87">
        <v>13017</v>
      </c>
      <c r="AE87">
        <v>1.3891000002331566E-2</v>
      </c>
      <c r="AF87">
        <f t="shared" si="1"/>
        <v>1.5356957477665963E-2</v>
      </c>
      <c r="AG87">
        <f t="shared" si="2"/>
        <v>2.1490313194887997E-6</v>
      </c>
      <c r="AI87" s="97">
        <v>1</v>
      </c>
    </row>
    <row r="88" spans="1:35">
      <c r="A88" s="103" t="s">
        <v>358</v>
      </c>
      <c r="B88" s="104" t="s">
        <v>81</v>
      </c>
      <c r="C88" s="105">
        <v>57179.511760000001</v>
      </c>
      <c r="D88" s="105">
        <v>1E-4</v>
      </c>
      <c r="E88" s="44">
        <f>+(C88-C$7)/C$8</f>
        <v>13069.541827976967</v>
      </c>
      <c r="F88">
        <f>ROUND(2*E88,0)/2</f>
        <v>13069.5</v>
      </c>
      <c r="G88">
        <f>+C88-(C$7+F88*C$8)</f>
        <v>1.5093500005605165E-2</v>
      </c>
      <c r="K88">
        <f>+G88</f>
        <v>1.5093500005605165E-2</v>
      </c>
      <c r="O88">
        <f ca="1">+C$11+C$12*$F88</f>
        <v>1.5452435749468058E-2</v>
      </c>
      <c r="P88">
        <f>+D$11+D$12*F88+D$13*F88^2</f>
        <v>1.5722507888598934E-2</v>
      </c>
      <c r="Q88" s="2">
        <f>+C88-15018.5</f>
        <v>42161.011760000001</v>
      </c>
      <c r="R88">
        <f>+(P88-G88)^2</f>
        <v>3.9565091686830333E-7</v>
      </c>
      <c r="S88" s="97">
        <v>1</v>
      </c>
      <c r="T88" s="63">
        <f>+S88*R88</f>
        <v>3.9565091686830333E-7</v>
      </c>
      <c r="AD88">
        <v>13069.5</v>
      </c>
      <c r="AE88">
        <v>1.5093500005605165E-2</v>
      </c>
      <c r="AF88">
        <f t="shared" si="1"/>
        <v>1.5452435749468058E-2</v>
      </c>
      <c r="AG88">
        <f t="shared" si="2"/>
        <v>1.2883486822240806E-7</v>
      </c>
      <c r="AI88" s="97">
        <v>1</v>
      </c>
    </row>
    <row r="89" spans="1:35">
      <c r="A89" s="103" t="s">
        <v>358</v>
      </c>
      <c r="B89" s="104" t="s">
        <v>80</v>
      </c>
      <c r="C89" s="106">
        <v>57207.477379999997</v>
      </c>
      <c r="D89" s="106">
        <v>1E-4</v>
      </c>
      <c r="E89" s="44">
        <f>+(C89-C$7)/C$8</f>
        <v>13147.041765623657</v>
      </c>
      <c r="F89">
        <f>ROUND(2*E89,0)/2</f>
        <v>13147</v>
      </c>
      <c r="G89">
        <f>+C89-(C$7+F89*C$8)</f>
        <v>1.5071000001626089E-2</v>
      </c>
      <c r="K89">
        <f>+G89</f>
        <v>1.5071000001626089E-2</v>
      </c>
      <c r="O89">
        <f ca="1">+C$11+C$12*$F89</f>
        <v>1.5593379864985442E-2</v>
      </c>
      <c r="P89">
        <f>+D$11+D$12*F89+D$13*F89^2</f>
        <v>1.5905212612687323E-2</v>
      </c>
      <c r="Q89" s="2">
        <f>+C89-15018.5</f>
        <v>42188.977379999997</v>
      </c>
      <c r="R89">
        <f>+(P89-G89)^2</f>
        <v>6.9591068045360115E-7</v>
      </c>
      <c r="S89" s="97">
        <v>1</v>
      </c>
      <c r="T89" s="63">
        <f>+S89*R89</f>
        <v>6.9591068045360115E-7</v>
      </c>
      <c r="AD89">
        <v>13147</v>
      </c>
      <c r="AE89">
        <v>1.5071000001626089E-2</v>
      </c>
      <c r="AF89">
        <f t="shared" si="1"/>
        <v>1.5593379864985442E-2</v>
      </c>
      <c r="AG89">
        <f t="shared" si="2"/>
        <v>2.7288072164333594E-7</v>
      </c>
      <c r="AI89" s="97">
        <v>1</v>
      </c>
    </row>
    <row r="90" spans="1:35">
      <c r="A90" s="98" t="s">
        <v>363</v>
      </c>
      <c r="B90" s="99" t="s">
        <v>80</v>
      </c>
      <c r="C90" s="100">
        <v>57227.684699999998</v>
      </c>
      <c r="D90" s="100">
        <v>1E-4</v>
      </c>
      <c r="E90" s="44">
        <f>+(C90-C$7)/C$8</f>
        <v>13203.041455242806</v>
      </c>
      <c r="F90">
        <f>ROUND(2*E90,0)/2</f>
        <v>13203</v>
      </c>
      <c r="G90">
        <f>+C90-(C$7+F90*C$8)</f>
        <v>1.4959000000089873E-2</v>
      </c>
      <c r="K90">
        <f>+G90</f>
        <v>1.4959000000089873E-2</v>
      </c>
      <c r="O90">
        <f ca="1">+C$11+C$12*$F90</f>
        <v>1.5695223354907677E-2</v>
      </c>
      <c r="P90">
        <f>+D$11+D$12*F90+D$13*F90^2</f>
        <v>1.6037888367078486E-2</v>
      </c>
      <c r="Q90" s="2">
        <f>+C90-15018.5</f>
        <v>42209.184699999998</v>
      </c>
      <c r="R90">
        <f>+(P90-G90)^2</f>
        <v>1.1640001084233566E-6</v>
      </c>
      <c r="S90" s="97">
        <v>1</v>
      </c>
      <c r="T90" s="63">
        <f>+S90*R90</f>
        <v>1.1640001084233566E-6</v>
      </c>
      <c r="AD90">
        <v>13203</v>
      </c>
      <c r="AE90">
        <v>1.4959000000089873E-2</v>
      </c>
      <c r="AF90">
        <f t="shared" si="1"/>
        <v>1.5695223354907677E-2</v>
      </c>
      <c r="AG90">
        <f t="shared" si="2"/>
        <v>5.4202482817918317E-7</v>
      </c>
      <c r="AI90" s="97">
        <v>1</v>
      </c>
    </row>
    <row r="91" spans="1:35">
      <c r="A91" s="107" t="s">
        <v>48</v>
      </c>
      <c r="B91" s="108" t="s">
        <v>80</v>
      </c>
      <c r="C91" s="109">
        <v>57546.497499999998</v>
      </c>
      <c r="D91" s="109" t="s">
        <v>49</v>
      </c>
      <c r="E91" s="44">
        <f>+(C91-C$7)/C$8</f>
        <v>14086.553858006304</v>
      </c>
      <c r="F91">
        <f>ROUND(2*E91,0)/2</f>
        <v>14086.5</v>
      </c>
      <c r="G91">
        <f>+C91-(C$7+F91*C$8)</f>
        <v>1.9434499998169485E-2</v>
      </c>
      <c r="K91">
        <f>+G91</f>
        <v>1.9434499998169485E-2</v>
      </c>
      <c r="O91">
        <f ca="1">+C$11+C$12*$F91</f>
        <v>1.7301986271805826E-2</v>
      </c>
      <c r="P91">
        <f>+D$11+D$12*F91+D$13*F91^2</f>
        <v>1.8204015087692257E-2</v>
      </c>
      <c r="Q91" s="2">
        <f>+C91-15018.5</f>
        <v>42527.997499999998</v>
      </c>
      <c r="R91">
        <f>+(P91-G91)^2</f>
        <v>1.5140931149121537E-6</v>
      </c>
      <c r="S91" s="97">
        <v>1</v>
      </c>
      <c r="T91" s="63">
        <f>+S91*R91</f>
        <v>1.5140931149121537E-6</v>
      </c>
      <c r="AD91">
        <v>14086.5</v>
      </c>
      <c r="AE91">
        <v>1.9434499998169485E-2</v>
      </c>
      <c r="AF91">
        <f t="shared" si="1"/>
        <v>1.7301986271805826E-2</v>
      </c>
      <c r="AG91">
        <f t="shared" si="2"/>
        <v>4.5476147931294199E-6</v>
      </c>
      <c r="AI91" s="97">
        <v>1</v>
      </c>
    </row>
    <row r="92" spans="1:35">
      <c r="A92" s="98" t="s">
        <v>364</v>
      </c>
      <c r="B92" s="99" t="s">
        <v>80</v>
      </c>
      <c r="C92" s="100">
        <v>57551.725899999998</v>
      </c>
      <c r="D92" s="100">
        <v>1E-4</v>
      </c>
      <c r="E92" s="44">
        <f>+(C92-C$7)/C$8</f>
        <v>14101.043101369836</v>
      </c>
      <c r="F92">
        <f>ROUND(2*E92,0)/2</f>
        <v>14101</v>
      </c>
      <c r="G92">
        <f>+C92-(C$7+F92*C$8)</f>
        <v>1.5552999997453298E-2</v>
      </c>
      <c r="K92">
        <f>+G92</f>
        <v>1.5552999997453298E-2</v>
      </c>
      <c r="O92">
        <f ca="1">+C$11+C$12*$F92</f>
        <v>1.7328356461160689E-2</v>
      </c>
      <c r="P92">
        <f>+D$11+D$12*F92+D$13*F92^2</f>
        <v>1.8240709606802245E-2</v>
      </c>
      <c r="Q92" s="2">
        <f>+C92-15018.5</f>
        <v>42533.225899999998</v>
      </c>
      <c r="R92">
        <f>+(P92-G92)^2</f>
        <v>7.223782944186665E-6</v>
      </c>
      <c r="S92" s="97">
        <v>1</v>
      </c>
      <c r="T92" s="63">
        <f>+S92*R92</f>
        <v>7.223782944186665E-6</v>
      </c>
      <c r="AD92">
        <v>14101</v>
      </c>
      <c r="AE92">
        <v>1.5552999997453298E-2</v>
      </c>
      <c r="AF92">
        <f t="shared" si="1"/>
        <v>1.7328356461160693E-2</v>
      </c>
      <c r="AG92">
        <f t="shared" si="2"/>
        <v>3.1518905732276239E-6</v>
      </c>
      <c r="AI92" s="97">
        <v>1</v>
      </c>
    </row>
    <row r="93" spans="1:35">
      <c r="A93" s="103" t="s">
        <v>358</v>
      </c>
      <c r="B93" s="104" t="s">
        <v>81</v>
      </c>
      <c r="C93" s="106">
        <v>57571.395920000003</v>
      </c>
      <c r="D93" s="106">
        <v>1E-4</v>
      </c>
      <c r="E93" s="44">
        <f>+(C93-C$7)/C$8</f>
        <v>14155.553794267393</v>
      </c>
      <c r="F93">
        <f>ROUND(2*E93,0)/2</f>
        <v>14155.5</v>
      </c>
      <c r="G93">
        <f>+C93-(C$7+F93*C$8)</f>
        <v>1.9411500004935078E-2</v>
      </c>
      <c r="K93">
        <f>+G93</f>
        <v>1.9411500004935078E-2</v>
      </c>
      <c r="O93">
        <f ca="1">+C$11+C$12*$F93</f>
        <v>1.742747200046001E-2</v>
      </c>
      <c r="P93">
        <f>+D$11+D$12*F93+D$13*F93^2</f>
        <v>1.8378960790915708E-2</v>
      </c>
      <c r="Q93" s="2">
        <f>+C93-15018.5</f>
        <v>42552.895920000003</v>
      </c>
      <c r="R93">
        <f>+(P93-G93)^2</f>
        <v>1.0661372284877398E-6</v>
      </c>
      <c r="S93" s="97">
        <v>1</v>
      </c>
      <c r="T93" s="63">
        <f>+S93*R93</f>
        <v>1.0661372284877398E-6</v>
      </c>
      <c r="AD93">
        <v>14155.5</v>
      </c>
      <c r="AE93">
        <v>1.9411500004935078E-2</v>
      </c>
      <c r="AF93">
        <f t="shared" si="1"/>
        <v>1.742747200046001E-2</v>
      </c>
      <c r="AG93">
        <f t="shared" si="2"/>
        <v>3.9363671225413219E-6</v>
      </c>
      <c r="AI93" s="97">
        <v>1</v>
      </c>
    </row>
    <row r="94" spans="1:35">
      <c r="A94" s="89" t="s">
        <v>362</v>
      </c>
      <c r="B94" s="3" t="s">
        <v>81</v>
      </c>
      <c r="C94" s="90">
        <v>57920.698299999996</v>
      </c>
      <c r="D94" s="90">
        <v>2.0000000000000001E-4</v>
      </c>
      <c r="E94" s="44">
        <f>+(C94-C$7)/C$8</f>
        <v>15123.560678071315</v>
      </c>
      <c r="F94">
        <f>ROUND(2*E94,0)/2</f>
        <v>15123.5</v>
      </c>
      <c r="G94">
        <f>+C94-(C$7+F94*C$8)</f>
        <v>2.1895500001846813E-2</v>
      </c>
      <c r="K94">
        <f>+G94</f>
        <v>2.1895500001846813E-2</v>
      </c>
      <c r="O94">
        <f ca="1">+C$11+C$12*$F94</f>
        <v>1.9187909469115819E-2</v>
      </c>
      <c r="P94">
        <f>+D$11+D$12*F94+D$13*F94^2</f>
        <v>2.0921468897797401E-2</v>
      </c>
      <c r="Q94" s="2">
        <f>+C94-15018.5</f>
        <v>42902.198299999996</v>
      </c>
      <c r="R94">
        <f>+(P94-G94)^2</f>
        <v>9.4873659165571582E-7</v>
      </c>
      <c r="S94" s="97">
        <v>1</v>
      </c>
      <c r="T94" s="63">
        <f>+S94*R94</f>
        <v>9.4873659165571582E-7</v>
      </c>
      <c r="AD94">
        <v>15123.5</v>
      </c>
      <c r="AE94">
        <v>2.1895500001846813E-2</v>
      </c>
      <c r="AF94">
        <f t="shared" si="1"/>
        <v>1.9187909469115822E-2</v>
      </c>
      <c r="AG94">
        <f t="shared" si="2"/>
        <v>7.3310464929344894E-6</v>
      </c>
      <c r="AI94" s="97">
        <v>1</v>
      </c>
    </row>
    <row r="95" spans="1:35">
      <c r="A95" s="89" t="s">
        <v>362</v>
      </c>
      <c r="B95" s="3" t="s">
        <v>80</v>
      </c>
      <c r="C95" s="90">
        <v>57920.877899999999</v>
      </c>
      <c r="D95" s="90">
        <v>2.9999999999999997E-4</v>
      </c>
      <c r="E95" s="44">
        <f>+(C95-C$7)/C$8</f>
        <v>15124.05839594067</v>
      </c>
      <c r="F95">
        <f>ROUND(2*E95,0)/2</f>
        <v>15124</v>
      </c>
      <c r="G95">
        <f>+C95-(C$7+F95*C$8)</f>
        <v>2.1072000003186986E-2</v>
      </c>
      <c r="K95">
        <f>+G95</f>
        <v>2.1072000003186986E-2</v>
      </c>
      <c r="O95">
        <f ca="1">+C$11+C$12*$F95</f>
        <v>1.9188818785990124E-2</v>
      </c>
      <c r="P95">
        <f>+D$11+D$12*F95+D$13*F95^2</f>
        <v>2.0922824723995346E-2</v>
      </c>
      <c r="Q95" s="2">
        <f>+C95-15018.5</f>
        <v>42902.377899999999</v>
      </c>
      <c r="R95">
        <f>+(P95-G95)^2</f>
        <v>2.2253263921903727E-8</v>
      </c>
      <c r="S95" s="97">
        <v>1</v>
      </c>
      <c r="T95" s="63">
        <f>+S95*R95</f>
        <v>2.2253263921903727E-8</v>
      </c>
      <c r="AD95">
        <v>15124</v>
      </c>
      <c r="AE95">
        <v>2.1072000003186986E-2</v>
      </c>
      <c r="AF95">
        <f t="shared" si="1"/>
        <v>1.9188818785990127E-2</v>
      </c>
      <c r="AG95">
        <f t="shared" si="2"/>
        <v>3.5463714968030427E-6</v>
      </c>
      <c r="AI95" s="97">
        <v>1</v>
      </c>
    </row>
    <row r="96" spans="1:35" s="94" customFormat="1">
      <c r="A96" s="89" t="s">
        <v>362</v>
      </c>
      <c r="B96" s="3" t="s">
        <v>80</v>
      </c>
      <c r="C96" s="88">
        <v>57922.682200000003</v>
      </c>
      <c r="D96" s="88">
        <v>2.0000000000000001E-4</v>
      </c>
      <c r="E96" s="44">
        <f>+(C96-C$7)/C$8</f>
        <v>15129.058576072424</v>
      </c>
      <c r="F96">
        <f>ROUND(2*E96,0)/2</f>
        <v>15129</v>
      </c>
      <c r="G96">
        <f>+C96-(C$7+F96*C$8)</f>
        <v>2.1137000003363937E-2</v>
      </c>
      <c r="H96"/>
      <c r="I96"/>
      <c r="J96"/>
      <c r="K96">
        <f>+G96</f>
        <v>2.1137000003363937E-2</v>
      </c>
      <c r="L96"/>
      <c r="M96"/>
      <c r="N96"/>
      <c r="O96">
        <f ca="1">+C$11+C$12*$F96</f>
        <v>1.9197911954733183E-2</v>
      </c>
      <c r="P96">
        <f>+D$11+D$12*F96+D$13*F96^2</f>
        <v>2.0936385402182255E-2</v>
      </c>
      <c r="Q96" s="2">
        <f>+C96-15018.5</f>
        <v>42904.182200000003</v>
      </c>
      <c r="R96">
        <f>+(P96-G96)^2</f>
        <v>4.0246218207285551E-8</v>
      </c>
      <c r="S96" s="97">
        <v>1</v>
      </c>
      <c r="T96" s="63">
        <f>+S96*R96</f>
        <v>4.0246218207285551E-8</v>
      </c>
      <c r="U96"/>
      <c r="V96"/>
      <c r="W96"/>
      <c r="X96"/>
      <c r="AD96" s="145">
        <v>15129</v>
      </c>
      <c r="AE96" s="145">
        <v>2.1137000003363937E-2</v>
      </c>
      <c r="AF96">
        <f t="shared" si="1"/>
        <v>1.9197911954733183E-2</v>
      </c>
      <c r="AG96">
        <f t="shared" si="2"/>
        <v>3.7600624603426261E-6</v>
      </c>
      <c r="AI96" s="97">
        <v>1</v>
      </c>
    </row>
    <row r="97" spans="1:35">
      <c r="A97" s="89" t="s">
        <v>362</v>
      </c>
      <c r="B97" s="3" t="s">
        <v>81</v>
      </c>
      <c r="C97" s="110">
        <v>57922.863899999997</v>
      </c>
      <c r="D97" s="88">
        <v>2.9999999999999997E-4</v>
      </c>
      <c r="E97" s="44">
        <f>+(C97-C$7)/C$8</f>
        <v>15129.562113582766</v>
      </c>
      <c r="F97">
        <f>ROUND(2*E97,0)/2</f>
        <v>15129.5</v>
      </c>
      <c r="G97">
        <f>+C97-(C$7+F97*C$8)</f>
        <v>2.2413500002585351E-2</v>
      </c>
      <c r="K97">
        <f>+G97</f>
        <v>2.2413500002585351E-2</v>
      </c>
      <c r="O97">
        <f ca="1">+C$11+C$12*$F97</f>
        <v>1.9198821271607488E-2</v>
      </c>
      <c r="P97">
        <f>+D$11+D$12*F97+D$13*F97^2</f>
        <v>2.0937741711621695E-2</v>
      </c>
      <c r="Q97" s="2">
        <f>+C97-15018.5</f>
        <v>42904.363899999997</v>
      </c>
      <c r="R97">
        <f>+(P97-G97)^2</f>
        <v>2.1778625333479724E-6</v>
      </c>
      <c r="S97" s="97">
        <v>1</v>
      </c>
      <c r="T97" s="63">
        <f>+S97*R97</f>
        <v>2.1778625333479724E-6</v>
      </c>
      <c r="AD97">
        <v>15129.5</v>
      </c>
      <c r="AE97">
        <v>2.2413500002585351E-2</v>
      </c>
      <c r="AF97">
        <f t="shared" si="1"/>
        <v>1.9198821271607491E-2</v>
      </c>
      <c r="AG97">
        <f t="shared" si="2"/>
        <v>1.0334159343401426E-5</v>
      </c>
      <c r="AI97" s="97">
        <v>1</v>
      </c>
    </row>
    <row r="98" spans="1:35">
      <c r="A98" s="91" t="s">
        <v>359</v>
      </c>
      <c r="B98" s="92" t="s">
        <v>81</v>
      </c>
      <c r="C98" s="93">
        <v>58212.982499999998</v>
      </c>
      <c r="D98" s="93">
        <v>2.0000000000000001E-4</v>
      </c>
      <c r="E98" s="94">
        <f>+(C98-C$7)/C$8</f>
        <v>15933.555495819563</v>
      </c>
      <c r="F98" s="94">
        <f>ROUND(2*E98,0)/2</f>
        <v>15933.5</v>
      </c>
      <c r="G98">
        <f>+C98-(C$7+F98*C$8)</f>
        <v>2.0025500001793262E-2</v>
      </c>
      <c r="H98" s="94"/>
      <c r="I98" s="94"/>
      <c r="J98" s="94"/>
      <c r="K98">
        <f>+G98</f>
        <v>2.0025500001793262E-2</v>
      </c>
      <c r="L98" s="94"/>
      <c r="M98" s="94"/>
      <c r="N98" s="94"/>
      <c r="O98" s="94">
        <f ca="1">+C$11+C$12*$F98</f>
        <v>2.0661002805491033E-2</v>
      </c>
      <c r="P98" s="94">
        <f>+D$11+D$12*F98+D$13*F98^2</f>
        <v>2.3175518071613416E-2</v>
      </c>
      <c r="Q98" s="95">
        <f>+C98-15018.5</f>
        <v>43194.482499999998</v>
      </c>
      <c r="R98" s="94">
        <f>+(P98-U98)^2</f>
        <v>5.3710463788768001E-4</v>
      </c>
      <c r="S98" s="92">
        <v>1</v>
      </c>
      <c r="T98" s="94">
        <f>+S98*R98</f>
        <v>5.3710463788768001E-4</v>
      </c>
      <c r="U98" s="94"/>
      <c r="V98" s="96" t="s">
        <v>360</v>
      </c>
      <c r="W98" s="96"/>
      <c r="X98" s="96"/>
    </row>
    <row r="99" spans="1:35" ht="12" customHeight="1">
      <c r="A99" s="89" t="s">
        <v>359</v>
      </c>
      <c r="B99" s="3" t="s">
        <v>81</v>
      </c>
      <c r="C99" s="111">
        <v>58220.926299999999</v>
      </c>
      <c r="D99" s="9">
        <v>2.0000000000000001E-4</v>
      </c>
      <c r="E99" s="44">
        <f>+(C99-C$7)/C$8</f>
        <v>15955.569812136453</v>
      </c>
      <c r="F99">
        <f>ROUND(2*E99,0)/2</f>
        <v>15955.5</v>
      </c>
      <c r="G99">
        <f>+C99-(C$7+F99*C$8)</f>
        <v>2.5191500004439149E-2</v>
      </c>
      <c r="K99">
        <f>+G99</f>
        <v>2.5191500004439149E-2</v>
      </c>
      <c r="O99">
        <f ca="1">+C$11+C$12*$F99</f>
        <v>2.0701012747960483E-2</v>
      </c>
      <c r="P99">
        <f>+D$11+D$12*F99+D$13*F99^2</f>
        <v>2.3238347387981591E-2</v>
      </c>
      <c r="Q99" s="2">
        <f>+C99-15018.5</f>
        <v>43202.426299999999</v>
      </c>
      <c r="R99">
        <f>+(P99-G99)^2</f>
        <v>3.8148051431750055E-6</v>
      </c>
      <c r="S99" s="97">
        <v>1</v>
      </c>
      <c r="T99" s="63">
        <f>+S99*R99</f>
        <v>3.8148051431750055E-6</v>
      </c>
    </row>
    <row r="100" spans="1:35" ht="12" customHeight="1">
      <c r="A100" s="89" t="s">
        <v>359</v>
      </c>
      <c r="B100" s="3" t="s">
        <v>80</v>
      </c>
      <c r="C100" s="9">
        <v>58253.943899999998</v>
      </c>
      <c r="D100" s="9">
        <v>1E-4</v>
      </c>
      <c r="E100" s="44">
        <f>+(C100-C$7)/C$8</f>
        <v>16047.070087876584</v>
      </c>
      <c r="F100">
        <f>ROUND(2*E100,0)/2</f>
        <v>16047</v>
      </c>
      <c r="G100">
        <f>+C100-(C$7+F100*C$8)</f>
        <v>2.529099999810569E-2</v>
      </c>
      <c r="K100">
        <f>+G100</f>
        <v>2.529099999810569E-2</v>
      </c>
      <c r="O100">
        <f ca="1">+C$11+C$12*$F100</f>
        <v>2.0867417735958422E-2</v>
      </c>
      <c r="P100">
        <f>+D$11+D$12*F100+D$13*F100^2</f>
        <v>2.3500572696283736E-2</v>
      </c>
      <c r="Q100" s="2">
        <f>+C100-15018.5</f>
        <v>43235.443899999998</v>
      </c>
      <c r="R100">
        <f>+(P100-G100)^2</f>
        <v>3.2056299231094406E-6</v>
      </c>
      <c r="S100" s="97">
        <v>1</v>
      </c>
      <c r="T100" s="63">
        <f>+S100*R100</f>
        <v>3.2056299231094406E-6</v>
      </c>
    </row>
    <row r="101" spans="1:35" ht="12" customHeight="1">
      <c r="A101" s="89" t="s">
        <v>369</v>
      </c>
      <c r="C101" s="9">
        <v>58542.985833437837</v>
      </c>
      <c r="D101" s="9">
        <v>2.0000000000000001E-4</v>
      </c>
      <c r="E101" s="44">
        <f>+(C101-C$7)/C$8</f>
        <v>16848.079749694025</v>
      </c>
      <c r="F101">
        <f>ROUND(2*E101,0)/2</f>
        <v>16848</v>
      </c>
      <c r="G101">
        <f>+C101-(C$7+F101*C$8)</f>
        <v>2.8777437837561592E-2</v>
      </c>
      <c r="K101">
        <f>+G101</f>
        <v>2.8777437837561592E-2</v>
      </c>
      <c r="O101">
        <f ca="1">+C$11+C$12*$F101</f>
        <v>2.232414336859613E-2</v>
      </c>
      <c r="P101">
        <f>+D$11+D$12*F101+D$13*F101^2</f>
        <v>2.5858930787038773E-2</v>
      </c>
      <c r="Q101" s="2">
        <f>+C101-15018.5</f>
        <v>43524.485833437837</v>
      </c>
      <c r="R101">
        <f>+(P101-G101)^2</f>
        <v>8.5176834039514067E-6</v>
      </c>
      <c r="S101" s="97">
        <v>1</v>
      </c>
      <c r="T101" s="63">
        <f>+S101*R101</f>
        <v>8.5176834039514067E-6</v>
      </c>
    </row>
    <row r="102" spans="1:35" ht="12" customHeight="1">
      <c r="A102" s="187" t="s">
        <v>370</v>
      </c>
      <c r="B102" s="188" t="s">
        <v>80</v>
      </c>
      <c r="C102" s="189">
        <v>58657.736900000004</v>
      </c>
      <c r="D102" s="187">
        <v>2.0000000000000001E-4</v>
      </c>
      <c r="E102" s="44">
        <f>+(C102-C$7)/C$8</f>
        <v>17166.084517815048</v>
      </c>
      <c r="F102">
        <f>ROUND(2*E102,0)/2</f>
        <v>17166</v>
      </c>
      <c r="G102">
        <f>+C102-(C$7+F102*C$8)</f>
        <v>3.0498000007355586E-2</v>
      </c>
      <c r="K102">
        <f>+G102</f>
        <v>3.0498000007355586E-2</v>
      </c>
      <c r="O102">
        <f ca="1">+C$11+C$12*$F102</f>
        <v>2.290246890065455E-2</v>
      </c>
      <c r="P102">
        <f>+D$11+D$12*F102+D$13*F102^2</f>
        <v>2.6826472803724737E-2</v>
      </c>
      <c r="Q102" s="2">
        <f>+C102-15018.5</f>
        <v>43639.236900000004</v>
      </c>
      <c r="R102">
        <f>+(P102-G102)^2</f>
        <v>1.3480112007001362E-5</v>
      </c>
      <c r="S102" s="97">
        <v>1</v>
      </c>
      <c r="T102" s="63">
        <f>+S102*R102</f>
        <v>1.3480112007001362E-5</v>
      </c>
    </row>
    <row r="103" spans="1:35" ht="12" customHeight="1">
      <c r="A103" s="89" t="s">
        <v>368</v>
      </c>
      <c r="C103" s="186">
        <v>58959.9522</v>
      </c>
      <c r="D103" s="165">
        <v>2.9999999999999997E-4</v>
      </c>
      <c r="E103" s="44">
        <f>+(C103-C$7)/C$8</f>
        <v>18003.600972157183</v>
      </c>
      <c r="F103">
        <f>ROUND(2*E103,0)/2</f>
        <v>18003.5</v>
      </c>
      <c r="G103">
        <f>+C103-(C$7+F103*C$8)</f>
        <v>3.6435500005609356E-2</v>
      </c>
      <c r="K103">
        <f>+G103</f>
        <v>3.6435500005609356E-2</v>
      </c>
      <c r="O103">
        <f ca="1">+C$11+C$12*$F103</f>
        <v>2.4425574665116571E-2</v>
      </c>
      <c r="P103">
        <f>+D$11+D$12*F103+D$13*F103^2</f>
        <v>2.945966459641047E-2</v>
      </c>
      <c r="Q103" s="2">
        <f>+C103-15018.5</f>
        <v>43941.4522</v>
      </c>
      <c r="R103">
        <f>+(P103-G103)^2</f>
        <v>4.8662279656232995E-5</v>
      </c>
      <c r="S103" s="97">
        <v>1</v>
      </c>
      <c r="T103" s="63">
        <f>+S103*R103</f>
        <v>4.8662279656232995E-5</v>
      </c>
    </row>
    <row r="104" spans="1:35" ht="12" customHeight="1">
      <c r="A104" s="187" t="s">
        <v>371</v>
      </c>
      <c r="B104" s="188" t="s">
        <v>80</v>
      </c>
      <c r="C104" s="189">
        <v>59259.645000000019</v>
      </c>
      <c r="D104" s="187">
        <v>1E-3</v>
      </c>
      <c r="E104" s="44">
        <f>+(C104-C$7)/C$8</f>
        <v>18834.126929141774</v>
      </c>
      <c r="F104">
        <f>ROUND(2*E104,0)/2</f>
        <v>18834</v>
      </c>
      <c r="G104">
        <f>+C104-(C$7+F104*C$8)</f>
        <v>4.5802000022376888E-2</v>
      </c>
      <c r="K104">
        <f>+G104</f>
        <v>4.5802000022376888E-2</v>
      </c>
      <c r="O104">
        <f ca="1">+C$11+C$12*$F104</f>
        <v>2.5935949993338321E-2</v>
      </c>
      <c r="P104">
        <f>+D$11+D$12*F104+D$13*F104^2</f>
        <v>3.2192560690832178E-2</v>
      </c>
      <c r="Q104" s="2">
        <f>+C104-15018.5</f>
        <v>44241.145000000019</v>
      </c>
      <c r="R104">
        <f>+(P104-G104)^2</f>
        <v>1.852168389189961E-4</v>
      </c>
      <c r="S104" s="97">
        <v>1</v>
      </c>
      <c r="T104" s="63">
        <f>+S104*R104</f>
        <v>1.852168389189961E-4</v>
      </c>
    </row>
    <row r="105" spans="1:35" ht="12" customHeight="1"/>
    <row r="106" spans="1:35" ht="12" customHeight="1"/>
    <row r="107" spans="1:35" ht="12" customHeight="1"/>
  </sheetData>
  <sortState xmlns:xlrd2="http://schemas.microsoft.com/office/spreadsheetml/2017/richdata2" ref="A21:U104">
    <sortCondition ref="C21:C104"/>
  </sortState>
  <phoneticPr fontId="8" type="noConversion"/>
  <hyperlinks>
    <hyperlink ref="H128" r:id="rId1" display="http://vsolj.cetus-net.org/bulletin.html"/>
    <hyperlink ref="H121" r:id="rId2" display="http://vsolj.cetus-net.org/bulletin.html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883"/>
  <sheetViews>
    <sheetView topLeftCell="A13" workbookViewId="0">
      <selection activeCell="A46" sqref="A46:D58"/>
    </sheetView>
  </sheetViews>
  <sheetFormatPr defaultRowHeight="12.75"/>
  <cols>
    <col min="1" max="1" width="19.7109375" style="9" customWidth="1"/>
    <col min="2" max="2" width="4.42578125" style="8" customWidth="1"/>
    <col min="3" max="3" width="12.7109375" style="9" customWidth="1"/>
    <col min="4" max="4" width="5.42578125" style="8" customWidth="1"/>
    <col min="5" max="5" width="14.85546875" style="8" customWidth="1"/>
    <col min="6" max="6" width="9.140625" style="8"/>
    <col min="7" max="7" width="12" style="8" customWidth="1"/>
    <col min="8" max="8" width="14.140625" style="9" customWidth="1"/>
    <col min="9" max="9" width="22.5703125" style="8" customWidth="1"/>
    <col min="10" max="10" width="25.140625" style="8" customWidth="1"/>
    <col min="11" max="11" width="15.7109375" style="8" customWidth="1"/>
    <col min="12" max="12" width="14.140625" style="8" customWidth="1"/>
    <col min="13" max="13" width="9.5703125" style="8" customWidth="1"/>
    <col min="14" max="14" width="14.140625" style="8" customWidth="1"/>
    <col min="15" max="15" width="23.42578125" style="8" customWidth="1"/>
    <col min="16" max="16" width="16.5703125" style="8" customWidth="1"/>
    <col min="17" max="17" width="41" style="8" customWidth="1"/>
    <col min="18" max="16384" width="9.140625" style="8"/>
  </cols>
  <sheetData>
    <row r="1" spans="1:16" ht="15.75">
      <c r="A1" s="69" t="s">
        <v>186</v>
      </c>
      <c r="I1" s="70" t="s">
        <v>116</v>
      </c>
      <c r="J1" s="71" t="s">
        <v>187</v>
      </c>
    </row>
    <row r="2" spans="1:16">
      <c r="I2" s="72" t="s">
        <v>127</v>
      </c>
      <c r="J2" s="73" t="s">
        <v>188</v>
      </c>
    </row>
    <row r="3" spans="1:16">
      <c r="A3" s="74" t="s">
        <v>189</v>
      </c>
      <c r="I3" s="72" t="s">
        <v>131</v>
      </c>
      <c r="J3" s="73" t="s">
        <v>190</v>
      </c>
    </row>
    <row r="4" spans="1:16">
      <c r="I4" s="72" t="s">
        <v>146</v>
      </c>
      <c r="J4" s="73" t="s">
        <v>190</v>
      </c>
    </row>
    <row r="5" spans="1:16" ht="13.5" thickBot="1">
      <c r="I5" s="75" t="s">
        <v>170</v>
      </c>
      <c r="J5" s="76" t="s">
        <v>191</v>
      </c>
    </row>
    <row r="10" spans="1:16" ht="13.5" thickBot="1"/>
    <row r="11" spans="1:16" ht="12.75" customHeight="1" thickBot="1">
      <c r="A11" s="9" t="str">
        <f t="shared" ref="A11:A58" si="0">P11</f>
        <v>BAVM 241 (=IBVS 6157) </v>
      </c>
      <c r="B11" s="3" t="str">
        <f t="shared" ref="B11:B58" si="1">IF(H11=INT(H11),"I","II")</f>
        <v>I</v>
      </c>
      <c r="C11" s="9">
        <f t="shared" ref="C11:C58" si="2">1*G11</f>
        <v>57158.402300000002</v>
      </c>
      <c r="D11" s="8" t="str">
        <f t="shared" ref="D11:D58" si="3">VLOOKUP(F11,I$1:J$5,2,FALSE)</f>
        <v>vis</v>
      </c>
      <c r="E11" s="77">
        <f>VLOOKUP(C11,'Active 2'!C$21:E$970,3,FALSE)</f>
        <v>13011.042076004525</v>
      </c>
      <c r="F11" s="3" t="s">
        <v>170</v>
      </c>
      <c r="G11" s="8" t="str">
        <f t="shared" ref="G11:G58" si="4">MID(I11,3,LEN(I11)-3)</f>
        <v>57158.4023</v>
      </c>
      <c r="H11" s="9">
        <f t="shared" ref="H11:H58" si="5">1*K11</f>
        <v>13011</v>
      </c>
      <c r="I11" s="78" t="s">
        <v>353</v>
      </c>
      <c r="J11" s="79" t="s">
        <v>354</v>
      </c>
      <c r="K11" s="78">
        <v>13011</v>
      </c>
      <c r="L11" s="78" t="s">
        <v>355</v>
      </c>
      <c r="M11" s="79" t="s">
        <v>196</v>
      </c>
      <c r="N11" s="83" t="s">
        <v>347</v>
      </c>
      <c r="O11" s="80" t="s">
        <v>348</v>
      </c>
      <c r="P11" s="81" t="s">
        <v>356</v>
      </c>
    </row>
    <row r="12" spans="1:16" ht="12.75" customHeight="1" thickBot="1">
      <c r="A12" s="9" t="str">
        <f t="shared" si="0"/>
        <v>OEJV 0074 </v>
      </c>
      <c r="B12" s="3" t="str">
        <f t="shared" si="1"/>
        <v>I</v>
      </c>
      <c r="C12" s="9">
        <f t="shared" si="2"/>
        <v>53185.461900000002</v>
      </c>
      <c r="D12" s="8" t="str">
        <f t="shared" si="3"/>
        <v>vis</v>
      </c>
      <c r="E12" s="77">
        <f>VLOOKUP(C12,'Active 2'!C$21:E$970,3,FALSE)</f>
        <v>2001.000701128193</v>
      </c>
      <c r="F12" s="3" t="s">
        <v>170</v>
      </c>
      <c r="G12" s="8" t="str">
        <f t="shared" si="4"/>
        <v>53185.46190</v>
      </c>
      <c r="H12" s="9">
        <f t="shared" si="5"/>
        <v>2001</v>
      </c>
      <c r="I12" s="78" t="s">
        <v>193</v>
      </c>
      <c r="J12" s="79" t="s">
        <v>194</v>
      </c>
      <c r="K12" s="78">
        <v>2001</v>
      </c>
      <c r="L12" s="78" t="s">
        <v>195</v>
      </c>
      <c r="M12" s="79" t="s">
        <v>196</v>
      </c>
      <c r="N12" s="79" t="s">
        <v>150</v>
      </c>
      <c r="O12" s="80" t="s">
        <v>197</v>
      </c>
      <c r="P12" s="81" t="s">
        <v>198</v>
      </c>
    </row>
    <row r="13" spans="1:16" ht="12.75" customHeight="1" thickBot="1">
      <c r="A13" s="9" t="str">
        <f t="shared" si="0"/>
        <v>OEJV 0074 </v>
      </c>
      <c r="B13" s="3" t="str">
        <f t="shared" si="1"/>
        <v>I</v>
      </c>
      <c r="C13" s="9">
        <f t="shared" si="2"/>
        <v>53233.45248</v>
      </c>
      <c r="D13" s="8" t="str">
        <f t="shared" si="3"/>
        <v>vis</v>
      </c>
      <c r="E13" s="77">
        <f>VLOOKUP(C13,'Active 2'!C$21:E$970,3,FALSE)</f>
        <v>2133.9949618536471</v>
      </c>
      <c r="F13" s="3" t="s">
        <v>170</v>
      </c>
      <c r="G13" s="8" t="str">
        <f t="shared" si="4"/>
        <v>53233.45248</v>
      </c>
      <c r="H13" s="9">
        <f t="shared" si="5"/>
        <v>2134</v>
      </c>
      <c r="I13" s="78" t="s">
        <v>199</v>
      </c>
      <c r="J13" s="79" t="s">
        <v>200</v>
      </c>
      <c r="K13" s="78">
        <v>2134</v>
      </c>
      <c r="L13" s="78" t="s">
        <v>201</v>
      </c>
      <c r="M13" s="79" t="s">
        <v>196</v>
      </c>
      <c r="N13" s="79" t="s">
        <v>170</v>
      </c>
      <c r="O13" s="80" t="s">
        <v>202</v>
      </c>
      <c r="P13" s="81" t="s">
        <v>198</v>
      </c>
    </row>
    <row r="14" spans="1:16" ht="12.75" customHeight="1" thickBot="1">
      <c r="A14" s="9" t="str">
        <f t="shared" si="0"/>
        <v>OEJV 0074 </v>
      </c>
      <c r="B14" s="3" t="str">
        <f t="shared" si="1"/>
        <v>I</v>
      </c>
      <c r="C14" s="9">
        <f t="shared" si="2"/>
        <v>53237.423790000001</v>
      </c>
      <c r="D14" s="8" t="str">
        <f t="shared" si="3"/>
        <v>vis</v>
      </c>
      <c r="E14" s="77">
        <f>VLOOKUP(C14,'Active 2'!C$21:E$970,3,FALSE)</f>
        <v>2145.0004849700949</v>
      </c>
      <c r="F14" s="3" t="s">
        <v>170</v>
      </c>
      <c r="G14" s="8" t="str">
        <f t="shared" si="4"/>
        <v>53237.42379</v>
      </c>
      <c r="H14" s="9">
        <f t="shared" si="5"/>
        <v>2145</v>
      </c>
      <c r="I14" s="78" t="s">
        <v>203</v>
      </c>
      <c r="J14" s="79" t="s">
        <v>204</v>
      </c>
      <c r="K14" s="78">
        <v>2145</v>
      </c>
      <c r="L14" s="78" t="s">
        <v>205</v>
      </c>
      <c r="M14" s="79" t="s">
        <v>196</v>
      </c>
      <c r="N14" s="79" t="s">
        <v>80</v>
      </c>
      <c r="O14" s="80" t="s">
        <v>197</v>
      </c>
      <c r="P14" s="81" t="s">
        <v>198</v>
      </c>
    </row>
    <row r="15" spans="1:16" ht="12.75" customHeight="1" thickBot="1">
      <c r="A15" s="9" t="str">
        <f t="shared" si="0"/>
        <v>OEJV 0074 </v>
      </c>
      <c r="B15" s="3" t="str">
        <f t="shared" si="1"/>
        <v>II</v>
      </c>
      <c r="C15" s="9">
        <f t="shared" si="2"/>
        <v>53510.404820000003</v>
      </c>
      <c r="D15" s="8" t="str">
        <f t="shared" si="3"/>
        <v>vis</v>
      </c>
      <c r="E15" s="77">
        <f>VLOOKUP(C15,'Active 2'!C$21:E$970,3,FALSE)</f>
        <v>2901.5012456803202</v>
      </c>
      <c r="F15" s="3" t="s">
        <v>170</v>
      </c>
      <c r="G15" s="8" t="str">
        <f t="shared" si="4"/>
        <v>53510.40482</v>
      </c>
      <c r="H15" s="9">
        <f t="shared" si="5"/>
        <v>2901.5</v>
      </c>
      <c r="I15" s="78" t="s">
        <v>206</v>
      </c>
      <c r="J15" s="79" t="s">
        <v>207</v>
      </c>
      <c r="K15" s="78">
        <v>2901.5</v>
      </c>
      <c r="L15" s="78" t="s">
        <v>208</v>
      </c>
      <c r="M15" s="79" t="s">
        <v>196</v>
      </c>
      <c r="N15" s="79" t="s">
        <v>80</v>
      </c>
      <c r="O15" s="80" t="s">
        <v>197</v>
      </c>
      <c r="P15" s="81" t="s">
        <v>198</v>
      </c>
    </row>
    <row r="16" spans="1:16" ht="12.75" customHeight="1" thickBot="1">
      <c r="A16" s="9" t="str">
        <f t="shared" si="0"/>
        <v>OEJV 0074 </v>
      </c>
      <c r="B16" s="3" t="str">
        <f t="shared" si="1"/>
        <v>I</v>
      </c>
      <c r="C16" s="9">
        <f t="shared" si="2"/>
        <v>53512.388890000002</v>
      </c>
      <c r="D16" s="8" t="str">
        <f t="shared" si="3"/>
        <v>vis</v>
      </c>
      <c r="E16" s="77">
        <f>VLOOKUP(C16,'Active 2'!C$21:E$970,3,FALSE)</f>
        <v>2906.9996147952043</v>
      </c>
      <c r="F16" s="3" t="s">
        <v>170</v>
      </c>
      <c r="G16" s="8" t="str">
        <f t="shared" si="4"/>
        <v>53512.38889</v>
      </c>
      <c r="H16" s="9">
        <f t="shared" si="5"/>
        <v>2907</v>
      </c>
      <c r="I16" s="78" t="s">
        <v>209</v>
      </c>
      <c r="J16" s="79" t="s">
        <v>210</v>
      </c>
      <c r="K16" s="78">
        <v>2907</v>
      </c>
      <c r="L16" s="78" t="s">
        <v>211</v>
      </c>
      <c r="M16" s="79" t="s">
        <v>196</v>
      </c>
      <c r="N16" s="79" t="s">
        <v>80</v>
      </c>
      <c r="O16" s="80" t="s">
        <v>197</v>
      </c>
      <c r="P16" s="81" t="s">
        <v>198</v>
      </c>
    </row>
    <row r="17" spans="1:16" ht="12.75" customHeight="1" thickBot="1">
      <c r="A17" s="9" t="str">
        <f t="shared" si="0"/>
        <v>OEJV 0074 </v>
      </c>
      <c r="B17" s="3" t="str">
        <f t="shared" si="1"/>
        <v>I</v>
      </c>
      <c r="C17" s="9">
        <f t="shared" si="2"/>
        <v>53516.359109999998</v>
      </c>
      <c r="D17" s="8" t="str">
        <f t="shared" si="3"/>
        <v>vis</v>
      </c>
      <c r="E17" s="77">
        <f>VLOOKUP(C17,'Active 2'!C$21:E$970,3,FALSE)</f>
        <v>2918.0021172408269</v>
      </c>
      <c r="F17" s="3" t="s">
        <v>170</v>
      </c>
      <c r="G17" s="8" t="str">
        <f t="shared" si="4"/>
        <v>53516.35911</v>
      </c>
      <c r="H17" s="9">
        <f t="shared" si="5"/>
        <v>2918</v>
      </c>
      <c r="I17" s="78" t="s">
        <v>212</v>
      </c>
      <c r="J17" s="79" t="s">
        <v>213</v>
      </c>
      <c r="K17" s="78">
        <v>2918</v>
      </c>
      <c r="L17" s="78" t="s">
        <v>214</v>
      </c>
      <c r="M17" s="79" t="s">
        <v>196</v>
      </c>
      <c r="N17" s="79" t="s">
        <v>80</v>
      </c>
      <c r="O17" s="80" t="s">
        <v>197</v>
      </c>
      <c r="P17" s="81" t="s">
        <v>198</v>
      </c>
    </row>
    <row r="18" spans="1:16" ht="12.75" customHeight="1" thickBot="1">
      <c r="A18" s="9" t="str">
        <f t="shared" si="0"/>
        <v>OEJV 0074 </v>
      </c>
      <c r="B18" s="3" t="str">
        <f t="shared" si="1"/>
        <v>II</v>
      </c>
      <c r="C18" s="9">
        <f t="shared" si="2"/>
        <v>53636.341209999999</v>
      </c>
      <c r="D18" s="8" t="str">
        <f t="shared" si="3"/>
        <v>vis</v>
      </c>
      <c r="E18" s="77">
        <f>VLOOKUP(C18,'Active 2'!C$21:E$970,3,FALSE)</f>
        <v>3250.5034266600574</v>
      </c>
      <c r="F18" s="3" t="s">
        <v>170</v>
      </c>
      <c r="G18" s="8" t="str">
        <f t="shared" si="4"/>
        <v>53636.34121</v>
      </c>
      <c r="H18" s="9">
        <f t="shared" si="5"/>
        <v>3250.5</v>
      </c>
      <c r="I18" s="78" t="s">
        <v>215</v>
      </c>
      <c r="J18" s="79" t="s">
        <v>216</v>
      </c>
      <c r="K18" s="78">
        <v>3250.5</v>
      </c>
      <c r="L18" s="78" t="s">
        <v>217</v>
      </c>
      <c r="M18" s="79" t="s">
        <v>196</v>
      </c>
      <c r="N18" s="79" t="s">
        <v>80</v>
      </c>
      <c r="O18" s="80" t="s">
        <v>197</v>
      </c>
      <c r="P18" s="81" t="s">
        <v>198</v>
      </c>
    </row>
    <row r="19" spans="1:16" ht="12.75" customHeight="1" thickBot="1">
      <c r="A19" s="9" t="str">
        <f t="shared" si="0"/>
        <v>OEJV 0074 </v>
      </c>
      <c r="B19" s="3" t="str">
        <f t="shared" si="1"/>
        <v>I</v>
      </c>
      <c r="C19" s="9">
        <f t="shared" si="2"/>
        <v>53638.325799999999</v>
      </c>
      <c r="D19" s="8" t="str">
        <f t="shared" si="3"/>
        <v>vis</v>
      </c>
      <c r="E19" s="77">
        <f>VLOOKUP(C19,'Active 2'!C$21:E$970,3,FALSE)</f>
        <v>3256.0032368289103</v>
      </c>
      <c r="F19" s="3" t="s">
        <v>170</v>
      </c>
      <c r="G19" s="8" t="str">
        <f t="shared" si="4"/>
        <v>53638.32580</v>
      </c>
      <c r="H19" s="9">
        <f t="shared" si="5"/>
        <v>3256</v>
      </c>
      <c r="I19" s="78" t="s">
        <v>218</v>
      </c>
      <c r="J19" s="79" t="s">
        <v>219</v>
      </c>
      <c r="K19" s="78">
        <v>3256</v>
      </c>
      <c r="L19" s="78" t="s">
        <v>220</v>
      </c>
      <c r="M19" s="79" t="s">
        <v>196</v>
      </c>
      <c r="N19" s="79" t="s">
        <v>170</v>
      </c>
      <c r="O19" s="80" t="s">
        <v>197</v>
      </c>
      <c r="P19" s="81" t="s">
        <v>198</v>
      </c>
    </row>
    <row r="20" spans="1:16" ht="12.75" customHeight="1" thickBot="1">
      <c r="A20" s="9" t="str">
        <f t="shared" si="0"/>
        <v>OEJV 0074 </v>
      </c>
      <c r="B20" s="3" t="str">
        <f t="shared" si="1"/>
        <v>I</v>
      </c>
      <c r="C20" s="9">
        <f t="shared" si="2"/>
        <v>53815.501389999998</v>
      </c>
      <c r="D20" s="8" t="str">
        <f t="shared" si="3"/>
        <v>vis</v>
      </c>
      <c r="E20" s="77">
        <f>VLOOKUP(C20,'Active 2'!C$21:E$970,3,FALSE)</f>
        <v>3747.0024414779691</v>
      </c>
      <c r="F20" s="3" t="s">
        <v>170</v>
      </c>
      <c r="G20" s="8" t="str">
        <f t="shared" si="4"/>
        <v>53815.50139</v>
      </c>
      <c r="H20" s="9">
        <f t="shared" si="5"/>
        <v>3747</v>
      </c>
      <c r="I20" s="78" t="s">
        <v>221</v>
      </c>
      <c r="J20" s="79" t="s">
        <v>222</v>
      </c>
      <c r="K20" s="78">
        <v>3747</v>
      </c>
      <c r="L20" s="78" t="s">
        <v>223</v>
      </c>
      <c r="M20" s="79" t="s">
        <v>196</v>
      </c>
      <c r="N20" s="79" t="s">
        <v>80</v>
      </c>
      <c r="O20" s="80" t="s">
        <v>197</v>
      </c>
      <c r="P20" s="81" t="s">
        <v>198</v>
      </c>
    </row>
    <row r="21" spans="1:16" ht="12.75" customHeight="1" thickBot="1">
      <c r="A21" s="9" t="str">
        <f t="shared" si="0"/>
        <v>OEJV 0074 </v>
      </c>
      <c r="B21" s="3" t="str">
        <f t="shared" si="1"/>
        <v>I</v>
      </c>
      <c r="C21" s="9">
        <f t="shared" si="2"/>
        <v>53832.461340000002</v>
      </c>
      <c r="D21" s="8" t="str">
        <f t="shared" si="3"/>
        <v>vis</v>
      </c>
      <c r="E21" s="77">
        <f>VLOOKUP(C21,'Active 2'!C$21:E$970,3,FALSE)</f>
        <v>3794.0028322253052</v>
      </c>
      <c r="F21" s="3" t="s">
        <v>170</v>
      </c>
      <c r="G21" s="8" t="str">
        <f t="shared" si="4"/>
        <v>53832.46134</v>
      </c>
      <c r="H21" s="9">
        <f t="shared" si="5"/>
        <v>3794</v>
      </c>
      <c r="I21" s="78" t="s">
        <v>224</v>
      </c>
      <c r="J21" s="79" t="s">
        <v>225</v>
      </c>
      <c r="K21" s="78">
        <v>3794</v>
      </c>
      <c r="L21" s="78" t="s">
        <v>226</v>
      </c>
      <c r="M21" s="79" t="s">
        <v>196</v>
      </c>
      <c r="N21" s="79" t="s">
        <v>150</v>
      </c>
      <c r="O21" s="80" t="s">
        <v>197</v>
      </c>
      <c r="P21" s="81" t="s">
        <v>198</v>
      </c>
    </row>
    <row r="22" spans="1:16" ht="12.75" customHeight="1" thickBot="1">
      <c r="A22" s="9" t="str">
        <f t="shared" si="0"/>
        <v>OEJV 0074 </v>
      </c>
      <c r="B22" s="3" t="str">
        <f t="shared" si="1"/>
        <v>II</v>
      </c>
      <c r="C22" s="9">
        <f t="shared" si="2"/>
        <v>53834.447569999997</v>
      </c>
      <c r="D22" s="8" t="str">
        <f t="shared" si="3"/>
        <v>vis</v>
      </c>
      <c r="E22" s="77">
        <f>VLOOKUP(C22,'Active 2'!C$21:E$970,3,FALSE)</f>
        <v>3799.5071872566482</v>
      </c>
      <c r="F22" s="3" t="s">
        <v>170</v>
      </c>
      <c r="G22" s="8" t="str">
        <f t="shared" si="4"/>
        <v>53834.44757</v>
      </c>
      <c r="H22" s="9">
        <f t="shared" si="5"/>
        <v>3799.5</v>
      </c>
      <c r="I22" s="78" t="s">
        <v>227</v>
      </c>
      <c r="J22" s="79" t="s">
        <v>228</v>
      </c>
      <c r="K22" s="78">
        <v>3799.5</v>
      </c>
      <c r="L22" s="78" t="s">
        <v>229</v>
      </c>
      <c r="M22" s="79" t="s">
        <v>196</v>
      </c>
      <c r="N22" s="79" t="s">
        <v>170</v>
      </c>
      <c r="O22" s="80" t="s">
        <v>197</v>
      </c>
      <c r="P22" s="81" t="s">
        <v>198</v>
      </c>
    </row>
    <row r="23" spans="1:16" ht="12.75" customHeight="1" thickBot="1">
      <c r="A23" s="9" t="str">
        <f t="shared" si="0"/>
        <v>OEJV 0074 </v>
      </c>
      <c r="B23" s="3" t="str">
        <f t="shared" si="1"/>
        <v>I</v>
      </c>
      <c r="C23" s="9">
        <f t="shared" si="2"/>
        <v>53923.395060000003</v>
      </c>
      <c r="D23" s="8" t="str">
        <f t="shared" si="3"/>
        <v>vis</v>
      </c>
      <c r="E23" s="77">
        <f>VLOOKUP(C23,'Active 2'!C$21:E$970,3,FALSE)</f>
        <v>4046.0035970924123</v>
      </c>
      <c r="F23" s="3" t="s">
        <v>170</v>
      </c>
      <c r="G23" s="8" t="str">
        <f t="shared" si="4"/>
        <v>53923.39506</v>
      </c>
      <c r="H23" s="9">
        <f t="shared" si="5"/>
        <v>4046</v>
      </c>
      <c r="I23" s="78" t="s">
        <v>230</v>
      </c>
      <c r="J23" s="79" t="s">
        <v>231</v>
      </c>
      <c r="K23" s="78">
        <v>4046</v>
      </c>
      <c r="L23" s="78" t="s">
        <v>232</v>
      </c>
      <c r="M23" s="79" t="s">
        <v>196</v>
      </c>
      <c r="N23" s="79" t="s">
        <v>80</v>
      </c>
      <c r="O23" s="80" t="s">
        <v>197</v>
      </c>
      <c r="P23" s="81" t="s">
        <v>198</v>
      </c>
    </row>
    <row r="24" spans="1:16" ht="12.75" customHeight="1" thickBot="1">
      <c r="A24" s="9" t="str">
        <f t="shared" si="0"/>
        <v>OEJV 0074 </v>
      </c>
      <c r="B24" s="3" t="str">
        <f t="shared" si="1"/>
        <v>II</v>
      </c>
      <c r="C24" s="9">
        <f t="shared" si="2"/>
        <v>53991.415439999997</v>
      </c>
      <c r="D24" s="8" t="str">
        <f t="shared" si="3"/>
        <v>vis</v>
      </c>
      <c r="E24" s="77">
        <f>VLOOKUP(C24,'Active 2'!C$21:E$970,3,FALSE)</f>
        <v>4234.505593783515</v>
      </c>
      <c r="F24" s="3" t="s">
        <v>170</v>
      </c>
      <c r="G24" s="8" t="str">
        <f t="shared" si="4"/>
        <v>53991.41544</v>
      </c>
      <c r="H24" s="9">
        <f t="shared" si="5"/>
        <v>4234.5</v>
      </c>
      <c r="I24" s="78" t="s">
        <v>233</v>
      </c>
      <c r="J24" s="79" t="s">
        <v>234</v>
      </c>
      <c r="K24" s="78">
        <v>4234.5</v>
      </c>
      <c r="L24" s="78" t="s">
        <v>235</v>
      </c>
      <c r="M24" s="79" t="s">
        <v>196</v>
      </c>
      <c r="N24" s="79" t="s">
        <v>150</v>
      </c>
      <c r="O24" s="80" t="s">
        <v>197</v>
      </c>
      <c r="P24" s="81" t="s">
        <v>198</v>
      </c>
    </row>
    <row r="25" spans="1:16" ht="12.75" customHeight="1" thickBot="1">
      <c r="A25" s="9" t="str">
        <f t="shared" si="0"/>
        <v>IBVS 5781 </v>
      </c>
      <c r="B25" s="3" t="str">
        <f t="shared" si="1"/>
        <v>I</v>
      </c>
      <c r="C25" s="9">
        <f t="shared" si="2"/>
        <v>54002.4182</v>
      </c>
      <c r="D25" s="8" t="str">
        <f t="shared" si="3"/>
        <v>vis</v>
      </c>
      <c r="E25" s="77">
        <f>VLOOKUP(C25,'Active 2'!C$21:E$970,3,FALSE)</f>
        <v>4264.997076323215</v>
      </c>
      <c r="F25" s="3" t="s">
        <v>170</v>
      </c>
      <c r="G25" s="8" t="str">
        <f t="shared" si="4"/>
        <v>54002.4182</v>
      </c>
      <c r="H25" s="9">
        <f t="shared" si="5"/>
        <v>4265</v>
      </c>
      <c r="I25" s="78" t="s">
        <v>236</v>
      </c>
      <c r="J25" s="79" t="s">
        <v>237</v>
      </c>
      <c r="K25" s="78">
        <v>4265</v>
      </c>
      <c r="L25" s="78" t="s">
        <v>238</v>
      </c>
      <c r="M25" s="79" t="s">
        <v>196</v>
      </c>
      <c r="N25" s="79" t="s">
        <v>150</v>
      </c>
      <c r="O25" s="80" t="s">
        <v>239</v>
      </c>
      <c r="P25" s="81" t="s">
        <v>240</v>
      </c>
    </row>
    <row r="26" spans="1:16" ht="12.75" customHeight="1" thickBot="1">
      <c r="A26" s="9" t="str">
        <f t="shared" si="0"/>
        <v>IBVS 5781 </v>
      </c>
      <c r="B26" s="3" t="str">
        <f t="shared" si="1"/>
        <v>II</v>
      </c>
      <c r="C26" s="9">
        <f t="shared" si="2"/>
        <v>54210.450499999999</v>
      </c>
      <c r="D26" s="8" t="str">
        <f t="shared" si="3"/>
        <v>vis</v>
      </c>
      <c r="E26" s="77">
        <f>VLOOKUP(C26,'Active 2'!C$21:E$970,3,FALSE)</f>
        <v>4841.5081738243689</v>
      </c>
      <c r="F26" s="3" t="s">
        <v>170</v>
      </c>
      <c r="G26" s="8" t="str">
        <f t="shared" si="4"/>
        <v>54210.4505</v>
      </c>
      <c r="H26" s="9">
        <f t="shared" si="5"/>
        <v>4841.5</v>
      </c>
      <c r="I26" s="78" t="s">
        <v>241</v>
      </c>
      <c r="J26" s="79" t="s">
        <v>242</v>
      </c>
      <c r="K26" s="78">
        <v>4841.5</v>
      </c>
      <c r="L26" s="78" t="s">
        <v>243</v>
      </c>
      <c r="M26" s="79" t="s">
        <v>196</v>
      </c>
      <c r="N26" s="79" t="s">
        <v>116</v>
      </c>
      <c r="O26" s="80" t="s">
        <v>239</v>
      </c>
      <c r="P26" s="81" t="s">
        <v>240</v>
      </c>
    </row>
    <row r="27" spans="1:16" ht="12.75" customHeight="1" thickBot="1">
      <c r="A27" s="9" t="str">
        <f t="shared" si="0"/>
        <v>OEJV 0074 </v>
      </c>
      <c r="B27" s="3" t="str">
        <f t="shared" si="1"/>
        <v>II</v>
      </c>
      <c r="C27" s="9">
        <f t="shared" si="2"/>
        <v>54240.400130000002</v>
      </c>
      <c r="D27" s="8" t="str">
        <f t="shared" si="3"/>
        <v>vis</v>
      </c>
      <c r="E27" s="77">
        <f>VLOOKUP(C27,'Active 2'!C$21:E$970,3,FALSE)</f>
        <v>4924.5063143105108</v>
      </c>
      <c r="F27" s="3" t="s">
        <v>170</v>
      </c>
      <c r="G27" s="8" t="str">
        <f t="shared" si="4"/>
        <v>54240.40013</v>
      </c>
      <c r="H27" s="9">
        <f t="shared" si="5"/>
        <v>4924.5</v>
      </c>
      <c r="I27" s="78" t="s">
        <v>244</v>
      </c>
      <c r="J27" s="79" t="s">
        <v>245</v>
      </c>
      <c r="K27" s="78">
        <v>4924.5</v>
      </c>
      <c r="L27" s="78" t="s">
        <v>246</v>
      </c>
      <c r="M27" s="79" t="s">
        <v>196</v>
      </c>
      <c r="N27" s="79" t="s">
        <v>170</v>
      </c>
      <c r="O27" s="80" t="s">
        <v>197</v>
      </c>
      <c r="P27" s="81" t="s">
        <v>198</v>
      </c>
    </row>
    <row r="28" spans="1:16" ht="12.75" customHeight="1" thickBot="1">
      <c r="A28" s="9" t="str">
        <f t="shared" si="0"/>
        <v>OEJV 0074 </v>
      </c>
      <c r="B28" s="3" t="str">
        <f t="shared" si="1"/>
        <v>II</v>
      </c>
      <c r="C28" s="9">
        <f t="shared" si="2"/>
        <v>54240.400329999997</v>
      </c>
      <c r="D28" s="8" t="str">
        <f t="shared" si="3"/>
        <v>vis</v>
      </c>
      <c r="E28" s="77">
        <f>VLOOKUP(C28,'Active 2'!C$21:E$970,3,FALSE)</f>
        <v>4924.5068685620217</v>
      </c>
      <c r="F28" s="3" t="s">
        <v>170</v>
      </c>
      <c r="G28" s="8" t="str">
        <f t="shared" si="4"/>
        <v>54240.40033</v>
      </c>
      <c r="H28" s="9">
        <f t="shared" si="5"/>
        <v>4924.5</v>
      </c>
      <c r="I28" s="78" t="s">
        <v>247</v>
      </c>
      <c r="J28" s="79" t="s">
        <v>245</v>
      </c>
      <c r="K28" s="78">
        <v>4924.5</v>
      </c>
      <c r="L28" s="78" t="s">
        <v>248</v>
      </c>
      <c r="M28" s="79" t="s">
        <v>196</v>
      </c>
      <c r="N28" s="79" t="s">
        <v>80</v>
      </c>
      <c r="O28" s="80" t="s">
        <v>197</v>
      </c>
      <c r="P28" s="81" t="s">
        <v>198</v>
      </c>
    </row>
    <row r="29" spans="1:16" ht="12.75" customHeight="1" thickBot="1">
      <c r="A29" s="9" t="str">
        <f t="shared" si="0"/>
        <v>OEJV 0074 </v>
      </c>
      <c r="B29" s="3" t="str">
        <f t="shared" si="1"/>
        <v>II</v>
      </c>
      <c r="C29" s="9">
        <f t="shared" si="2"/>
        <v>54240.400329999997</v>
      </c>
      <c r="D29" s="8" t="str">
        <f t="shared" si="3"/>
        <v>vis</v>
      </c>
      <c r="E29" s="77">
        <f>VLOOKUP(C29,'Active 2'!C$21:E$970,3,FALSE)</f>
        <v>4924.5068685620217</v>
      </c>
      <c r="F29" s="3" t="s">
        <v>170</v>
      </c>
      <c r="G29" s="8" t="str">
        <f t="shared" si="4"/>
        <v>54240.40033</v>
      </c>
      <c r="H29" s="9">
        <f t="shared" si="5"/>
        <v>4924.5</v>
      </c>
      <c r="I29" s="78" t="s">
        <v>247</v>
      </c>
      <c r="J29" s="79" t="s">
        <v>245</v>
      </c>
      <c r="K29" s="78">
        <v>4924.5</v>
      </c>
      <c r="L29" s="78" t="s">
        <v>248</v>
      </c>
      <c r="M29" s="79" t="s">
        <v>196</v>
      </c>
      <c r="N29" s="79" t="s">
        <v>150</v>
      </c>
      <c r="O29" s="80" t="s">
        <v>197</v>
      </c>
      <c r="P29" s="81" t="s">
        <v>198</v>
      </c>
    </row>
    <row r="30" spans="1:16" ht="12.75" customHeight="1" thickBot="1">
      <c r="A30" s="9" t="str">
        <f t="shared" si="0"/>
        <v>OEJV 0107 </v>
      </c>
      <c r="B30" s="3" t="str">
        <f t="shared" si="1"/>
        <v>I</v>
      </c>
      <c r="C30" s="9">
        <f t="shared" si="2"/>
        <v>54946.399550000002</v>
      </c>
      <c r="D30" s="8" t="str">
        <f t="shared" si="3"/>
        <v>vis</v>
      </c>
      <c r="E30" s="77">
        <f>VLOOKUP(C30,'Active 2'!C$21:E$970,3,FALSE)</f>
        <v>6881.0125898234019</v>
      </c>
      <c r="F30" s="3" t="s">
        <v>170</v>
      </c>
      <c r="G30" s="8" t="str">
        <f t="shared" si="4"/>
        <v>54946.39955</v>
      </c>
      <c r="H30" s="9">
        <f t="shared" si="5"/>
        <v>6881</v>
      </c>
      <c r="I30" s="78" t="s">
        <v>249</v>
      </c>
      <c r="J30" s="79" t="s">
        <v>250</v>
      </c>
      <c r="K30" s="78">
        <v>6881</v>
      </c>
      <c r="L30" s="78" t="s">
        <v>251</v>
      </c>
      <c r="M30" s="79" t="s">
        <v>196</v>
      </c>
      <c r="N30" s="79" t="s">
        <v>80</v>
      </c>
      <c r="O30" s="80" t="s">
        <v>197</v>
      </c>
      <c r="P30" s="81" t="s">
        <v>252</v>
      </c>
    </row>
    <row r="31" spans="1:16" ht="12.75" customHeight="1" thickBot="1">
      <c r="A31" s="9" t="str">
        <f t="shared" si="0"/>
        <v>OEJV 0107 </v>
      </c>
      <c r="B31" s="3" t="str">
        <f t="shared" si="1"/>
        <v>I</v>
      </c>
      <c r="C31" s="9">
        <f t="shared" si="2"/>
        <v>54946.399649999999</v>
      </c>
      <c r="D31" s="8" t="str">
        <f t="shared" si="3"/>
        <v>vis</v>
      </c>
      <c r="E31" s="77">
        <f>VLOOKUP(C31,'Active 2'!C$21:E$970,3,FALSE)</f>
        <v>6881.0128669491569</v>
      </c>
      <c r="F31" s="3" t="s">
        <v>170</v>
      </c>
      <c r="G31" s="8" t="str">
        <f t="shared" si="4"/>
        <v>54946.39965</v>
      </c>
      <c r="H31" s="9">
        <f t="shared" si="5"/>
        <v>6881</v>
      </c>
      <c r="I31" s="78" t="s">
        <v>253</v>
      </c>
      <c r="J31" s="79" t="s">
        <v>250</v>
      </c>
      <c r="K31" s="78">
        <v>6881</v>
      </c>
      <c r="L31" s="78" t="s">
        <v>254</v>
      </c>
      <c r="M31" s="79" t="s">
        <v>196</v>
      </c>
      <c r="N31" s="79" t="s">
        <v>170</v>
      </c>
      <c r="O31" s="80" t="s">
        <v>197</v>
      </c>
      <c r="P31" s="81" t="s">
        <v>252</v>
      </c>
    </row>
    <row r="32" spans="1:16" ht="12.75" customHeight="1" thickBot="1">
      <c r="A32" s="9" t="str">
        <f t="shared" si="0"/>
        <v>OEJV 0107 </v>
      </c>
      <c r="B32" s="3" t="str">
        <f t="shared" si="1"/>
        <v>I</v>
      </c>
      <c r="C32" s="9">
        <f t="shared" si="2"/>
        <v>54946.400249999999</v>
      </c>
      <c r="D32" s="8" t="str">
        <f t="shared" si="3"/>
        <v>vis</v>
      </c>
      <c r="E32" s="77">
        <f>VLOOKUP(C32,'Active 2'!C$21:E$970,3,FALSE)</f>
        <v>6881.0145297037307</v>
      </c>
      <c r="F32" s="3" t="s">
        <v>170</v>
      </c>
      <c r="G32" s="8" t="str">
        <f t="shared" si="4"/>
        <v>54946.40025</v>
      </c>
      <c r="H32" s="9">
        <f t="shared" si="5"/>
        <v>6881</v>
      </c>
      <c r="I32" s="78" t="s">
        <v>255</v>
      </c>
      <c r="J32" s="79" t="s">
        <v>256</v>
      </c>
      <c r="K32" s="78">
        <v>6881</v>
      </c>
      <c r="L32" s="78" t="s">
        <v>257</v>
      </c>
      <c r="M32" s="79" t="s">
        <v>196</v>
      </c>
      <c r="N32" s="79" t="s">
        <v>150</v>
      </c>
      <c r="O32" s="80" t="s">
        <v>197</v>
      </c>
      <c r="P32" s="81" t="s">
        <v>252</v>
      </c>
    </row>
    <row r="33" spans="1:16" ht="12.75" customHeight="1" thickBot="1">
      <c r="A33" s="9" t="str">
        <f t="shared" si="0"/>
        <v>IBVS 5894 </v>
      </c>
      <c r="B33" s="3" t="str">
        <f t="shared" si="1"/>
        <v>I</v>
      </c>
      <c r="C33" s="9">
        <f t="shared" si="2"/>
        <v>55003.774599999997</v>
      </c>
      <c r="D33" s="8" t="str">
        <f t="shared" si="3"/>
        <v>vis</v>
      </c>
      <c r="E33" s="77">
        <f>VLOOKUP(C33,'Active 2'!C$21:E$970,3,FALSE)</f>
        <v>7040.0136345875126</v>
      </c>
      <c r="F33" s="3" t="s">
        <v>170</v>
      </c>
      <c r="G33" s="8" t="str">
        <f t="shared" si="4"/>
        <v>55003.7746</v>
      </c>
      <c r="H33" s="9">
        <f t="shared" si="5"/>
        <v>7040</v>
      </c>
      <c r="I33" s="78" t="s">
        <v>258</v>
      </c>
      <c r="J33" s="79" t="s">
        <v>259</v>
      </c>
      <c r="K33" s="78">
        <v>7040</v>
      </c>
      <c r="L33" s="78" t="s">
        <v>260</v>
      </c>
      <c r="M33" s="79" t="s">
        <v>196</v>
      </c>
      <c r="N33" s="79" t="s">
        <v>170</v>
      </c>
      <c r="O33" s="80" t="s">
        <v>239</v>
      </c>
      <c r="P33" s="81" t="s">
        <v>261</v>
      </c>
    </row>
    <row r="34" spans="1:16" ht="12.75" customHeight="1" thickBot="1">
      <c r="A34" s="9" t="str">
        <f t="shared" si="0"/>
        <v>IBVS 5920 </v>
      </c>
      <c r="B34" s="3" t="str">
        <f t="shared" si="1"/>
        <v>I</v>
      </c>
      <c r="C34" s="9">
        <f t="shared" si="2"/>
        <v>55059.346299999997</v>
      </c>
      <c r="D34" s="8" t="str">
        <f t="shared" si="3"/>
        <v>vis</v>
      </c>
      <c r="E34" s="77">
        <f>VLOOKUP(C34,'Active 2'!C$21:E$970,3,FALSE)</f>
        <v>7194.0171319146357</v>
      </c>
      <c r="F34" s="3" t="s">
        <v>170</v>
      </c>
      <c r="G34" s="8" t="str">
        <f t="shared" si="4"/>
        <v>55059.3463</v>
      </c>
      <c r="H34" s="9">
        <f t="shared" si="5"/>
        <v>7194</v>
      </c>
      <c r="I34" s="78" t="s">
        <v>262</v>
      </c>
      <c r="J34" s="79" t="s">
        <v>263</v>
      </c>
      <c r="K34" s="78">
        <v>7194</v>
      </c>
      <c r="L34" s="78" t="s">
        <v>264</v>
      </c>
      <c r="M34" s="79" t="s">
        <v>196</v>
      </c>
      <c r="N34" s="79" t="s">
        <v>116</v>
      </c>
      <c r="O34" s="80" t="s">
        <v>265</v>
      </c>
      <c r="P34" s="81" t="s">
        <v>266</v>
      </c>
    </row>
    <row r="35" spans="1:16" ht="12.75" customHeight="1" thickBot="1">
      <c r="A35" s="9" t="str">
        <f t="shared" si="0"/>
        <v>IBVS 5920 </v>
      </c>
      <c r="B35" s="3" t="str">
        <f t="shared" si="1"/>
        <v>II</v>
      </c>
      <c r="C35" s="9">
        <f t="shared" si="2"/>
        <v>55059.527300000002</v>
      </c>
      <c r="D35" s="8" t="str">
        <f t="shared" si="3"/>
        <v>vis</v>
      </c>
      <c r="E35" s="77">
        <f>VLOOKUP(C35,'Active 2'!C$21:E$970,3,FALSE)</f>
        <v>7194.5187295446676</v>
      </c>
      <c r="F35" s="3" t="s">
        <v>170</v>
      </c>
      <c r="G35" s="8" t="str">
        <f t="shared" si="4"/>
        <v>55059.5273</v>
      </c>
      <c r="H35" s="9">
        <f t="shared" si="5"/>
        <v>7194.5</v>
      </c>
      <c r="I35" s="78" t="s">
        <v>267</v>
      </c>
      <c r="J35" s="79" t="s">
        <v>268</v>
      </c>
      <c r="K35" s="78">
        <v>7194.5</v>
      </c>
      <c r="L35" s="78" t="s">
        <v>269</v>
      </c>
      <c r="M35" s="79" t="s">
        <v>196</v>
      </c>
      <c r="N35" s="79" t="s">
        <v>116</v>
      </c>
      <c r="O35" s="80" t="s">
        <v>265</v>
      </c>
      <c r="P35" s="81" t="s">
        <v>266</v>
      </c>
    </row>
    <row r="36" spans="1:16" ht="12.75" customHeight="1" thickBot="1">
      <c r="A36" s="9" t="str">
        <f t="shared" si="0"/>
        <v>OEJV 0160 </v>
      </c>
      <c r="B36" s="3" t="str">
        <f t="shared" si="1"/>
        <v>I</v>
      </c>
      <c r="C36" s="9">
        <f t="shared" si="2"/>
        <v>55687.58251</v>
      </c>
      <c r="D36" s="8" t="str">
        <f t="shared" si="3"/>
        <v>vis</v>
      </c>
      <c r="E36" s="77">
        <f>VLOOKUP(C36,'Active 2'!C$21:E$970,3,FALSE)</f>
        <v>8935.0215188154634</v>
      </c>
      <c r="F36" s="3" t="s">
        <v>170</v>
      </c>
      <c r="G36" s="8" t="str">
        <f t="shared" si="4"/>
        <v>55687.58251</v>
      </c>
      <c r="H36" s="9">
        <f t="shared" si="5"/>
        <v>8935</v>
      </c>
      <c r="I36" s="78" t="s">
        <v>292</v>
      </c>
      <c r="J36" s="79" t="s">
        <v>293</v>
      </c>
      <c r="K36" s="78">
        <v>8935</v>
      </c>
      <c r="L36" s="78" t="s">
        <v>294</v>
      </c>
      <c r="M36" s="79" t="s">
        <v>196</v>
      </c>
      <c r="N36" s="79" t="s">
        <v>150</v>
      </c>
      <c r="O36" s="80" t="s">
        <v>295</v>
      </c>
      <c r="P36" s="81" t="s">
        <v>296</v>
      </c>
    </row>
    <row r="37" spans="1:16" ht="12.75" customHeight="1" thickBot="1">
      <c r="A37" s="9" t="str">
        <f t="shared" si="0"/>
        <v>IBVS 5992 </v>
      </c>
      <c r="B37" s="3" t="str">
        <f t="shared" si="1"/>
        <v>II</v>
      </c>
      <c r="C37" s="9">
        <f t="shared" si="2"/>
        <v>55727.816299999999</v>
      </c>
      <c r="D37" s="8" t="str">
        <f t="shared" si="3"/>
        <v>vis</v>
      </c>
      <c r="E37" s="77">
        <f>VLOOKUP(C37,'Active 2'!C$21:E$970,3,FALSE)</f>
        <v>9046.5197161123742</v>
      </c>
      <c r="F37" s="3" t="s">
        <v>170</v>
      </c>
      <c r="G37" s="8" t="str">
        <f t="shared" si="4"/>
        <v>55727.8163</v>
      </c>
      <c r="H37" s="9">
        <f t="shared" si="5"/>
        <v>9046.5</v>
      </c>
      <c r="I37" s="78" t="s">
        <v>297</v>
      </c>
      <c r="J37" s="79" t="s">
        <v>298</v>
      </c>
      <c r="K37" s="78">
        <v>9046.5</v>
      </c>
      <c r="L37" s="78" t="s">
        <v>272</v>
      </c>
      <c r="M37" s="79" t="s">
        <v>196</v>
      </c>
      <c r="N37" s="79" t="s">
        <v>170</v>
      </c>
      <c r="O37" s="80" t="s">
        <v>239</v>
      </c>
      <c r="P37" s="81" t="s">
        <v>299</v>
      </c>
    </row>
    <row r="38" spans="1:16" ht="12.75" customHeight="1" thickBot="1">
      <c r="A38" s="9" t="str">
        <f t="shared" si="0"/>
        <v>OEJV 0160 </v>
      </c>
      <c r="B38" s="3" t="str">
        <f t="shared" si="1"/>
        <v>II</v>
      </c>
      <c r="C38" s="9">
        <f t="shared" si="2"/>
        <v>55740.447119999997</v>
      </c>
      <c r="D38" s="8" t="str">
        <f t="shared" si="3"/>
        <v>vis</v>
      </c>
      <c r="E38" s="77">
        <f>VLOOKUP(C38,'Active 2'!C$21:E$970,3,FALSE)</f>
        <v>9081.5229723400789</v>
      </c>
      <c r="F38" s="3" t="s">
        <v>170</v>
      </c>
      <c r="G38" s="8" t="str">
        <f t="shared" si="4"/>
        <v>55740.44712</v>
      </c>
      <c r="H38" s="9">
        <f t="shared" si="5"/>
        <v>9081.5</v>
      </c>
      <c r="I38" s="78" t="s">
        <v>300</v>
      </c>
      <c r="J38" s="79" t="s">
        <v>301</v>
      </c>
      <c r="K38" s="78">
        <v>9081.5</v>
      </c>
      <c r="L38" s="78" t="s">
        <v>302</v>
      </c>
      <c r="M38" s="79" t="s">
        <v>196</v>
      </c>
      <c r="N38" s="79" t="s">
        <v>150</v>
      </c>
      <c r="O38" s="80" t="s">
        <v>295</v>
      </c>
      <c r="P38" s="81" t="s">
        <v>296</v>
      </c>
    </row>
    <row r="39" spans="1:16" ht="12.75" customHeight="1" thickBot="1">
      <c r="A39" s="9" t="str">
        <f t="shared" si="0"/>
        <v>IBVS 6050 </v>
      </c>
      <c r="B39" s="3" t="str">
        <f t="shared" si="1"/>
        <v>I</v>
      </c>
      <c r="C39" s="9">
        <f t="shared" si="2"/>
        <v>56024.974900000001</v>
      </c>
      <c r="D39" s="8" t="str">
        <f t="shared" si="3"/>
        <v>vis</v>
      </c>
      <c r="E39" s="77">
        <f>VLOOKUP(C39,'Active 2'!C$21:E$970,3,FALSE)</f>
        <v>9870.0227520251083</v>
      </c>
      <c r="F39" s="3" t="s">
        <v>170</v>
      </c>
      <c r="G39" s="8" t="str">
        <f t="shared" si="4"/>
        <v>56024.9749</v>
      </c>
      <c r="H39" s="9">
        <f t="shared" si="5"/>
        <v>9870</v>
      </c>
      <c r="I39" s="78" t="s">
        <v>303</v>
      </c>
      <c r="J39" s="79" t="s">
        <v>304</v>
      </c>
      <c r="K39" s="78">
        <v>9870</v>
      </c>
      <c r="L39" s="78" t="s">
        <v>285</v>
      </c>
      <c r="M39" s="79" t="s">
        <v>196</v>
      </c>
      <c r="N39" s="79" t="s">
        <v>116</v>
      </c>
      <c r="O39" s="80" t="s">
        <v>305</v>
      </c>
      <c r="P39" s="81" t="s">
        <v>306</v>
      </c>
    </row>
    <row r="40" spans="1:16" ht="12.75" customHeight="1" thickBot="1">
      <c r="A40" s="9" t="str">
        <f t="shared" si="0"/>
        <v>IBVS 6050 </v>
      </c>
      <c r="B40" s="3" t="str">
        <f t="shared" si="1"/>
        <v>I</v>
      </c>
      <c r="C40" s="9">
        <f t="shared" si="2"/>
        <v>56061.780700000003</v>
      </c>
      <c r="D40" s="8" t="str">
        <f t="shared" si="3"/>
        <v>vis</v>
      </c>
      <c r="E40" s="77">
        <f>VLOOKUP(C40,'Active 2'!C$21:E$970,3,FALSE)</f>
        <v>9972.021105898084</v>
      </c>
      <c r="F40" s="3" t="s">
        <v>170</v>
      </c>
      <c r="G40" s="8" t="str">
        <f t="shared" si="4"/>
        <v>56061.7807</v>
      </c>
      <c r="H40" s="9">
        <f t="shared" si="5"/>
        <v>9972</v>
      </c>
      <c r="I40" s="78" t="s">
        <v>307</v>
      </c>
      <c r="J40" s="79" t="s">
        <v>308</v>
      </c>
      <c r="K40" s="78">
        <v>9972</v>
      </c>
      <c r="L40" s="78" t="s">
        <v>309</v>
      </c>
      <c r="M40" s="79" t="s">
        <v>196</v>
      </c>
      <c r="N40" s="79" t="s">
        <v>310</v>
      </c>
      <c r="O40" s="80" t="s">
        <v>305</v>
      </c>
      <c r="P40" s="81" t="s">
        <v>306</v>
      </c>
    </row>
    <row r="41" spans="1:16" ht="12.75" customHeight="1" thickBot="1">
      <c r="A41" s="9" t="str">
        <f t="shared" si="0"/>
        <v>IBVS 6050 </v>
      </c>
      <c r="B41" s="3" t="str">
        <f t="shared" si="1"/>
        <v>II</v>
      </c>
      <c r="C41" s="9">
        <f t="shared" si="2"/>
        <v>56072.790300000001</v>
      </c>
      <c r="D41" s="8" t="str">
        <f t="shared" si="3"/>
        <v>vis</v>
      </c>
      <c r="E41" s="77">
        <f>VLOOKUP(C41,'Active 2'!C$21:E$970,3,FALSE)</f>
        <v>10002.531543839921</v>
      </c>
      <c r="F41" s="3" t="s">
        <v>170</v>
      </c>
      <c r="G41" s="8" t="str">
        <f t="shared" si="4"/>
        <v>56072.7903</v>
      </c>
      <c r="H41" s="9">
        <f t="shared" si="5"/>
        <v>10002.5</v>
      </c>
      <c r="I41" s="78" t="s">
        <v>311</v>
      </c>
      <c r="J41" s="79" t="s">
        <v>312</v>
      </c>
      <c r="K41" s="78">
        <v>10002.5</v>
      </c>
      <c r="L41" s="78" t="s">
        <v>313</v>
      </c>
      <c r="M41" s="79" t="s">
        <v>196</v>
      </c>
      <c r="N41" s="79" t="s">
        <v>310</v>
      </c>
      <c r="O41" s="80" t="s">
        <v>305</v>
      </c>
      <c r="P41" s="81" t="s">
        <v>306</v>
      </c>
    </row>
    <row r="42" spans="1:16" ht="12.75" customHeight="1" thickBot="1">
      <c r="A42" s="9" t="str">
        <f t="shared" si="0"/>
        <v>OEJV 0160 </v>
      </c>
      <c r="B42" s="3" t="str">
        <f t="shared" si="1"/>
        <v>I</v>
      </c>
      <c r="C42" s="9">
        <f t="shared" si="2"/>
        <v>56096.422879999998</v>
      </c>
      <c r="D42" s="8" t="str">
        <f t="shared" si="3"/>
        <v>vis</v>
      </c>
      <c r="E42" s="77">
        <f>VLOOKUP(C42,'Active 2'!C$21:E$970,3,FALSE)</f>
        <v>10068.023511349689</v>
      </c>
      <c r="F42" s="3" t="s">
        <v>170</v>
      </c>
      <c r="G42" s="8" t="str">
        <f t="shared" si="4"/>
        <v>56096.42288</v>
      </c>
      <c r="H42" s="9">
        <f t="shared" si="5"/>
        <v>10068</v>
      </c>
      <c r="I42" s="78" t="s">
        <v>314</v>
      </c>
      <c r="J42" s="79" t="s">
        <v>315</v>
      </c>
      <c r="K42" s="78">
        <v>10068</v>
      </c>
      <c r="L42" s="78" t="s">
        <v>316</v>
      </c>
      <c r="M42" s="79" t="s">
        <v>196</v>
      </c>
      <c r="N42" s="79" t="s">
        <v>150</v>
      </c>
      <c r="O42" s="80" t="s">
        <v>295</v>
      </c>
      <c r="P42" s="81" t="s">
        <v>296</v>
      </c>
    </row>
    <row r="43" spans="1:16" ht="12.75" customHeight="1" thickBot="1">
      <c r="A43" s="9" t="str">
        <f t="shared" si="0"/>
        <v>OEJV 0160 </v>
      </c>
      <c r="B43" s="3" t="str">
        <f t="shared" si="1"/>
        <v>II</v>
      </c>
      <c r="C43" s="9">
        <f t="shared" si="2"/>
        <v>56167.3315</v>
      </c>
      <c r="D43" s="8" t="str">
        <f t="shared" si="3"/>
        <v>vis</v>
      </c>
      <c r="E43" s="77">
        <f>VLOOKUP(C43,'Active 2'!C$21:E$970,3,FALSE)</f>
        <v>10264.529565161976</v>
      </c>
      <c r="F43" s="3" t="s">
        <v>170</v>
      </c>
      <c r="G43" s="8" t="str">
        <f t="shared" si="4"/>
        <v>56167.3315</v>
      </c>
      <c r="H43" s="9">
        <f t="shared" si="5"/>
        <v>10264.5</v>
      </c>
      <c r="I43" s="78" t="s">
        <v>335</v>
      </c>
      <c r="J43" s="79" t="s">
        <v>336</v>
      </c>
      <c r="K43" s="78">
        <v>10264.5</v>
      </c>
      <c r="L43" s="78" t="s">
        <v>337</v>
      </c>
      <c r="M43" s="79" t="s">
        <v>196</v>
      </c>
      <c r="N43" s="79" t="s">
        <v>150</v>
      </c>
      <c r="O43" s="80" t="s">
        <v>295</v>
      </c>
      <c r="P43" s="81" t="s">
        <v>296</v>
      </c>
    </row>
    <row r="44" spans="1:16" ht="12.75" customHeight="1" thickBot="1">
      <c r="A44" s="9" t="str">
        <f t="shared" si="0"/>
        <v>BAVM 238 </v>
      </c>
      <c r="B44" s="3" t="str">
        <f t="shared" si="1"/>
        <v>I</v>
      </c>
      <c r="C44" s="9">
        <f t="shared" si="2"/>
        <v>56810.541299999997</v>
      </c>
      <c r="D44" s="8" t="str">
        <f t="shared" si="3"/>
        <v>vis</v>
      </c>
      <c r="E44" s="77">
        <f>VLOOKUP(C44,'Active 2'!C$21:E$970,3,FALSE)</f>
        <v>12047.029627515263</v>
      </c>
      <c r="F44" s="3" t="s">
        <v>170</v>
      </c>
      <c r="G44" s="8" t="str">
        <f t="shared" si="4"/>
        <v>56810.5413</v>
      </c>
      <c r="H44" s="9">
        <f t="shared" si="5"/>
        <v>12047</v>
      </c>
      <c r="I44" s="78" t="s">
        <v>345</v>
      </c>
      <c r="J44" s="79" t="s">
        <v>346</v>
      </c>
      <c r="K44" s="78">
        <v>12047</v>
      </c>
      <c r="L44" s="78" t="s">
        <v>337</v>
      </c>
      <c r="M44" s="79" t="s">
        <v>196</v>
      </c>
      <c r="N44" s="83" t="s">
        <v>347</v>
      </c>
      <c r="O44" s="80" t="s">
        <v>348</v>
      </c>
      <c r="P44" s="81" t="s">
        <v>349</v>
      </c>
    </row>
    <row r="45" spans="1:16" ht="12.75" customHeight="1" thickBot="1">
      <c r="A45" s="9" t="str">
        <f t="shared" si="0"/>
        <v>BAVM 238 </v>
      </c>
      <c r="B45" s="3" t="str">
        <f t="shared" si="1"/>
        <v>I</v>
      </c>
      <c r="C45" s="9">
        <f t="shared" si="2"/>
        <v>56831.472800000003</v>
      </c>
      <c r="D45" s="8" t="str">
        <f t="shared" si="3"/>
        <v>vis</v>
      </c>
      <c r="E45" s="77">
        <f>VLOOKUP(C45,'Active 2'!C$21:E$970,3,FALSE)</f>
        <v>12105.036206480881</v>
      </c>
      <c r="F45" s="3" t="s">
        <v>170</v>
      </c>
      <c r="G45" s="8" t="str">
        <f t="shared" si="4"/>
        <v>56831.4728</v>
      </c>
      <c r="H45" s="9">
        <f t="shared" si="5"/>
        <v>12105</v>
      </c>
      <c r="I45" s="78" t="s">
        <v>350</v>
      </c>
      <c r="J45" s="79" t="s">
        <v>351</v>
      </c>
      <c r="K45" s="78">
        <v>12105</v>
      </c>
      <c r="L45" s="78" t="s">
        <v>352</v>
      </c>
      <c r="M45" s="79" t="s">
        <v>196</v>
      </c>
      <c r="N45" s="83" t="s">
        <v>347</v>
      </c>
      <c r="O45" s="80" t="s">
        <v>348</v>
      </c>
      <c r="P45" s="81" t="s">
        <v>349</v>
      </c>
    </row>
    <row r="46" spans="1:16" ht="12.75" customHeight="1" thickBot="1">
      <c r="A46" s="9" t="str">
        <f t="shared" si="0"/>
        <v>VSB 51 </v>
      </c>
      <c r="B46" s="3" t="str">
        <f t="shared" si="1"/>
        <v>I</v>
      </c>
      <c r="C46" s="9">
        <f t="shared" si="2"/>
        <v>55311.218399999998</v>
      </c>
      <c r="D46" s="8" t="str">
        <f t="shared" si="3"/>
        <v>vis</v>
      </c>
      <c r="E46" s="77">
        <f>VLOOKUP(C46,'Active 2'!C$21:E$970,3,FALSE)</f>
        <v>7892.0196094189532</v>
      </c>
      <c r="F46" s="3" t="s">
        <v>170</v>
      </c>
      <c r="G46" s="8" t="str">
        <f t="shared" si="4"/>
        <v>55311.2184</v>
      </c>
      <c r="H46" s="9">
        <f t="shared" si="5"/>
        <v>7892</v>
      </c>
      <c r="I46" s="78" t="s">
        <v>270</v>
      </c>
      <c r="J46" s="79" t="s">
        <v>271</v>
      </c>
      <c r="K46" s="78">
        <v>7892</v>
      </c>
      <c r="L46" s="78" t="s">
        <v>272</v>
      </c>
      <c r="M46" s="79" t="s">
        <v>196</v>
      </c>
      <c r="N46" s="79" t="s">
        <v>170</v>
      </c>
      <c r="O46" s="80" t="s">
        <v>273</v>
      </c>
      <c r="P46" s="81" t="s">
        <v>274</v>
      </c>
    </row>
    <row r="47" spans="1:16" ht="12.75" customHeight="1" thickBot="1">
      <c r="A47" s="9" t="str">
        <f t="shared" si="0"/>
        <v>VSB 51 </v>
      </c>
      <c r="B47" s="3" t="str">
        <f t="shared" si="1"/>
        <v>II</v>
      </c>
      <c r="C47" s="9">
        <f t="shared" si="2"/>
        <v>55315.0072</v>
      </c>
      <c r="D47" s="8" t="str">
        <f t="shared" si="3"/>
        <v>vis</v>
      </c>
      <c r="E47" s="77">
        <f>VLOOKUP(C47,'Active 2'!C$21:E$970,3,FALSE)</f>
        <v>7902.5193503063711</v>
      </c>
      <c r="F47" s="3" t="s">
        <v>170</v>
      </c>
      <c r="G47" s="8" t="str">
        <f t="shared" si="4"/>
        <v>55315.0072</v>
      </c>
      <c r="H47" s="9">
        <f t="shared" si="5"/>
        <v>7902.5</v>
      </c>
      <c r="I47" s="78" t="s">
        <v>275</v>
      </c>
      <c r="J47" s="79" t="s">
        <v>276</v>
      </c>
      <c r="K47" s="78">
        <v>7902.5</v>
      </c>
      <c r="L47" s="78" t="s">
        <v>277</v>
      </c>
      <c r="M47" s="79" t="s">
        <v>196</v>
      </c>
      <c r="N47" s="79" t="s">
        <v>278</v>
      </c>
      <c r="O47" s="80" t="s">
        <v>279</v>
      </c>
      <c r="P47" s="81" t="s">
        <v>274</v>
      </c>
    </row>
    <row r="48" spans="1:16" ht="12.75" customHeight="1" thickBot="1">
      <c r="A48" s="9" t="str">
        <f t="shared" si="0"/>
        <v>VSB 51 </v>
      </c>
      <c r="B48" s="3" t="str">
        <f t="shared" si="1"/>
        <v>II</v>
      </c>
      <c r="C48" s="9">
        <f t="shared" si="2"/>
        <v>55316.090499999998</v>
      </c>
      <c r="D48" s="8" t="str">
        <f t="shared" si="3"/>
        <v>vis</v>
      </c>
      <c r="E48" s="77">
        <f>VLOOKUP(C48,'Active 2'!C$21:E$970,3,FALSE)</f>
        <v>7905.5214536909043</v>
      </c>
      <c r="F48" s="3" t="s">
        <v>170</v>
      </c>
      <c r="G48" s="8" t="str">
        <f t="shared" si="4"/>
        <v>55316.0905</v>
      </c>
      <c r="H48" s="9">
        <f t="shared" si="5"/>
        <v>7905.5</v>
      </c>
      <c r="I48" s="78" t="s">
        <v>280</v>
      </c>
      <c r="J48" s="79" t="s">
        <v>281</v>
      </c>
      <c r="K48" s="78">
        <v>7905.5</v>
      </c>
      <c r="L48" s="78" t="s">
        <v>282</v>
      </c>
      <c r="M48" s="79" t="s">
        <v>196</v>
      </c>
      <c r="N48" s="79" t="s">
        <v>278</v>
      </c>
      <c r="O48" s="80" t="s">
        <v>279</v>
      </c>
      <c r="P48" s="81" t="s">
        <v>274</v>
      </c>
    </row>
    <row r="49" spans="1:16" ht="12.75" customHeight="1" thickBot="1">
      <c r="A49" s="9" t="str">
        <f t="shared" si="0"/>
        <v>VSB 51 </v>
      </c>
      <c r="B49" s="3" t="str">
        <f t="shared" si="1"/>
        <v>II</v>
      </c>
      <c r="C49" s="9">
        <f t="shared" si="2"/>
        <v>55350.010600000001</v>
      </c>
      <c r="D49" s="8" t="str">
        <f t="shared" si="3"/>
        <v>vis</v>
      </c>
      <c r="E49" s="77">
        <f>VLOOKUP(C49,'Active 2'!C$21:E$970,3,FALSE)</f>
        <v>7999.5227894370873</v>
      </c>
      <c r="F49" s="3" t="s">
        <v>170</v>
      </c>
      <c r="G49" s="8" t="str">
        <f t="shared" si="4"/>
        <v>55350.0106</v>
      </c>
      <c r="H49" s="9">
        <f t="shared" si="5"/>
        <v>7999.5</v>
      </c>
      <c r="I49" s="78" t="s">
        <v>283</v>
      </c>
      <c r="J49" s="79" t="s">
        <v>284</v>
      </c>
      <c r="K49" s="78">
        <v>7999.5</v>
      </c>
      <c r="L49" s="78" t="s">
        <v>285</v>
      </c>
      <c r="M49" s="79" t="s">
        <v>196</v>
      </c>
      <c r="N49" s="79" t="s">
        <v>278</v>
      </c>
      <c r="O49" s="80" t="s">
        <v>279</v>
      </c>
      <c r="P49" s="81" t="s">
        <v>274</v>
      </c>
    </row>
    <row r="50" spans="1:16" ht="12.75" customHeight="1" thickBot="1">
      <c r="A50" s="9" t="str">
        <f t="shared" si="0"/>
        <v>VSB 51 </v>
      </c>
      <c r="B50" s="3" t="str">
        <f t="shared" si="1"/>
        <v>I</v>
      </c>
      <c r="C50" s="9">
        <f t="shared" si="2"/>
        <v>55350.19</v>
      </c>
      <c r="D50" s="8" t="str">
        <f t="shared" si="3"/>
        <v>vis</v>
      </c>
      <c r="E50" s="77">
        <f>VLOOKUP(C50,'Active 2'!C$21:E$970,3,FALSE)</f>
        <v>8000.0199530549107</v>
      </c>
      <c r="F50" s="3" t="s">
        <v>170</v>
      </c>
      <c r="G50" s="8" t="str">
        <f t="shared" si="4"/>
        <v>55350.1900</v>
      </c>
      <c r="H50" s="9">
        <f t="shared" si="5"/>
        <v>8000</v>
      </c>
      <c r="I50" s="78" t="s">
        <v>286</v>
      </c>
      <c r="J50" s="79" t="s">
        <v>287</v>
      </c>
      <c r="K50" s="78">
        <v>8000</v>
      </c>
      <c r="L50" s="78" t="s">
        <v>288</v>
      </c>
      <c r="M50" s="79" t="s">
        <v>196</v>
      </c>
      <c r="N50" s="79" t="s">
        <v>278</v>
      </c>
      <c r="O50" s="80" t="s">
        <v>279</v>
      </c>
      <c r="P50" s="81" t="s">
        <v>274</v>
      </c>
    </row>
    <row r="51" spans="1:16" ht="12.75" customHeight="1" thickBot="1">
      <c r="A51" s="9" t="str">
        <f t="shared" si="0"/>
        <v>VSB 51 </v>
      </c>
      <c r="B51" s="3" t="str">
        <f t="shared" si="1"/>
        <v>II</v>
      </c>
      <c r="C51" s="9">
        <f t="shared" si="2"/>
        <v>55351.092199999999</v>
      </c>
      <c r="D51" s="8" t="str">
        <f t="shared" si="3"/>
        <v>vis</v>
      </c>
      <c r="E51" s="77">
        <f>VLOOKUP(C51,'Active 2'!C$21:E$970,3,FALSE)</f>
        <v>8002.5201816836561</v>
      </c>
      <c r="F51" s="3" t="s">
        <v>170</v>
      </c>
      <c r="G51" s="8" t="str">
        <f t="shared" si="4"/>
        <v>55351.0922</v>
      </c>
      <c r="H51" s="9">
        <f t="shared" si="5"/>
        <v>8002.5</v>
      </c>
      <c r="I51" s="78" t="s">
        <v>289</v>
      </c>
      <c r="J51" s="79" t="s">
        <v>290</v>
      </c>
      <c r="K51" s="78">
        <v>8002.5</v>
      </c>
      <c r="L51" s="78" t="s">
        <v>291</v>
      </c>
      <c r="M51" s="79" t="s">
        <v>196</v>
      </c>
      <c r="N51" s="79" t="s">
        <v>170</v>
      </c>
      <c r="O51" s="80" t="s">
        <v>273</v>
      </c>
      <c r="P51" s="81" t="s">
        <v>274</v>
      </c>
    </row>
    <row r="52" spans="1:16" ht="12.75" customHeight="1" thickBot="1">
      <c r="A52" s="9" t="str">
        <f t="shared" si="0"/>
        <v>IBVS 6095 </v>
      </c>
      <c r="B52" s="3" t="str">
        <f t="shared" si="1"/>
        <v>II</v>
      </c>
      <c r="C52" s="9">
        <f t="shared" si="2"/>
        <v>56111.399400000002</v>
      </c>
      <c r="D52" s="8" t="str">
        <f t="shared" si="3"/>
        <v>vis</v>
      </c>
      <c r="E52" s="77">
        <f>VLOOKUP(C52,'Active 2'!C$21:E$970,3,FALSE)</f>
        <v>10109.527306587017</v>
      </c>
      <c r="F52" s="3" t="s">
        <v>170</v>
      </c>
      <c r="G52" s="8" t="str">
        <f t="shared" si="4"/>
        <v>56111.3994</v>
      </c>
      <c r="H52" s="9">
        <f t="shared" si="5"/>
        <v>10109.5</v>
      </c>
      <c r="I52" s="78" t="s">
        <v>317</v>
      </c>
      <c r="J52" s="79" t="s">
        <v>318</v>
      </c>
      <c r="K52" s="78">
        <v>10109.5</v>
      </c>
      <c r="L52" s="78" t="s">
        <v>319</v>
      </c>
      <c r="M52" s="79" t="s">
        <v>196</v>
      </c>
      <c r="N52" s="79" t="s">
        <v>320</v>
      </c>
      <c r="O52" s="80" t="s">
        <v>321</v>
      </c>
      <c r="P52" s="81" t="s">
        <v>322</v>
      </c>
    </row>
    <row r="53" spans="1:16" ht="12.75" customHeight="1" thickBot="1">
      <c r="A53" s="9" t="str">
        <f t="shared" si="0"/>
        <v>IBVS 6095 </v>
      </c>
      <c r="B53" s="3" t="str">
        <f t="shared" si="1"/>
        <v>I</v>
      </c>
      <c r="C53" s="9">
        <f t="shared" si="2"/>
        <v>56112.3004</v>
      </c>
      <c r="D53" s="8" t="str">
        <f t="shared" si="3"/>
        <v>vis</v>
      </c>
      <c r="E53" s="77">
        <f>VLOOKUP(C53,'Active 2'!C$21:E$970,3,FALSE)</f>
        <v>10112.024209706617</v>
      </c>
      <c r="F53" s="3" t="s">
        <v>170</v>
      </c>
      <c r="G53" s="8" t="str">
        <f t="shared" si="4"/>
        <v>56112.3004</v>
      </c>
      <c r="H53" s="9">
        <f t="shared" si="5"/>
        <v>10112</v>
      </c>
      <c r="I53" s="78" t="s">
        <v>323</v>
      </c>
      <c r="J53" s="79" t="s">
        <v>324</v>
      </c>
      <c r="K53" s="78">
        <v>10112</v>
      </c>
      <c r="L53" s="78" t="s">
        <v>325</v>
      </c>
      <c r="M53" s="79" t="s">
        <v>196</v>
      </c>
      <c r="N53" s="79" t="s">
        <v>320</v>
      </c>
      <c r="O53" s="80" t="s">
        <v>321</v>
      </c>
      <c r="P53" s="81" t="s">
        <v>322</v>
      </c>
    </row>
    <row r="54" spans="1:16" ht="12.75" customHeight="1" thickBot="1">
      <c r="A54" s="9" t="str">
        <f t="shared" si="0"/>
        <v>IBVS 6095 </v>
      </c>
      <c r="B54" s="3" t="str">
        <f t="shared" si="1"/>
        <v>II</v>
      </c>
      <c r="C54" s="9">
        <f t="shared" si="2"/>
        <v>56112.481899999999</v>
      </c>
      <c r="D54" s="8" t="str">
        <f t="shared" si="3"/>
        <v>vis</v>
      </c>
      <c r="E54" s="77">
        <f>VLOOKUP(C54,'Active 2'!C$21:E$970,3,FALSE)</f>
        <v>10112.527192965446</v>
      </c>
      <c r="F54" s="3" t="s">
        <v>170</v>
      </c>
      <c r="G54" s="8" t="str">
        <f t="shared" si="4"/>
        <v>56112.4819</v>
      </c>
      <c r="H54" s="9">
        <f t="shared" si="5"/>
        <v>10112.5</v>
      </c>
      <c r="I54" s="78" t="s">
        <v>326</v>
      </c>
      <c r="J54" s="79" t="s">
        <v>327</v>
      </c>
      <c r="K54" s="78">
        <v>10112.5</v>
      </c>
      <c r="L54" s="78" t="s">
        <v>328</v>
      </c>
      <c r="M54" s="79" t="s">
        <v>196</v>
      </c>
      <c r="N54" s="79" t="s">
        <v>320</v>
      </c>
      <c r="O54" s="80" t="s">
        <v>321</v>
      </c>
      <c r="P54" s="81" t="s">
        <v>322</v>
      </c>
    </row>
    <row r="55" spans="1:16" ht="12.75" customHeight="1" thickBot="1">
      <c r="A55" s="9" t="str">
        <f t="shared" si="0"/>
        <v>IBVS 6095 </v>
      </c>
      <c r="B55" s="3" t="str">
        <f t="shared" si="1"/>
        <v>I</v>
      </c>
      <c r="C55" s="9">
        <f t="shared" si="2"/>
        <v>56113.382700000002</v>
      </c>
      <c r="D55" s="8" t="str">
        <f t="shared" si="3"/>
        <v>vis</v>
      </c>
      <c r="E55" s="77">
        <f>VLOOKUP(C55,'Active 2'!C$21:E$970,3,FALSE)</f>
        <v>10115.023541833534</v>
      </c>
      <c r="F55" s="3" t="s">
        <v>170</v>
      </c>
      <c r="G55" s="8" t="str">
        <f t="shared" si="4"/>
        <v>56113.3827</v>
      </c>
      <c r="H55" s="9">
        <f t="shared" si="5"/>
        <v>10115</v>
      </c>
      <c r="I55" s="78" t="s">
        <v>329</v>
      </c>
      <c r="J55" s="79" t="s">
        <v>330</v>
      </c>
      <c r="K55" s="78">
        <v>10115</v>
      </c>
      <c r="L55" s="78" t="s">
        <v>331</v>
      </c>
      <c r="M55" s="79" t="s">
        <v>196</v>
      </c>
      <c r="N55" s="79" t="s">
        <v>320</v>
      </c>
      <c r="O55" s="80" t="s">
        <v>321</v>
      </c>
      <c r="P55" s="81" t="s">
        <v>322</v>
      </c>
    </row>
    <row r="56" spans="1:16" ht="12.75" customHeight="1" thickBot="1">
      <c r="A56" s="9" t="str">
        <f t="shared" si="0"/>
        <v>IBVS 6095 </v>
      </c>
      <c r="B56" s="3" t="str">
        <f t="shared" si="1"/>
        <v>I</v>
      </c>
      <c r="C56" s="9">
        <f t="shared" si="2"/>
        <v>56114.464599999999</v>
      </c>
      <c r="D56" s="8" t="str">
        <f t="shared" si="3"/>
        <v>vis</v>
      </c>
      <c r="E56" s="77">
        <f>VLOOKUP(C56,'Active 2'!C$21:E$970,3,FALSE)</f>
        <v>10118.02176545739</v>
      </c>
      <c r="F56" s="3" t="s">
        <v>170</v>
      </c>
      <c r="G56" s="8" t="str">
        <f t="shared" si="4"/>
        <v>56114.4646</v>
      </c>
      <c r="H56" s="9">
        <f t="shared" si="5"/>
        <v>10118</v>
      </c>
      <c r="I56" s="78" t="s">
        <v>332</v>
      </c>
      <c r="J56" s="79" t="s">
        <v>333</v>
      </c>
      <c r="K56" s="78">
        <v>10118</v>
      </c>
      <c r="L56" s="78" t="s">
        <v>334</v>
      </c>
      <c r="M56" s="79" t="s">
        <v>196</v>
      </c>
      <c r="N56" s="79" t="s">
        <v>320</v>
      </c>
      <c r="O56" s="80" t="s">
        <v>321</v>
      </c>
      <c r="P56" s="81" t="s">
        <v>322</v>
      </c>
    </row>
    <row r="57" spans="1:16" ht="12.75" customHeight="1" thickBot="1">
      <c r="A57" s="9" t="str">
        <f t="shared" si="0"/>
        <v>VSB 56 </v>
      </c>
      <c r="B57" s="3" t="str">
        <f t="shared" si="1"/>
        <v>I</v>
      </c>
      <c r="C57" s="9">
        <f t="shared" si="2"/>
        <v>56411.0818</v>
      </c>
      <c r="D57" s="8" t="str">
        <f t="shared" si="3"/>
        <v>vis</v>
      </c>
      <c r="E57" s="77">
        <f>VLOOKUP(C57,'Active 2'!C$21:E$970,3,FALSE)</f>
        <v>10940.024442492257</v>
      </c>
      <c r="F57" s="3" t="s">
        <v>170</v>
      </c>
      <c r="G57" s="8" t="str">
        <f t="shared" si="4"/>
        <v>56411.0818</v>
      </c>
      <c r="H57" s="9">
        <f t="shared" si="5"/>
        <v>10940</v>
      </c>
      <c r="I57" s="78" t="s">
        <v>338</v>
      </c>
      <c r="J57" s="79" t="s">
        <v>339</v>
      </c>
      <c r="K57" s="78">
        <v>10940</v>
      </c>
      <c r="L57" s="78" t="s">
        <v>340</v>
      </c>
      <c r="M57" s="79" t="s">
        <v>196</v>
      </c>
      <c r="N57" s="79" t="s">
        <v>278</v>
      </c>
      <c r="O57" s="80" t="s">
        <v>279</v>
      </c>
      <c r="P57" s="81" t="s">
        <v>341</v>
      </c>
    </row>
    <row r="58" spans="1:16" ht="12.75" customHeight="1" thickBot="1">
      <c r="A58" s="9" t="str">
        <f t="shared" si="0"/>
        <v>VSB 56 </v>
      </c>
      <c r="B58" s="3" t="str">
        <f t="shared" si="1"/>
        <v>II</v>
      </c>
      <c r="C58" s="9">
        <f t="shared" si="2"/>
        <v>56411.263700000003</v>
      </c>
      <c r="D58" s="8" t="str">
        <f t="shared" si="3"/>
        <v>vis</v>
      </c>
      <c r="E58" s="77">
        <f>VLOOKUP(C58,'Active 2'!C$21:E$970,3,FALSE)</f>
        <v>10940.528534254148</v>
      </c>
      <c r="F58" s="3" t="s">
        <v>170</v>
      </c>
      <c r="G58" s="8" t="str">
        <f t="shared" si="4"/>
        <v>56411.2637</v>
      </c>
      <c r="H58" s="9">
        <f t="shared" si="5"/>
        <v>10940.5</v>
      </c>
      <c r="I58" s="78" t="s">
        <v>342</v>
      </c>
      <c r="J58" s="79" t="s">
        <v>343</v>
      </c>
      <c r="K58" s="78">
        <v>10940.5</v>
      </c>
      <c r="L58" s="78" t="s">
        <v>344</v>
      </c>
      <c r="M58" s="79" t="s">
        <v>196</v>
      </c>
      <c r="N58" s="79" t="s">
        <v>278</v>
      </c>
      <c r="O58" s="80" t="s">
        <v>279</v>
      </c>
      <c r="P58" s="81" t="s">
        <v>341</v>
      </c>
    </row>
    <row r="59" spans="1:16">
      <c r="B59" s="3"/>
      <c r="E59" s="77"/>
      <c r="F59" s="3"/>
    </row>
    <row r="60" spans="1:16">
      <c r="B60" s="3"/>
      <c r="E60" s="77"/>
      <c r="F60" s="3"/>
    </row>
    <row r="61" spans="1:16">
      <c r="B61" s="3"/>
      <c r="E61" s="77"/>
      <c r="F61" s="3"/>
    </row>
    <row r="62" spans="1:16">
      <c r="B62" s="3"/>
      <c r="E62" s="77"/>
      <c r="F62" s="3"/>
    </row>
    <row r="63" spans="1:16">
      <c r="B63" s="3"/>
      <c r="E63" s="77"/>
      <c r="F63" s="3"/>
    </row>
    <row r="64" spans="1:16">
      <c r="B64" s="3"/>
      <c r="E64" s="77"/>
      <c r="F64" s="3"/>
    </row>
    <row r="65" spans="2:6">
      <c r="B65" s="3"/>
      <c r="E65" s="77"/>
      <c r="F65" s="3"/>
    </row>
    <row r="66" spans="2:6">
      <c r="B66" s="3"/>
      <c r="E66" s="77"/>
      <c r="F66" s="3"/>
    </row>
    <row r="67" spans="2:6">
      <c r="B67" s="3"/>
      <c r="E67" s="77"/>
      <c r="F67" s="3"/>
    </row>
    <row r="68" spans="2:6">
      <c r="B68" s="3"/>
      <c r="E68" s="77"/>
      <c r="F68" s="3"/>
    </row>
    <row r="69" spans="2:6">
      <c r="B69" s="3"/>
      <c r="E69" s="77"/>
      <c r="F69" s="3"/>
    </row>
    <row r="70" spans="2:6">
      <c r="B70" s="3"/>
      <c r="E70" s="77"/>
      <c r="F70" s="3"/>
    </row>
    <row r="71" spans="2:6">
      <c r="B71" s="3"/>
      <c r="E71" s="77"/>
      <c r="F71" s="3"/>
    </row>
    <row r="72" spans="2:6">
      <c r="B72" s="3"/>
      <c r="E72" s="77"/>
      <c r="F72" s="3"/>
    </row>
    <row r="73" spans="2:6">
      <c r="B73" s="3"/>
      <c r="E73" s="77"/>
      <c r="F73" s="3"/>
    </row>
    <row r="74" spans="2:6">
      <c r="B74" s="3"/>
      <c r="E74" s="77"/>
      <c r="F74" s="3"/>
    </row>
    <row r="75" spans="2:6">
      <c r="B75" s="3"/>
      <c r="E75" s="77"/>
      <c r="F75" s="3"/>
    </row>
    <row r="76" spans="2:6">
      <c r="B76" s="3"/>
      <c r="E76" s="77"/>
      <c r="F76" s="3"/>
    </row>
    <row r="77" spans="2:6">
      <c r="B77" s="3"/>
      <c r="E77" s="77"/>
      <c r="F77" s="3"/>
    </row>
    <row r="78" spans="2:6">
      <c r="B78" s="3"/>
      <c r="E78" s="77"/>
      <c r="F78" s="3"/>
    </row>
    <row r="79" spans="2:6">
      <c r="B79" s="3"/>
      <c r="E79" s="77"/>
      <c r="F79" s="3"/>
    </row>
    <row r="80" spans="2:6">
      <c r="B80" s="3"/>
      <c r="E80" s="77"/>
      <c r="F80" s="3"/>
    </row>
    <row r="81" spans="2:6">
      <c r="B81" s="3"/>
      <c r="E81" s="77"/>
      <c r="F81" s="3"/>
    </row>
    <row r="82" spans="2:6">
      <c r="B82" s="3"/>
      <c r="E82" s="77"/>
      <c r="F82" s="3"/>
    </row>
    <row r="83" spans="2:6">
      <c r="B83" s="3"/>
      <c r="E83" s="77"/>
      <c r="F83" s="3"/>
    </row>
    <row r="84" spans="2:6">
      <c r="B84" s="3"/>
      <c r="E84" s="77"/>
      <c r="F84" s="3"/>
    </row>
    <row r="85" spans="2:6">
      <c r="B85" s="3"/>
      <c r="E85" s="77"/>
      <c r="F85" s="3"/>
    </row>
    <row r="86" spans="2:6">
      <c r="B86" s="3"/>
      <c r="E86" s="77"/>
      <c r="F86" s="3"/>
    </row>
    <row r="87" spans="2:6">
      <c r="B87" s="3"/>
      <c r="E87" s="77"/>
      <c r="F87" s="3"/>
    </row>
    <row r="88" spans="2:6">
      <c r="B88" s="3"/>
      <c r="E88" s="77"/>
      <c r="F88" s="3"/>
    </row>
    <row r="89" spans="2:6">
      <c r="B89" s="3"/>
      <c r="E89" s="77"/>
      <c r="F89" s="3"/>
    </row>
    <row r="90" spans="2:6">
      <c r="B90" s="3"/>
      <c r="E90" s="77"/>
      <c r="F90" s="3"/>
    </row>
    <row r="91" spans="2:6">
      <c r="B91" s="3"/>
      <c r="E91" s="77"/>
      <c r="F91" s="3"/>
    </row>
    <row r="92" spans="2:6">
      <c r="B92" s="3"/>
      <c r="E92" s="77"/>
      <c r="F92" s="3"/>
    </row>
    <row r="93" spans="2:6">
      <c r="B93" s="3"/>
      <c r="E93" s="77"/>
      <c r="F93" s="3"/>
    </row>
    <row r="94" spans="2:6">
      <c r="B94" s="3"/>
      <c r="E94" s="77"/>
      <c r="F94" s="3"/>
    </row>
    <row r="95" spans="2:6">
      <c r="B95" s="3"/>
      <c r="E95" s="77"/>
      <c r="F95" s="3"/>
    </row>
    <row r="96" spans="2:6">
      <c r="B96" s="3"/>
      <c r="F96" s="3"/>
    </row>
    <row r="97" spans="2:6">
      <c r="B97" s="3"/>
      <c r="F97" s="3"/>
    </row>
    <row r="98" spans="2:6">
      <c r="B98" s="3"/>
      <c r="F98" s="3"/>
    </row>
    <row r="99" spans="2:6">
      <c r="B99" s="3"/>
      <c r="F99" s="3"/>
    </row>
    <row r="100" spans="2:6">
      <c r="B100" s="3"/>
      <c r="F100" s="3"/>
    </row>
    <row r="101" spans="2:6">
      <c r="B101" s="3"/>
      <c r="F101" s="3"/>
    </row>
    <row r="102" spans="2:6">
      <c r="B102" s="3"/>
      <c r="F102" s="3"/>
    </row>
    <row r="103" spans="2:6">
      <c r="B103" s="3"/>
      <c r="F103" s="3"/>
    </row>
    <row r="104" spans="2:6">
      <c r="B104" s="3"/>
      <c r="F104" s="3"/>
    </row>
    <row r="105" spans="2:6">
      <c r="B105" s="3"/>
      <c r="F105" s="3"/>
    </row>
    <row r="106" spans="2:6">
      <c r="B106" s="3"/>
      <c r="F106" s="3"/>
    </row>
    <row r="107" spans="2:6">
      <c r="B107" s="3"/>
      <c r="F107" s="3"/>
    </row>
    <row r="108" spans="2:6">
      <c r="B108" s="3"/>
      <c r="F108" s="3"/>
    </row>
    <row r="109" spans="2:6">
      <c r="B109" s="3"/>
      <c r="F109" s="3"/>
    </row>
    <row r="110" spans="2:6">
      <c r="B110" s="3"/>
      <c r="F110" s="3"/>
    </row>
    <row r="111" spans="2:6">
      <c r="B111" s="3"/>
      <c r="F111" s="3"/>
    </row>
    <row r="112" spans="2:6">
      <c r="B112" s="3"/>
      <c r="F112" s="3"/>
    </row>
    <row r="113" spans="2:6">
      <c r="B113" s="3"/>
      <c r="F113" s="3"/>
    </row>
    <row r="114" spans="2:6">
      <c r="B114" s="3"/>
      <c r="F114" s="3"/>
    </row>
    <row r="115" spans="2:6">
      <c r="B115" s="3"/>
      <c r="F115" s="3"/>
    </row>
    <row r="116" spans="2:6">
      <c r="B116" s="3"/>
      <c r="F116" s="3"/>
    </row>
    <row r="117" spans="2:6">
      <c r="B117" s="3"/>
      <c r="F117" s="3"/>
    </row>
    <row r="118" spans="2:6">
      <c r="B118" s="3"/>
      <c r="F118" s="3"/>
    </row>
    <row r="119" spans="2:6">
      <c r="B119" s="3"/>
      <c r="F119" s="3"/>
    </row>
    <row r="120" spans="2:6">
      <c r="B120" s="3"/>
      <c r="F120" s="3"/>
    </row>
    <row r="121" spans="2:6">
      <c r="B121" s="3"/>
      <c r="F121" s="3"/>
    </row>
    <row r="122" spans="2:6">
      <c r="B122" s="3"/>
      <c r="F122" s="3"/>
    </row>
    <row r="123" spans="2:6">
      <c r="B123" s="3"/>
      <c r="F123" s="3"/>
    </row>
    <row r="124" spans="2:6">
      <c r="B124" s="3"/>
      <c r="F124" s="3"/>
    </row>
    <row r="125" spans="2:6">
      <c r="B125" s="3"/>
      <c r="F125" s="3"/>
    </row>
    <row r="126" spans="2:6">
      <c r="B126" s="3"/>
      <c r="F126" s="3"/>
    </row>
    <row r="127" spans="2:6">
      <c r="B127" s="3"/>
      <c r="F127" s="3"/>
    </row>
    <row r="128" spans="2:6">
      <c r="B128" s="3"/>
      <c r="F128" s="3"/>
    </row>
    <row r="129" spans="2:6">
      <c r="B129" s="3"/>
      <c r="F129" s="3"/>
    </row>
    <row r="130" spans="2:6">
      <c r="B130" s="3"/>
      <c r="F130" s="3"/>
    </row>
    <row r="131" spans="2:6">
      <c r="B131" s="3"/>
      <c r="F131" s="3"/>
    </row>
    <row r="132" spans="2:6">
      <c r="B132" s="3"/>
      <c r="F132" s="3"/>
    </row>
    <row r="133" spans="2:6">
      <c r="B133" s="3"/>
      <c r="F133" s="3"/>
    </row>
    <row r="134" spans="2:6">
      <c r="B134" s="3"/>
      <c r="F134" s="3"/>
    </row>
    <row r="135" spans="2:6">
      <c r="B135" s="3"/>
      <c r="F135" s="3"/>
    </row>
    <row r="136" spans="2:6">
      <c r="B136" s="3"/>
      <c r="F136" s="3"/>
    </row>
    <row r="137" spans="2:6">
      <c r="B137" s="3"/>
      <c r="F137" s="3"/>
    </row>
    <row r="138" spans="2:6">
      <c r="B138" s="3"/>
      <c r="F138" s="3"/>
    </row>
    <row r="139" spans="2:6">
      <c r="B139" s="3"/>
      <c r="F139" s="3"/>
    </row>
    <row r="140" spans="2:6">
      <c r="B140" s="3"/>
      <c r="F140" s="3"/>
    </row>
    <row r="141" spans="2:6">
      <c r="B141" s="3"/>
      <c r="F141" s="3"/>
    </row>
    <row r="142" spans="2:6">
      <c r="B142" s="3"/>
      <c r="F142" s="3"/>
    </row>
    <row r="143" spans="2:6">
      <c r="B143" s="3"/>
      <c r="F143" s="3"/>
    </row>
    <row r="144" spans="2:6">
      <c r="B144" s="3"/>
      <c r="F144" s="3"/>
    </row>
    <row r="145" spans="2:6">
      <c r="B145" s="3"/>
      <c r="F145" s="3"/>
    </row>
    <row r="146" spans="2:6">
      <c r="B146" s="3"/>
      <c r="F146" s="3"/>
    </row>
    <row r="147" spans="2:6">
      <c r="B147" s="3"/>
      <c r="F147" s="3"/>
    </row>
    <row r="148" spans="2:6">
      <c r="B148" s="3"/>
      <c r="F148" s="3"/>
    </row>
    <row r="149" spans="2:6">
      <c r="B149" s="3"/>
      <c r="F149" s="3"/>
    </row>
    <row r="150" spans="2:6">
      <c r="B150" s="3"/>
      <c r="F150" s="3"/>
    </row>
    <row r="151" spans="2:6">
      <c r="B151" s="3"/>
      <c r="F151" s="3"/>
    </row>
    <row r="152" spans="2:6">
      <c r="B152" s="3"/>
      <c r="F152" s="3"/>
    </row>
    <row r="153" spans="2:6">
      <c r="B153" s="3"/>
      <c r="F153" s="3"/>
    </row>
    <row r="154" spans="2:6">
      <c r="B154" s="3"/>
      <c r="F154" s="3"/>
    </row>
    <row r="155" spans="2:6">
      <c r="B155" s="3"/>
      <c r="F155" s="3"/>
    </row>
    <row r="156" spans="2:6">
      <c r="B156" s="3"/>
      <c r="F156" s="3"/>
    </row>
    <row r="157" spans="2:6">
      <c r="B157" s="3"/>
      <c r="F157" s="3"/>
    </row>
    <row r="158" spans="2:6">
      <c r="B158" s="3"/>
      <c r="F158" s="3"/>
    </row>
    <row r="159" spans="2:6">
      <c r="B159" s="3"/>
      <c r="F159" s="3"/>
    </row>
    <row r="160" spans="2:6">
      <c r="B160" s="3"/>
      <c r="F160" s="3"/>
    </row>
    <row r="161" spans="2:6">
      <c r="B161" s="3"/>
      <c r="F161" s="3"/>
    </row>
    <row r="162" spans="2:6">
      <c r="B162" s="3"/>
      <c r="F162" s="3"/>
    </row>
    <row r="163" spans="2:6">
      <c r="B163" s="3"/>
      <c r="F163" s="3"/>
    </row>
    <row r="164" spans="2:6">
      <c r="B164" s="3"/>
      <c r="F164" s="3"/>
    </row>
    <row r="165" spans="2:6">
      <c r="B165" s="3"/>
      <c r="F165" s="3"/>
    </row>
    <row r="166" spans="2:6">
      <c r="B166" s="3"/>
      <c r="F166" s="3"/>
    </row>
    <row r="167" spans="2:6">
      <c r="B167" s="3"/>
      <c r="F167" s="3"/>
    </row>
    <row r="168" spans="2:6">
      <c r="B168" s="3"/>
      <c r="F168" s="3"/>
    </row>
    <row r="169" spans="2:6">
      <c r="B169" s="3"/>
      <c r="F169" s="3"/>
    </row>
    <row r="170" spans="2:6">
      <c r="B170" s="3"/>
      <c r="F170" s="3"/>
    </row>
    <row r="171" spans="2:6">
      <c r="B171" s="3"/>
      <c r="F171" s="3"/>
    </row>
    <row r="172" spans="2:6">
      <c r="B172" s="3"/>
      <c r="F172" s="3"/>
    </row>
    <row r="173" spans="2:6">
      <c r="B173" s="3"/>
      <c r="F173" s="3"/>
    </row>
    <row r="174" spans="2:6">
      <c r="B174" s="3"/>
      <c r="F174" s="3"/>
    </row>
    <row r="175" spans="2:6">
      <c r="B175" s="3"/>
      <c r="F175" s="3"/>
    </row>
    <row r="176" spans="2:6">
      <c r="B176" s="3"/>
      <c r="F176" s="3"/>
    </row>
    <row r="177" spans="2:6">
      <c r="B177" s="3"/>
      <c r="F177" s="3"/>
    </row>
    <row r="178" spans="2:6">
      <c r="B178" s="3"/>
      <c r="F178" s="3"/>
    </row>
    <row r="179" spans="2:6">
      <c r="B179" s="3"/>
      <c r="F179" s="3"/>
    </row>
    <row r="180" spans="2:6">
      <c r="B180" s="3"/>
      <c r="F180" s="3"/>
    </row>
    <row r="181" spans="2:6">
      <c r="B181" s="3"/>
      <c r="F181" s="3"/>
    </row>
    <row r="182" spans="2:6">
      <c r="B182" s="3"/>
      <c r="F182" s="3"/>
    </row>
    <row r="183" spans="2:6">
      <c r="B183" s="3"/>
      <c r="F183" s="3"/>
    </row>
    <row r="184" spans="2:6">
      <c r="B184" s="3"/>
      <c r="F184" s="3"/>
    </row>
    <row r="185" spans="2:6">
      <c r="B185" s="3"/>
      <c r="F185" s="3"/>
    </row>
    <row r="186" spans="2:6">
      <c r="B186" s="3"/>
      <c r="F186" s="3"/>
    </row>
    <row r="187" spans="2:6">
      <c r="B187" s="3"/>
      <c r="F187" s="3"/>
    </row>
    <row r="188" spans="2:6">
      <c r="B188" s="3"/>
      <c r="F188" s="3"/>
    </row>
    <row r="189" spans="2:6">
      <c r="B189" s="3"/>
      <c r="F189" s="3"/>
    </row>
    <row r="190" spans="2:6">
      <c r="B190" s="3"/>
      <c r="F190" s="3"/>
    </row>
    <row r="191" spans="2:6">
      <c r="B191" s="3"/>
      <c r="F191" s="3"/>
    </row>
    <row r="192" spans="2:6">
      <c r="B192" s="3"/>
      <c r="F192" s="3"/>
    </row>
    <row r="193" spans="2:6">
      <c r="B193" s="3"/>
      <c r="F193" s="3"/>
    </row>
    <row r="194" spans="2:6">
      <c r="B194" s="3"/>
      <c r="F194" s="3"/>
    </row>
    <row r="195" spans="2:6">
      <c r="B195" s="3"/>
      <c r="F195" s="3"/>
    </row>
    <row r="196" spans="2:6">
      <c r="B196" s="3"/>
      <c r="F196" s="3"/>
    </row>
    <row r="197" spans="2:6">
      <c r="B197" s="3"/>
      <c r="F197" s="3"/>
    </row>
    <row r="198" spans="2:6">
      <c r="B198" s="3"/>
      <c r="F198" s="3"/>
    </row>
    <row r="199" spans="2:6">
      <c r="B199" s="3"/>
      <c r="F199" s="3"/>
    </row>
    <row r="200" spans="2:6">
      <c r="B200" s="3"/>
      <c r="F200" s="3"/>
    </row>
    <row r="201" spans="2:6">
      <c r="B201" s="3"/>
      <c r="F201" s="3"/>
    </row>
    <row r="202" spans="2:6">
      <c r="B202" s="3"/>
      <c r="F202" s="3"/>
    </row>
    <row r="203" spans="2:6">
      <c r="B203" s="3"/>
      <c r="F203" s="3"/>
    </row>
    <row r="204" spans="2:6">
      <c r="B204" s="3"/>
      <c r="F204" s="3"/>
    </row>
    <row r="205" spans="2:6">
      <c r="B205" s="3"/>
      <c r="F205" s="3"/>
    </row>
    <row r="206" spans="2:6">
      <c r="B206" s="3"/>
      <c r="F206" s="3"/>
    </row>
    <row r="207" spans="2:6">
      <c r="B207" s="3"/>
      <c r="F207" s="3"/>
    </row>
    <row r="208" spans="2:6">
      <c r="B208" s="3"/>
      <c r="F208" s="3"/>
    </row>
    <row r="209" spans="2:6">
      <c r="B209" s="3"/>
      <c r="F209" s="3"/>
    </row>
    <row r="210" spans="2:6">
      <c r="B210" s="3"/>
      <c r="F210" s="3"/>
    </row>
    <row r="211" spans="2:6">
      <c r="B211" s="3"/>
      <c r="F211" s="3"/>
    </row>
    <row r="212" spans="2:6">
      <c r="B212" s="3"/>
      <c r="F212" s="3"/>
    </row>
    <row r="213" spans="2:6">
      <c r="B213" s="3"/>
      <c r="F213" s="3"/>
    </row>
    <row r="214" spans="2:6">
      <c r="B214" s="3"/>
      <c r="F214" s="3"/>
    </row>
    <row r="215" spans="2:6">
      <c r="B215" s="3"/>
      <c r="F215" s="3"/>
    </row>
    <row r="216" spans="2:6">
      <c r="B216" s="3"/>
      <c r="F216" s="3"/>
    </row>
    <row r="217" spans="2:6">
      <c r="B217" s="3"/>
      <c r="F217" s="3"/>
    </row>
    <row r="218" spans="2:6">
      <c r="B218" s="3"/>
      <c r="F218" s="3"/>
    </row>
    <row r="219" spans="2:6">
      <c r="B219" s="3"/>
      <c r="F219" s="3"/>
    </row>
    <row r="220" spans="2:6">
      <c r="B220" s="3"/>
      <c r="F220" s="3"/>
    </row>
    <row r="221" spans="2:6">
      <c r="B221" s="3"/>
      <c r="F221" s="3"/>
    </row>
    <row r="222" spans="2:6">
      <c r="B222" s="3"/>
      <c r="F222" s="3"/>
    </row>
    <row r="223" spans="2:6">
      <c r="B223" s="3"/>
      <c r="F223" s="3"/>
    </row>
    <row r="224" spans="2:6">
      <c r="B224" s="3"/>
      <c r="F224" s="3"/>
    </row>
    <row r="225" spans="2:6">
      <c r="B225" s="3"/>
      <c r="F225" s="3"/>
    </row>
    <row r="226" spans="2:6">
      <c r="B226" s="3"/>
      <c r="F226" s="3"/>
    </row>
    <row r="227" spans="2:6">
      <c r="B227" s="3"/>
      <c r="F227" s="3"/>
    </row>
    <row r="228" spans="2:6">
      <c r="B228" s="3"/>
      <c r="F228" s="3"/>
    </row>
    <row r="229" spans="2:6">
      <c r="B229" s="3"/>
      <c r="F229" s="3"/>
    </row>
    <row r="230" spans="2:6">
      <c r="B230" s="3"/>
      <c r="F230" s="3"/>
    </row>
    <row r="231" spans="2:6">
      <c r="B231" s="3"/>
      <c r="F231" s="3"/>
    </row>
    <row r="232" spans="2:6">
      <c r="B232" s="3"/>
      <c r="F232" s="3"/>
    </row>
    <row r="233" spans="2:6">
      <c r="B233" s="3"/>
      <c r="F233" s="3"/>
    </row>
    <row r="234" spans="2:6">
      <c r="B234" s="3"/>
      <c r="F234" s="3"/>
    </row>
    <row r="235" spans="2:6">
      <c r="B235" s="3"/>
      <c r="F235" s="3"/>
    </row>
    <row r="236" spans="2:6">
      <c r="B236" s="3"/>
      <c r="F236" s="3"/>
    </row>
    <row r="237" spans="2:6">
      <c r="B237" s="3"/>
      <c r="F237" s="3"/>
    </row>
    <row r="238" spans="2:6">
      <c r="B238" s="3"/>
      <c r="F238" s="3"/>
    </row>
    <row r="239" spans="2:6">
      <c r="B239" s="3"/>
      <c r="F239" s="3"/>
    </row>
    <row r="240" spans="2:6">
      <c r="B240" s="3"/>
      <c r="F240" s="3"/>
    </row>
    <row r="241" spans="2:6">
      <c r="B241" s="3"/>
      <c r="F241" s="3"/>
    </row>
    <row r="242" spans="2:6">
      <c r="B242" s="3"/>
      <c r="F242" s="3"/>
    </row>
    <row r="243" spans="2:6">
      <c r="B243" s="3"/>
      <c r="F243" s="3"/>
    </row>
    <row r="244" spans="2:6">
      <c r="B244" s="3"/>
      <c r="F244" s="3"/>
    </row>
    <row r="245" spans="2:6">
      <c r="B245" s="3"/>
      <c r="F245" s="3"/>
    </row>
    <row r="246" spans="2:6">
      <c r="B246" s="3"/>
      <c r="F246" s="3"/>
    </row>
    <row r="247" spans="2:6">
      <c r="B247" s="3"/>
      <c r="F247" s="3"/>
    </row>
    <row r="248" spans="2:6">
      <c r="B248" s="3"/>
      <c r="F248" s="3"/>
    </row>
    <row r="249" spans="2:6">
      <c r="B249" s="3"/>
      <c r="F249" s="3"/>
    </row>
    <row r="250" spans="2:6">
      <c r="B250" s="3"/>
      <c r="F250" s="3"/>
    </row>
    <row r="251" spans="2:6">
      <c r="B251" s="3"/>
      <c r="F251" s="3"/>
    </row>
    <row r="252" spans="2:6">
      <c r="B252" s="3"/>
      <c r="F252" s="3"/>
    </row>
    <row r="253" spans="2:6">
      <c r="B253" s="3"/>
      <c r="F253" s="3"/>
    </row>
    <row r="254" spans="2:6">
      <c r="B254" s="3"/>
      <c r="F254" s="3"/>
    </row>
    <row r="255" spans="2:6">
      <c r="B255" s="3"/>
      <c r="F255" s="3"/>
    </row>
    <row r="256" spans="2:6">
      <c r="B256" s="3"/>
      <c r="F256" s="3"/>
    </row>
    <row r="257" spans="2:6">
      <c r="B257" s="3"/>
      <c r="F257" s="3"/>
    </row>
    <row r="258" spans="2:6">
      <c r="B258" s="3"/>
      <c r="F258" s="3"/>
    </row>
    <row r="259" spans="2:6">
      <c r="B259" s="3"/>
      <c r="F259" s="3"/>
    </row>
    <row r="260" spans="2:6">
      <c r="B260" s="3"/>
      <c r="F260" s="3"/>
    </row>
    <row r="261" spans="2:6">
      <c r="B261" s="3"/>
      <c r="F261" s="3"/>
    </row>
    <row r="262" spans="2:6">
      <c r="B262" s="3"/>
      <c r="F262" s="3"/>
    </row>
    <row r="263" spans="2:6">
      <c r="B263" s="3"/>
      <c r="F263" s="3"/>
    </row>
    <row r="264" spans="2:6">
      <c r="B264" s="3"/>
      <c r="F264" s="3"/>
    </row>
    <row r="265" spans="2:6">
      <c r="B265" s="3"/>
      <c r="F265" s="3"/>
    </row>
    <row r="266" spans="2:6">
      <c r="B266" s="3"/>
      <c r="F266" s="3"/>
    </row>
    <row r="267" spans="2:6">
      <c r="B267" s="3"/>
      <c r="F267" s="3"/>
    </row>
    <row r="268" spans="2:6">
      <c r="B268" s="3"/>
      <c r="F268" s="3"/>
    </row>
    <row r="269" spans="2:6">
      <c r="B269" s="3"/>
      <c r="F269" s="3"/>
    </row>
    <row r="270" spans="2:6">
      <c r="B270" s="3"/>
      <c r="F270" s="3"/>
    </row>
    <row r="271" spans="2:6">
      <c r="B271" s="3"/>
      <c r="F271" s="3"/>
    </row>
    <row r="272" spans="2: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  <row r="766" spans="2:6">
      <c r="B766" s="3"/>
      <c r="F766" s="3"/>
    </row>
    <row r="767" spans="2:6">
      <c r="B767" s="3"/>
      <c r="F767" s="3"/>
    </row>
    <row r="768" spans="2:6">
      <c r="B768" s="3"/>
      <c r="F768" s="3"/>
    </row>
    <row r="769" spans="2:6">
      <c r="B769" s="3"/>
      <c r="F769" s="3"/>
    </row>
    <row r="770" spans="2:6">
      <c r="B770" s="3"/>
      <c r="F770" s="3"/>
    </row>
    <row r="771" spans="2:6">
      <c r="B771" s="3"/>
      <c r="F771" s="3"/>
    </row>
    <row r="772" spans="2:6">
      <c r="B772" s="3"/>
      <c r="F772" s="3"/>
    </row>
    <row r="773" spans="2:6">
      <c r="B773" s="3"/>
      <c r="F773" s="3"/>
    </row>
    <row r="774" spans="2:6">
      <c r="B774" s="3"/>
      <c r="F774" s="3"/>
    </row>
    <row r="775" spans="2:6">
      <c r="B775" s="3"/>
      <c r="F775" s="3"/>
    </row>
    <row r="776" spans="2:6">
      <c r="B776" s="3"/>
      <c r="F776" s="3"/>
    </row>
    <row r="777" spans="2:6">
      <c r="B777" s="3"/>
      <c r="F777" s="3"/>
    </row>
    <row r="778" spans="2:6">
      <c r="B778" s="3"/>
      <c r="F778" s="3"/>
    </row>
    <row r="779" spans="2:6">
      <c r="B779" s="3"/>
      <c r="F779" s="3"/>
    </row>
    <row r="780" spans="2:6">
      <c r="B780" s="3"/>
      <c r="F780" s="3"/>
    </row>
    <row r="781" spans="2:6">
      <c r="B781" s="3"/>
      <c r="F781" s="3"/>
    </row>
    <row r="782" spans="2:6">
      <c r="B782" s="3"/>
      <c r="F782" s="3"/>
    </row>
    <row r="783" spans="2:6">
      <c r="B783" s="3"/>
      <c r="F783" s="3"/>
    </row>
    <row r="784" spans="2:6">
      <c r="B784" s="3"/>
      <c r="F784" s="3"/>
    </row>
    <row r="785" spans="2:6">
      <c r="B785" s="3"/>
      <c r="F785" s="3"/>
    </row>
    <row r="786" spans="2:6">
      <c r="B786" s="3"/>
      <c r="F786" s="3"/>
    </row>
    <row r="787" spans="2:6">
      <c r="B787" s="3"/>
      <c r="F787" s="3"/>
    </row>
    <row r="788" spans="2:6">
      <c r="B788" s="3"/>
      <c r="F788" s="3"/>
    </row>
    <row r="789" spans="2:6">
      <c r="B789" s="3"/>
      <c r="F789" s="3"/>
    </row>
    <row r="790" spans="2:6">
      <c r="B790" s="3"/>
      <c r="F790" s="3"/>
    </row>
    <row r="791" spans="2:6">
      <c r="B791" s="3"/>
      <c r="F791" s="3"/>
    </row>
    <row r="792" spans="2:6">
      <c r="B792" s="3"/>
      <c r="F792" s="3"/>
    </row>
    <row r="793" spans="2:6">
      <c r="B793" s="3"/>
      <c r="F793" s="3"/>
    </row>
    <row r="794" spans="2:6">
      <c r="B794" s="3"/>
      <c r="F794" s="3"/>
    </row>
    <row r="795" spans="2:6">
      <c r="B795" s="3"/>
      <c r="F795" s="3"/>
    </row>
    <row r="796" spans="2:6">
      <c r="B796" s="3"/>
      <c r="F796" s="3"/>
    </row>
    <row r="797" spans="2:6">
      <c r="B797" s="3"/>
      <c r="F797" s="3"/>
    </row>
    <row r="798" spans="2:6">
      <c r="B798" s="3"/>
      <c r="F798" s="3"/>
    </row>
    <row r="799" spans="2:6">
      <c r="B799" s="3"/>
      <c r="F799" s="3"/>
    </row>
    <row r="800" spans="2:6">
      <c r="B800" s="3"/>
      <c r="F800" s="3"/>
    </row>
    <row r="801" spans="2:6">
      <c r="B801" s="3"/>
      <c r="F801" s="3"/>
    </row>
    <row r="802" spans="2:6">
      <c r="B802" s="3"/>
      <c r="F802" s="3"/>
    </row>
    <row r="803" spans="2:6">
      <c r="B803" s="3"/>
      <c r="F803" s="3"/>
    </row>
    <row r="804" spans="2:6">
      <c r="B804" s="3"/>
      <c r="F804" s="3"/>
    </row>
    <row r="805" spans="2:6">
      <c r="B805" s="3"/>
      <c r="F805" s="3"/>
    </row>
    <row r="806" spans="2:6">
      <c r="B806" s="3"/>
      <c r="F806" s="3"/>
    </row>
    <row r="807" spans="2:6">
      <c r="B807" s="3"/>
      <c r="F807" s="3"/>
    </row>
    <row r="808" spans="2:6">
      <c r="B808" s="3"/>
      <c r="F808" s="3"/>
    </row>
    <row r="809" spans="2:6">
      <c r="B809" s="3"/>
      <c r="F809" s="3"/>
    </row>
    <row r="810" spans="2:6">
      <c r="B810" s="3"/>
      <c r="F810" s="3"/>
    </row>
    <row r="811" spans="2:6">
      <c r="B811" s="3"/>
      <c r="F811" s="3"/>
    </row>
    <row r="812" spans="2:6">
      <c r="B812" s="3"/>
      <c r="F812" s="3"/>
    </row>
    <row r="813" spans="2:6">
      <c r="B813" s="3"/>
      <c r="F813" s="3"/>
    </row>
    <row r="814" spans="2:6">
      <c r="B814" s="3"/>
      <c r="F814" s="3"/>
    </row>
    <row r="815" spans="2:6">
      <c r="B815" s="3"/>
      <c r="F815" s="3"/>
    </row>
    <row r="816" spans="2:6">
      <c r="B816" s="3"/>
      <c r="F816" s="3"/>
    </row>
    <row r="817" spans="2:6">
      <c r="B817" s="3"/>
      <c r="F817" s="3"/>
    </row>
    <row r="818" spans="2:6">
      <c r="B818" s="3"/>
      <c r="F818" s="3"/>
    </row>
    <row r="819" spans="2:6">
      <c r="B819" s="3"/>
      <c r="F819" s="3"/>
    </row>
    <row r="820" spans="2:6">
      <c r="B820" s="3"/>
      <c r="F820" s="3"/>
    </row>
    <row r="821" spans="2:6">
      <c r="B821" s="3"/>
      <c r="F821" s="3"/>
    </row>
    <row r="822" spans="2:6">
      <c r="B822" s="3"/>
      <c r="F822" s="3"/>
    </row>
    <row r="823" spans="2:6">
      <c r="B823" s="3"/>
      <c r="F823" s="3"/>
    </row>
    <row r="824" spans="2:6">
      <c r="B824" s="3"/>
      <c r="F824" s="3"/>
    </row>
    <row r="825" spans="2:6">
      <c r="B825" s="3"/>
      <c r="F825" s="3"/>
    </row>
    <row r="826" spans="2:6">
      <c r="B826" s="3"/>
      <c r="F826" s="3"/>
    </row>
    <row r="827" spans="2:6">
      <c r="B827" s="3"/>
      <c r="F827" s="3"/>
    </row>
    <row r="828" spans="2:6">
      <c r="B828" s="3"/>
      <c r="F828" s="3"/>
    </row>
    <row r="829" spans="2:6">
      <c r="B829" s="3"/>
      <c r="F829" s="3"/>
    </row>
    <row r="830" spans="2:6">
      <c r="B830" s="3"/>
      <c r="F830" s="3"/>
    </row>
    <row r="831" spans="2:6">
      <c r="B831" s="3"/>
      <c r="F831" s="3"/>
    </row>
    <row r="832" spans="2:6">
      <c r="B832" s="3"/>
      <c r="F832" s="3"/>
    </row>
    <row r="833" spans="2:6">
      <c r="B833" s="3"/>
      <c r="F833" s="3"/>
    </row>
    <row r="834" spans="2:6">
      <c r="B834" s="3"/>
      <c r="F834" s="3"/>
    </row>
    <row r="835" spans="2:6">
      <c r="B835" s="3"/>
      <c r="F835" s="3"/>
    </row>
    <row r="836" spans="2:6">
      <c r="B836" s="3"/>
      <c r="F836" s="3"/>
    </row>
    <row r="837" spans="2:6">
      <c r="B837" s="3"/>
      <c r="F837" s="3"/>
    </row>
    <row r="838" spans="2:6">
      <c r="B838" s="3"/>
      <c r="F838" s="3"/>
    </row>
    <row r="839" spans="2:6">
      <c r="B839" s="3"/>
      <c r="F839" s="3"/>
    </row>
    <row r="840" spans="2:6">
      <c r="B840" s="3"/>
      <c r="F840" s="3"/>
    </row>
    <row r="841" spans="2:6">
      <c r="B841" s="3"/>
      <c r="F841" s="3"/>
    </row>
    <row r="842" spans="2:6">
      <c r="B842" s="3"/>
      <c r="F842" s="3"/>
    </row>
    <row r="843" spans="2:6">
      <c r="B843" s="3"/>
      <c r="F843" s="3"/>
    </row>
    <row r="844" spans="2:6">
      <c r="B844" s="3"/>
      <c r="F844" s="3"/>
    </row>
    <row r="845" spans="2:6">
      <c r="B845" s="3"/>
      <c r="F845" s="3"/>
    </row>
    <row r="846" spans="2:6">
      <c r="B846" s="3"/>
      <c r="F846" s="3"/>
    </row>
    <row r="847" spans="2:6">
      <c r="B847" s="3"/>
      <c r="F847" s="3"/>
    </row>
    <row r="848" spans="2:6">
      <c r="B848" s="3"/>
      <c r="F848" s="3"/>
    </row>
    <row r="849" spans="2:6">
      <c r="B849" s="3"/>
      <c r="F849" s="3"/>
    </row>
    <row r="850" spans="2:6">
      <c r="B850" s="3"/>
      <c r="F850" s="3"/>
    </row>
    <row r="851" spans="2:6">
      <c r="B851" s="3"/>
      <c r="F851" s="3"/>
    </row>
    <row r="852" spans="2:6">
      <c r="B852" s="3"/>
      <c r="F852" s="3"/>
    </row>
    <row r="853" spans="2:6">
      <c r="B853" s="3"/>
      <c r="F853" s="3"/>
    </row>
    <row r="854" spans="2:6">
      <c r="B854" s="3"/>
      <c r="F854" s="3"/>
    </row>
    <row r="855" spans="2:6">
      <c r="B855" s="3"/>
      <c r="F855" s="3"/>
    </row>
    <row r="856" spans="2:6">
      <c r="B856" s="3"/>
      <c r="F856" s="3"/>
    </row>
    <row r="857" spans="2:6">
      <c r="B857" s="3"/>
      <c r="F857" s="3"/>
    </row>
    <row r="858" spans="2:6">
      <c r="B858" s="3"/>
      <c r="F858" s="3"/>
    </row>
    <row r="859" spans="2:6">
      <c r="B859" s="3"/>
      <c r="F859" s="3"/>
    </row>
    <row r="860" spans="2:6">
      <c r="B860" s="3"/>
      <c r="F860" s="3"/>
    </row>
    <row r="861" spans="2:6">
      <c r="B861" s="3"/>
      <c r="F861" s="3"/>
    </row>
    <row r="862" spans="2:6">
      <c r="B862" s="3"/>
      <c r="F862" s="3"/>
    </row>
    <row r="863" spans="2:6">
      <c r="B863" s="3"/>
      <c r="F863" s="3"/>
    </row>
    <row r="864" spans="2:6">
      <c r="B864" s="3"/>
      <c r="F864" s="3"/>
    </row>
    <row r="865" spans="2:6">
      <c r="B865" s="3"/>
      <c r="F865" s="3"/>
    </row>
    <row r="866" spans="2:6">
      <c r="B866" s="3"/>
      <c r="F866" s="3"/>
    </row>
    <row r="867" spans="2:6">
      <c r="B867" s="3"/>
      <c r="F867" s="3"/>
    </row>
    <row r="868" spans="2:6">
      <c r="B868" s="3"/>
      <c r="F868" s="3"/>
    </row>
    <row r="869" spans="2:6">
      <c r="B869" s="3"/>
      <c r="F869" s="3"/>
    </row>
    <row r="870" spans="2:6">
      <c r="B870" s="3"/>
      <c r="F870" s="3"/>
    </row>
    <row r="871" spans="2:6">
      <c r="B871" s="3"/>
      <c r="F871" s="3"/>
    </row>
    <row r="872" spans="2:6">
      <c r="B872" s="3"/>
      <c r="F872" s="3"/>
    </row>
    <row r="873" spans="2:6">
      <c r="B873" s="3"/>
      <c r="F873" s="3"/>
    </row>
    <row r="874" spans="2:6">
      <c r="B874" s="3"/>
      <c r="F874" s="3"/>
    </row>
    <row r="875" spans="2:6">
      <c r="B875" s="3"/>
      <c r="F875" s="3"/>
    </row>
    <row r="876" spans="2:6">
      <c r="B876" s="3"/>
      <c r="F876" s="3"/>
    </row>
    <row r="877" spans="2:6">
      <c r="B877" s="3"/>
      <c r="F877" s="3"/>
    </row>
    <row r="878" spans="2:6">
      <c r="B878" s="3"/>
      <c r="F878" s="3"/>
    </row>
    <row r="879" spans="2:6">
      <c r="B879" s="3"/>
      <c r="F879" s="3"/>
    </row>
    <row r="880" spans="2:6">
      <c r="B880" s="3"/>
      <c r="F880" s="3"/>
    </row>
    <row r="881" spans="2:6">
      <c r="B881" s="3"/>
      <c r="F881" s="3"/>
    </row>
    <row r="882" spans="2:6">
      <c r="B882" s="3"/>
      <c r="F882" s="3"/>
    </row>
    <row r="883" spans="2:6">
      <c r="B883" s="3"/>
      <c r="F883" s="3"/>
    </row>
  </sheetData>
  <phoneticPr fontId="8" type="noConversion"/>
  <hyperlinks>
    <hyperlink ref="P12" r:id="rId1" display="http://var.astro.cz/oejv/issues/oejv0074.pdf"/>
    <hyperlink ref="P13" r:id="rId2" display="http://var.astro.cz/oejv/issues/oejv0074.pdf"/>
    <hyperlink ref="P14" r:id="rId3" display="http://var.astro.cz/oejv/issues/oejv0074.pdf"/>
    <hyperlink ref="P15" r:id="rId4" display="http://var.astro.cz/oejv/issues/oejv0074.pdf"/>
    <hyperlink ref="P16" r:id="rId5" display="http://var.astro.cz/oejv/issues/oejv0074.pdf"/>
    <hyperlink ref="P17" r:id="rId6" display="http://var.astro.cz/oejv/issues/oejv0074.pdf"/>
    <hyperlink ref="P18" r:id="rId7" display="http://var.astro.cz/oejv/issues/oejv0074.pdf"/>
    <hyperlink ref="P19" r:id="rId8" display="http://var.astro.cz/oejv/issues/oejv0074.pdf"/>
    <hyperlink ref="P20" r:id="rId9" display="http://var.astro.cz/oejv/issues/oejv0074.pdf"/>
    <hyperlink ref="P21" r:id="rId10" display="http://var.astro.cz/oejv/issues/oejv0074.pdf"/>
    <hyperlink ref="P22" r:id="rId11" display="http://var.astro.cz/oejv/issues/oejv0074.pdf"/>
    <hyperlink ref="P23" r:id="rId12" display="http://var.astro.cz/oejv/issues/oejv0074.pdf"/>
    <hyperlink ref="P24" r:id="rId13" display="http://var.astro.cz/oejv/issues/oejv0074.pdf"/>
    <hyperlink ref="P25" r:id="rId14" display="http://www.konkoly.hu/cgi-bin/IBVS?5781"/>
    <hyperlink ref="P26" r:id="rId15" display="http://www.konkoly.hu/cgi-bin/IBVS?5781"/>
    <hyperlink ref="P27" r:id="rId16" display="http://var.astro.cz/oejv/issues/oejv0074.pdf"/>
    <hyperlink ref="P28" r:id="rId17" display="http://var.astro.cz/oejv/issues/oejv0074.pdf"/>
    <hyperlink ref="P29" r:id="rId18" display="http://var.astro.cz/oejv/issues/oejv0074.pdf"/>
    <hyperlink ref="P30" r:id="rId19" display="http://var.astro.cz/oejv/issues/oejv0107.pdf"/>
    <hyperlink ref="P31" r:id="rId20" display="http://var.astro.cz/oejv/issues/oejv0107.pdf"/>
    <hyperlink ref="P32" r:id="rId21" display="http://var.astro.cz/oejv/issues/oejv0107.pdf"/>
    <hyperlink ref="P33" r:id="rId22" display="http://www.konkoly.hu/cgi-bin/IBVS?5894"/>
    <hyperlink ref="P34" r:id="rId23" display="http://www.konkoly.hu/cgi-bin/IBVS?5920"/>
    <hyperlink ref="P35" r:id="rId24" display="http://www.konkoly.hu/cgi-bin/IBVS?5920"/>
    <hyperlink ref="P46" r:id="rId25" display="http://vsolj.cetus-net.org/vsoljno51.pdf"/>
    <hyperlink ref="P47" r:id="rId26" display="http://vsolj.cetus-net.org/vsoljno51.pdf"/>
    <hyperlink ref="P48" r:id="rId27" display="http://vsolj.cetus-net.org/vsoljno51.pdf"/>
    <hyperlink ref="P49" r:id="rId28" display="http://vsolj.cetus-net.org/vsoljno51.pdf"/>
    <hyperlink ref="P50" r:id="rId29" display="http://vsolj.cetus-net.org/vsoljno51.pdf"/>
    <hyperlink ref="P51" r:id="rId30" display="http://vsolj.cetus-net.org/vsoljno51.pdf"/>
    <hyperlink ref="P36" r:id="rId31" display="http://var.astro.cz/oejv/issues/oejv0160.pdf"/>
    <hyperlink ref="P37" r:id="rId32" display="http://www.konkoly.hu/cgi-bin/IBVS?5992"/>
    <hyperlink ref="P38" r:id="rId33" display="http://var.astro.cz/oejv/issues/oejv0160.pdf"/>
    <hyperlink ref="P39" r:id="rId34" display="http://www.konkoly.hu/cgi-bin/IBVS?6050"/>
    <hyperlink ref="P40" r:id="rId35" display="http://www.konkoly.hu/cgi-bin/IBVS?6050"/>
    <hyperlink ref="P41" r:id="rId36" display="http://www.konkoly.hu/cgi-bin/IBVS?6050"/>
    <hyperlink ref="P42" r:id="rId37" display="http://var.astro.cz/oejv/issues/oejv0160.pdf"/>
    <hyperlink ref="P52" r:id="rId38" display="http://www.konkoly.hu/cgi-bin/IBVS?6095"/>
    <hyperlink ref="P53" r:id="rId39" display="http://www.konkoly.hu/cgi-bin/IBVS?6095"/>
    <hyperlink ref="P54" r:id="rId40" display="http://www.konkoly.hu/cgi-bin/IBVS?6095"/>
    <hyperlink ref="P55" r:id="rId41" display="http://www.konkoly.hu/cgi-bin/IBVS?6095"/>
    <hyperlink ref="P56" r:id="rId42" display="http://www.konkoly.hu/cgi-bin/IBVS?6095"/>
    <hyperlink ref="P43" r:id="rId43" display="http://var.astro.cz/oejv/issues/oejv0160.pdf"/>
    <hyperlink ref="P57" r:id="rId44" display="http://vsolj.cetus-net.org/vsoljno56.pdf"/>
    <hyperlink ref="P58" r:id="rId45" display="http://vsolj.cetus-net.org/vsoljno56.pdf"/>
    <hyperlink ref="P44" r:id="rId46" display="http://www.bav-astro.de/sfs/BAVM_link.php?BAVMnr=238"/>
    <hyperlink ref="P45" r:id="rId47" display="http://www.bav-astro.de/sfs/BAVM_link.php?BAVMnr=238"/>
    <hyperlink ref="P11" r:id="rId48" display="http://www.bav-astro.de/sfs/BAVM_link.php?BAVMnr=241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35"/>
  <sheetViews>
    <sheetView workbookViewId="0">
      <selection activeCell="I11" sqref="I11"/>
    </sheetView>
  </sheetViews>
  <sheetFormatPr defaultRowHeight="12.75"/>
  <cols>
    <col min="2" max="2" width="10.7109375" customWidth="1"/>
    <col min="5" max="5" width="10.7109375" customWidth="1"/>
    <col min="6" max="6" width="12.42578125" bestFit="1" customWidth="1"/>
  </cols>
  <sheetData>
    <row r="1" spans="1:35" ht="18.75" thickBot="1">
      <c r="A1" s="113" t="s">
        <v>35</v>
      </c>
      <c r="B1" s="8"/>
      <c r="C1" s="8"/>
      <c r="D1" s="15" t="s">
        <v>101</v>
      </c>
      <c r="E1" s="8"/>
      <c r="F1" s="8"/>
      <c r="G1" s="8"/>
      <c r="H1" s="8"/>
      <c r="I1" s="8"/>
      <c r="J1" s="8"/>
      <c r="K1" s="8"/>
      <c r="L1" s="8"/>
      <c r="M1" s="114" t="s">
        <v>102</v>
      </c>
      <c r="N1" s="8" t="s">
        <v>103</v>
      </c>
      <c r="O1" s="8">
        <f ca="1">H18*J18-I18*I18</f>
        <v>396.05254682588293</v>
      </c>
      <c r="P1" s="8" t="s">
        <v>42</v>
      </c>
      <c r="Q1" s="8"/>
      <c r="R1" s="8"/>
      <c r="S1" s="8"/>
      <c r="T1" s="8"/>
      <c r="U1" s="7" t="s">
        <v>160</v>
      </c>
      <c r="V1" s="42" t="s">
        <v>162</v>
      </c>
      <c r="W1" s="8"/>
      <c r="X1" s="8"/>
      <c r="Y1" s="8"/>
      <c r="Z1" s="8"/>
      <c r="AA1" s="8">
        <v>1</v>
      </c>
      <c r="AB1" s="8" t="s">
        <v>104</v>
      </c>
      <c r="AC1" s="8"/>
      <c r="AD1" s="8"/>
      <c r="AE1" s="8"/>
      <c r="AF1" s="8"/>
      <c r="AG1" s="8"/>
      <c r="AH1" s="8"/>
      <c r="AI1" s="8"/>
    </row>
    <row r="2" spans="1: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14" t="s">
        <v>105</v>
      </c>
      <c r="N2" s="8" t="s">
        <v>106</v>
      </c>
      <c r="O2" s="8">
        <f ca="1">+F18*J18-H18*I18</f>
        <v>870.69357114334616</v>
      </c>
      <c r="P2" s="8" t="s">
        <v>43</v>
      </c>
      <c r="Q2" s="8"/>
      <c r="R2" s="8"/>
      <c r="S2" s="8"/>
      <c r="T2" s="8"/>
      <c r="U2" s="8">
        <v>-6</v>
      </c>
      <c r="V2" s="8">
        <f t="shared" ref="V2:V28" ca="1" si="0">+E$4+E$5*U2+E$6*U2^2</f>
        <v>0.29705803154294619</v>
      </c>
      <c r="W2" s="8"/>
      <c r="X2" s="8"/>
      <c r="Y2" s="8"/>
      <c r="Z2" s="8"/>
      <c r="AA2" s="8">
        <v>2</v>
      </c>
      <c r="AB2" s="8" t="s">
        <v>107</v>
      </c>
      <c r="AC2" s="8"/>
      <c r="AD2" s="8"/>
      <c r="AE2" s="8"/>
      <c r="AF2" s="8"/>
      <c r="AG2" s="8"/>
      <c r="AH2" s="8"/>
      <c r="AI2" s="8"/>
    </row>
    <row r="3" spans="1:35" ht="13.5" thickBot="1">
      <c r="A3" s="8" t="s">
        <v>108</v>
      </c>
      <c r="B3" s="8" t="s">
        <v>109</v>
      </c>
      <c r="C3" s="8"/>
      <c r="D3" s="8"/>
      <c r="E3" s="115" t="s">
        <v>110</v>
      </c>
      <c r="F3" s="115" t="s">
        <v>111</v>
      </c>
      <c r="G3" s="115" t="s">
        <v>112</v>
      </c>
      <c r="H3" s="115" t="s">
        <v>113</v>
      </c>
      <c r="I3" s="8"/>
      <c r="J3" s="8"/>
      <c r="K3" s="8"/>
      <c r="L3" s="8"/>
      <c r="M3" s="114" t="s">
        <v>114</v>
      </c>
      <c r="N3" s="8" t="s">
        <v>115</v>
      </c>
      <c r="O3" s="8">
        <f ca="1">+F18*I18-H18*H18</f>
        <v>420.24785098246412</v>
      </c>
      <c r="P3" s="8" t="s">
        <v>44</v>
      </c>
      <c r="Q3" s="8"/>
      <c r="R3" s="8"/>
      <c r="S3" s="8"/>
      <c r="T3" s="8"/>
      <c r="U3" s="8">
        <v>-5.5</v>
      </c>
      <c r="V3" s="8">
        <f t="shared" ca="1" si="0"/>
        <v>0.24912366741983341</v>
      </c>
      <c r="W3" s="8"/>
      <c r="X3" s="8"/>
      <c r="Y3" s="8"/>
      <c r="Z3" s="8"/>
      <c r="AA3" s="8">
        <v>3</v>
      </c>
      <c r="AB3" s="8" t="s">
        <v>116</v>
      </c>
      <c r="AC3" s="8"/>
      <c r="AD3" s="8"/>
      <c r="AE3" s="8"/>
      <c r="AF3" s="8"/>
      <c r="AG3" s="8"/>
      <c r="AH3" s="8"/>
      <c r="AI3" s="8"/>
    </row>
    <row r="4" spans="1:35">
      <c r="A4" s="8" t="s">
        <v>117</v>
      </c>
      <c r="B4" s="8" t="s">
        <v>118</v>
      </c>
      <c r="C4" s="8"/>
      <c r="D4" s="116" t="s">
        <v>119</v>
      </c>
      <c r="E4" s="29">
        <f ca="1">(G18*O1-K18*O2+L18*O3)/O7</f>
        <v>-1.2537118775276374E-4</v>
      </c>
      <c r="F4" s="117">
        <f ca="1">+E7/O7*O18</f>
        <v>2.780058980684608E-4</v>
      </c>
      <c r="G4" s="118">
        <f>+B18</f>
        <v>1</v>
      </c>
      <c r="H4" s="119">
        <f ca="1">ABS(F4/E4)</f>
        <v>2.2174624253915334</v>
      </c>
      <c r="I4" s="8"/>
      <c r="J4" s="8"/>
      <c r="K4" s="8"/>
      <c r="L4" s="8"/>
      <c r="M4" s="114" t="s">
        <v>120</v>
      </c>
      <c r="N4" s="8" t="s">
        <v>121</v>
      </c>
      <c r="O4" s="8">
        <f ca="1">+C18*J18-H18*H18</f>
        <v>3309.8949146919049</v>
      </c>
      <c r="P4" s="8" t="s">
        <v>45</v>
      </c>
      <c r="Q4" s="8"/>
      <c r="R4" s="8"/>
      <c r="S4" s="8"/>
      <c r="T4" s="8"/>
      <c r="U4" s="8">
        <v>-5</v>
      </c>
      <c r="V4" s="8">
        <f t="shared" ca="1" si="0"/>
        <v>0.2054018633989427</v>
      </c>
      <c r="W4" s="8"/>
      <c r="X4" s="8"/>
      <c r="Y4" s="8"/>
      <c r="Z4" s="8"/>
      <c r="AA4" s="8">
        <v>4</v>
      </c>
      <c r="AB4" s="8" t="s">
        <v>122</v>
      </c>
      <c r="AC4" s="8"/>
      <c r="AD4" s="8"/>
      <c r="AE4" s="8"/>
      <c r="AF4" s="8"/>
      <c r="AG4" s="8"/>
      <c r="AH4" s="8"/>
      <c r="AI4" s="8"/>
    </row>
    <row r="5" spans="1:35">
      <c r="A5" s="8" t="s">
        <v>123</v>
      </c>
      <c r="B5" s="30">
        <v>40323</v>
      </c>
      <c r="C5" s="8"/>
      <c r="D5" s="120" t="s">
        <v>124</v>
      </c>
      <c r="E5" s="31">
        <f ca="1">+(-G18*O2+K18*O4-L18*O5)/O7</f>
        <v>1.0201541048812518E-3</v>
      </c>
      <c r="F5" s="121">
        <f ca="1">P18*E7/O7</f>
        <v>8.1095514868672041E-4</v>
      </c>
      <c r="G5" s="122">
        <f>+B18/A18</f>
        <v>1E-4</v>
      </c>
      <c r="H5" s="119">
        <f ca="1">ABS(F5/E5)</f>
        <v>0.79493396615908085</v>
      </c>
      <c r="I5" s="8"/>
      <c r="J5" s="8"/>
      <c r="K5" s="8"/>
      <c r="L5" s="8"/>
      <c r="M5" s="114" t="s">
        <v>125</v>
      </c>
      <c r="N5" s="8" t="s">
        <v>126</v>
      </c>
      <c r="O5" s="8">
        <f ca="1">+C18*I18-F18*H18</f>
        <v>2011.6511299557101</v>
      </c>
      <c r="P5" s="8" t="s">
        <v>46</v>
      </c>
      <c r="Q5" s="8"/>
      <c r="R5" s="8"/>
      <c r="S5" s="8"/>
      <c r="T5" s="8"/>
      <c r="U5" s="8">
        <v>-4.5</v>
      </c>
      <c r="V5" s="8">
        <f t="shared" ca="1" si="0"/>
        <v>0.16589261948027401</v>
      </c>
      <c r="W5" s="8"/>
      <c r="X5" s="8"/>
      <c r="Y5" s="8"/>
      <c r="Z5" s="8"/>
      <c r="AA5" s="8">
        <v>5</v>
      </c>
      <c r="AB5" s="8" t="s">
        <v>127</v>
      </c>
      <c r="AC5" s="8"/>
      <c r="AD5" s="8"/>
      <c r="AE5" s="8"/>
      <c r="AF5" s="8"/>
      <c r="AG5" s="8"/>
      <c r="AH5" s="8"/>
      <c r="AI5" s="8"/>
    </row>
    <row r="6" spans="1:35" ht="13.5" thickBot="1">
      <c r="A6" s="8"/>
      <c r="B6" s="8"/>
      <c r="C6" s="8"/>
      <c r="D6" s="123" t="s">
        <v>128</v>
      </c>
      <c r="E6" s="32">
        <f ca="1">+(G18*O3-K18*O5+L18*O6)/O7</f>
        <v>8.4251202044440688E-3</v>
      </c>
      <c r="F6" s="124">
        <f ca="1">Q18*E7/O7</f>
        <v>5.2169933279054125E-4</v>
      </c>
      <c r="G6" s="125">
        <f>+B18/A18^2</f>
        <v>1E-8</v>
      </c>
      <c r="H6" s="119">
        <f ca="1">ABS(F6/E6)</f>
        <v>6.1921885994618349E-2</v>
      </c>
      <c r="I6" s="8"/>
      <c r="J6" s="8"/>
      <c r="K6" s="8"/>
      <c r="L6" s="8"/>
      <c r="M6" s="126" t="s">
        <v>129</v>
      </c>
      <c r="N6" s="33" t="s">
        <v>130</v>
      </c>
      <c r="O6" s="33">
        <f ca="1">+C18*H18-F18*F18</f>
        <v>1356.2941127863992</v>
      </c>
      <c r="P6" s="8" t="s">
        <v>47</v>
      </c>
      <c r="Q6" s="8"/>
      <c r="R6" s="8"/>
      <c r="S6" s="8"/>
      <c r="T6" s="8"/>
      <c r="U6" s="8">
        <v>-4</v>
      </c>
      <c r="V6" s="8">
        <f t="shared" ca="1" si="0"/>
        <v>0.13059593566382732</v>
      </c>
      <c r="W6" s="8"/>
      <c r="X6" s="8"/>
      <c r="Y6" s="8"/>
      <c r="Z6" s="8"/>
      <c r="AA6" s="8">
        <v>6</v>
      </c>
      <c r="AB6" s="8" t="s">
        <v>131</v>
      </c>
      <c r="AC6" s="8"/>
      <c r="AD6" s="8"/>
      <c r="AE6" s="8"/>
      <c r="AF6" s="8"/>
      <c r="AG6" s="8"/>
      <c r="AH6" s="8"/>
      <c r="AI6" s="8"/>
    </row>
    <row r="7" spans="1:35">
      <c r="A7" s="8"/>
      <c r="B7" s="8"/>
      <c r="C7" s="8"/>
      <c r="D7" s="127" t="s">
        <v>132</v>
      </c>
      <c r="E7" s="34">
        <f ca="1">SQRT(N18/(B15-3))</f>
        <v>1.0936744341994297E-3</v>
      </c>
      <c r="F7" s="8"/>
      <c r="G7" s="128">
        <f>+B22</f>
        <v>6.680000078631565E-4</v>
      </c>
      <c r="H7" s="8"/>
      <c r="I7" s="8"/>
      <c r="J7" s="8"/>
      <c r="K7" s="8"/>
      <c r="L7" s="8"/>
      <c r="M7" s="114" t="s">
        <v>133</v>
      </c>
      <c r="N7" s="35" t="s">
        <v>134</v>
      </c>
      <c r="O7" s="8">
        <f ca="1">+C18*O1-F18*O2+H18*O3</f>
        <v>5883.6531660396977</v>
      </c>
      <c r="P7" s="8"/>
      <c r="Q7" s="8"/>
      <c r="R7" s="8"/>
      <c r="S7" s="8"/>
      <c r="T7" s="8"/>
      <c r="U7" s="8">
        <v>-3.5</v>
      </c>
      <c r="V7" s="8">
        <f t="shared" ca="1" si="0"/>
        <v>9.9511811949602694E-2</v>
      </c>
      <c r="W7" s="8"/>
      <c r="X7" s="8"/>
      <c r="Y7" s="8"/>
      <c r="Z7" s="8"/>
      <c r="AA7" s="8">
        <v>7</v>
      </c>
      <c r="AB7" s="8" t="s">
        <v>135</v>
      </c>
      <c r="AC7" s="8"/>
      <c r="AD7" s="8"/>
      <c r="AE7" s="8"/>
      <c r="AF7" s="8"/>
      <c r="AG7" s="8"/>
      <c r="AH7" s="8"/>
      <c r="AI7" s="8"/>
    </row>
    <row r="8" spans="1:35">
      <c r="A8" s="129">
        <v>21</v>
      </c>
      <c r="B8" s="8" t="s">
        <v>140</v>
      </c>
      <c r="C8" s="130">
        <v>21</v>
      </c>
      <c r="D8" s="127" t="s">
        <v>136</v>
      </c>
      <c r="E8" s="8"/>
      <c r="F8" s="131">
        <f ca="1">CORREL(INDIRECT(E12):INDIRECT(E13),INDIRECT(M12):INDIRECT(M13))</f>
        <v>0.98679347602019429</v>
      </c>
      <c r="G8" s="34"/>
      <c r="H8" s="8"/>
      <c r="I8" s="8"/>
      <c r="J8" s="8"/>
      <c r="K8" s="128"/>
      <c r="L8" s="8"/>
      <c r="M8" s="8"/>
      <c r="N8" s="35"/>
      <c r="O8" s="8"/>
      <c r="P8" s="8"/>
      <c r="Q8" s="8"/>
      <c r="R8" s="8"/>
      <c r="S8" s="8"/>
      <c r="T8" s="8"/>
      <c r="U8" s="8">
        <v>-3</v>
      </c>
      <c r="V8" s="8">
        <f t="shared" ca="1" si="0"/>
        <v>7.2640248337600105E-2</v>
      </c>
      <c r="W8" s="8"/>
      <c r="X8" s="8"/>
      <c r="Y8" s="8"/>
      <c r="Z8" s="8"/>
      <c r="AA8" s="8">
        <v>8</v>
      </c>
      <c r="AB8" s="8" t="s">
        <v>137</v>
      </c>
      <c r="AC8" s="8"/>
      <c r="AD8" s="8"/>
      <c r="AE8" s="8"/>
      <c r="AF8" s="8"/>
      <c r="AG8" s="8"/>
      <c r="AH8" s="8"/>
      <c r="AI8" s="8"/>
    </row>
    <row r="9" spans="1:35">
      <c r="A9" s="129">
        <f>20+COUNT(A21:A1440)</f>
        <v>99</v>
      </c>
      <c r="B9" s="8" t="s">
        <v>142</v>
      </c>
      <c r="C9" s="130">
        <f>A9</f>
        <v>99</v>
      </c>
      <c r="D9" s="8"/>
      <c r="E9" s="36">
        <f ca="1">E6*G6</f>
        <v>8.4251202044440694E-11</v>
      </c>
      <c r="F9" s="37">
        <f ca="1">H6</f>
        <v>6.1921885994618349E-2</v>
      </c>
      <c r="G9" s="38">
        <f ca="1">F8</f>
        <v>0.98679347602019429</v>
      </c>
      <c r="H9" s="8"/>
      <c r="I9" s="8"/>
      <c r="J9" s="8"/>
      <c r="K9" s="128"/>
      <c r="L9" s="8"/>
      <c r="M9" s="8"/>
      <c r="N9" s="35"/>
      <c r="O9" s="8"/>
      <c r="P9" s="8"/>
      <c r="Q9" s="8"/>
      <c r="R9" s="8"/>
      <c r="S9" s="8"/>
      <c r="T9" s="8"/>
      <c r="U9" s="8">
        <v>-2.5</v>
      </c>
      <c r="V9" s="8">
        <f t="shared" ca="1" si="0"/>
        <v>4.9981244827819536E-2</v>
      </c>
      <c r="W9" s="8"/>
      <c r="X9" s="8"/>
      <c r="Y9" s="8"/>
      <c r="Z9" s="8"/>
      <c r="AA9" s="8">
        <v>9</v>
      </c>
      <c r="AB9" s="8" t="s">
        <v>80</v>
      </c>
      <c r="AC9" s="8"/>
      <c r="AD9" s="8"/>
      <c r="AE9" s="8"/>
      <c r="AF9" s="8"/>
      <c r="AG9" s="8"/>
      <c r="AH9" s="8"/>
      <c r="AI9" s="8"/>
    </row>
    <row r="10" spans="1:35">
      <c r="A10" s="132" t="s">
        <v>53</v>
      </c>
      <c r="B10" s="133">
        <v>0.33189215</v>
      </c>
      <c r="C10" s="8"/>
      <c r="D10" s="8" t="s">
        <v>36</v>
      </c>
      <c r="E10" s="8">
        <f ca="1">2*E9*365.2422/B10</f>
        <v>1.8543430079533979E-7</v>
      </c>
      <c r="F10">
        <f ca="1">+F9*E10</f>
        <v>1.1482441633340797E-8</v>
      </c>
      <c r="G10" s="8" t="s">
        <v>37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-2</v>
      </c>
      <c r="V10" s="8">
        <f t="shared" ca="1" si="0"/>
        <v>3.1534801420261008E-2</v>
      </c>
      <c r="W10" s="8"/>
      <c r="X10" s="8"/>
      <c r="Y10" s="8"/>
      <c r="Z10" s="8"/>
      <c r="AA10" s="8">
        <v>10</v>
      </c>
      <c r="AB10" s="8" t="s">
        <v>138</v>
      </c>
      <c r="AC10" s="8"/>
      <c r="AD10" s="8"/>
      <c r="AE10" s="8"/>
      <c r="AF10" s="8"/>
      <c r="AG10" s="8"/>
      <c r="AH10" s="8"/>
      <c r="AI10" s="8"/>
    </row>
    <row r="11" spans="1:35">
      <c r="A11" s="39"/>
      <c r="B11" s="3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-1.5</v>
      </c>
      <c r="V11" s="8">
        <f t="shared" ca="1" si="0"/>
        <v>1.7300918114924513E-2</v>
      </c>
      <c r="W11" s="8"/>
      <c r="X11" s="8"/>
      <c r="Y11" s="8"/>
      <c r="Z11" s="8"/>
      <c r="AA11" s="8">
        <v>11</v>
      </c>
      <c r="AB11" s="8" t="s">
        <v>139</v>
      </c>
      <c r="AC11" s="8"/>
      <c r="AD11" s="8"/>
      <c r="AE11" s="8"/>
      <c r="AF11" s="8"/>
      <c r="AG11" s="8"/>
      <c r="AH11" s="8"/>
      <c r="AI11" s="8"/>
    </row>
    <row r="12" spans="1:35">
      <c r="A12" s="8"/>
      <c r="B12" s="8"/>
      <c r="C12" s="3" t="str">
        <f t="shared" ref="C12:Q13" si="1">C$15&amp;$C8</f>
        <v>C21</v>
      </c>
      <c r="D12" s="3" t="str">
        <f t="shared" si="1"/>
        <v>D21</v>
      </c>
      <c r="E12" s="3" t="str">
        <f t="shared" si="1"/>
        <v>E21</v>
      </c>
      <c r="F12" s="3" t="str">
        <f t="shared" si="1"/>
        <v>F21</v>
      </c>
      <c r="G12" s="3" t="str">
        <f t="shared" ref="G12:Q12" si="2">G15&amp;$C8</f>
        <v>G21</v>
      </c>
      <c r="H12" s="3" t="str">
        <f t="shared" si="2"/>
        <v>H21</v>
      </c>
      <c r="I12" s="3" t="str">
        <f t="shared" si="2"/>
        <v>I21</v>
      </c>
      <c r="J12" s="3" t="str">
        <f t="shared" si="2"/>
        <v>J21</v>
      </c>
      <c r="K12" s="3" t="str">
        <f t="shared" si="2"/>
        <v>K21</v>
      </c>
      <c r="L12" s="3" t="str">
        <f t="shared" si="2"/>
        <v>L21</v>
      </c>
      <c r="M12" s="3" t="str">
        <f t="shared" si="2"/>
        <v>M21</v>
      </c>
      <c r="N12" s="3" t="str">
        <f t="shared" si="2"/>
        <v>N21</v>
      </c>
      <c r="O12" s="3" t="str">
        <f t="shared" si="2"/>
        <v>O21</v>
      </c>
      <c r="P12" s="3" t="str">
        <f t="shared" si="2"/>
        <v>P21</v>
      </c>
      <c r="Q12" s="3" t="str">
        <f t="shared" si="2"/>
        <v>Q21</v>
      </c>
      <c r="R12" s="8"/>
      <c r="S12" s="8"/>
      <c r="T12" s="8"/>
      <c r="U12" s="8">
        <v>-1</v>
      </c>
      <c r="V12" s="8">
        <f t="shared" ca="1" si="0"/>
        <v>7.2795949118100532E-3</v>
      </c>
      <c r="W12" s="8"/>
      <c r="X12" s="8"/>
      <c r="Y12" s="8"/>
      <c r="Z12" s="8"/>
      <c r="AA12" s="8">
        <v>12</v>
      </c>
      <c r="AB12" s="8" t="s">
        <v>141</v>
      </c>
      <c r="AC12" s="8"/>
      <c r="AD12" s="8"/>
      <c r="AE12" s="8"/>
      <c r="AF12" s="8"/>
      <c r="AG12" s="8"/>
      <c r="AH12" s="8"/>
      <c r="AI12" s="8"/>
    </row>
    <row r="13" spans="1:35">
      <c r="A13" s="8"/>
      <c r="B13" s="8"/>
      <c r="C13" s="3" t="str">
        <f t="shared" si="1"/>
        <v>C99</v>
      </c>
      <c r="D13" s="3" t="str">
        <f t="shared" si="1"/>
        <v>D99</v>
      </c>
      <c r="E13" s="3" t="str">
        <f t="shared" si="1"/>
        <v>E99</v>
      </c>
      <c r="F13" s="3" t="str">
        <f t="shared" si="1"/>
        <v>F99</v>
      </c>
      <c r="G13" s="3" t="str">
        <f t="shared" si="1"/>
        <v>G99</v>
      </c>
      <c r="H13" s="3" t="str">
        <f t="shared" si="1"/>
        <v>H99</v>
      </c>
      <c r="I13" s="3" t="str">
        <f t="shared" si="1"/>
        <v>I99</v>
      </c>
      <c r="J13" s="3" t="str">
        <f t="shared" si="1"/>
        <v>J99</v>
      </c>
      <c r="K13" s="3" t="str">
        <f t="shared" si="1"/>
        <v>K99</v>
      </c>
      <c r="L13" s="3" t="str">
        <f t="shared" si="1"/>
        <v>L99</v>
      </c>
      <c r="M13" s="3" t="str">
        <f t="shared" si="1"/>
        <v>M99</v>
      </c>
      <c r="N13" s="3" t="str">
        <f t="shared" si="1"/>
        <v>N99</v>
      </c>
      <c r="O13" s="3" t="str">
        <f t="shared" si="1"/>
        <v>O99</v>
      </c>
      <c r="P13" s="3" t="str">
        <f t="shared" si="1"/>
        <v>P99</v>
      </c>
      <c r="Q13" s="3" t="str">
        <f t="shared" si="1"/>
        <v>Q99</v>
      </c>
      <c r="R13" s="8"/>
      <c r="S13" s="8"/>
      <c r="T13" s="8"/>
      <c r="U13" s="8">
        <v>-0.5</v>
      </c>
      <c r="V13" s="8">
        <f t="shared" ca="1" si="0"/>
        <v>1.4708318109176275E-3</v>
      </c>
      <c r="W13" s="8"/>
      <c r="X13" s="8"/>
      <c r="Y13" s="8"/>
      <c r="Z13" s="8"/>
      <c r="AA13" s="8">
        <v>13</v>
      </c>
      <c r="AB13" s="8" t="s">
        <v>143</v>
      </c>
      <c r="AC13" s="8"/>
      <c r="AD13" s="8"/>
      <c r="AE13" s="8"/>
      <c r="AF13" s="8"/>
      <c r="AG13" s="8"/>
      <c r="AH13" s="8"/>
      <c r="AI13" s="8"/>
    </row>
    <row r="14" spans="1: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5"/>
      <c r="P14" s="8"/>
      <c r="Q14" s="8"/>
      <c r="R14" s="8"/>
      <c r="S14" s="8"/>
      <c r="T14" s="8"/>
      <c r="U14" s="8">
        <v>0</v>
      </c>
      <c r="V14" s="8">
        <f t="shared" ca="1" si="0"/>
        <v>-1.2537118775276374E-4</v>
      </c>
      <c r="W14" s="8"/>
      <c r="X14" s="8"/>
      <c r="Y14" s="8"/>
      <c r="Z14" s="8"/>
      <c r="AA14" s="8">
        <v>14</v>
      </c>
      <c r="AB14" s="8" t="s">
        <v>144</v>
      </c>
      <c r="AC14" s="8"/>
      <c r="AD14" s="8"/>
      <c r="AE14" s="8"/>
      <c r="AF14" s="8"/>
      <c r="AG14" s="8"/>
      <c r="AH14" s="8"/>
      <c r="AI14" s="8"/>
    </row>
    <row r="15" spans="1:35">
      <c r="A15" s="15" t="s">
        <v>148</v>
      </c>
      <c r="B15" s="15">
        <f>C9-C8+1</f>
        <v>79</v>
      </c>
      <c r="C15" s="3" t="str">
        <f t="shared" ref="C15:Q15" si="3">VLOOKUP(C16,$AA1:$AB25,2,FALSE)</f>
        <v>C</v>
      </c>
      <c r="D15" s="3" t="str">
        <f t="shared" si="3"/>
        <v>D</v>
      </c>
      <c r="E15" s="3" t="str">
        <f t="shared" si="3"/>
        <v>E</v>
      </c>
      <c r="F15" s="3" t="str">
        <f t="shared" si="3"/>
        <v>F</v>
      </c>
      <c r="G15" s="3" t="str">
        <f t="shared" si="3"/>
        <v>G</v>
      </c>
      <c r="H15" s="3" t="str">
        <f t="shared" si="3"/>
        <v>H</v>
      </c>
      <c r="I15" s="3" t="str">
        <f t="shared" si="3"/>
        <v>I</v>
      </c>
      <c r="J15" s="3" t="str">
        <f t="shared" si="3"/>
        <v>J</v>
      </c>
      <c r="K15" s="3" t="str">
        <f t="shared" si="3"/>
        <v>K</v>
      </c>
      <c r="L15" s="3" t="str">
        <f t="shared" si="3"/>
        <v>L</v>
      </c>
      <c r="M15" s="3" t="str">
        <f t="shared" si="3"/>
        <v>M</v>
      </c>
      <c r="N15" s="3" t="str">
        <f t="shared" si="3"/>
        <v>N</v>
      </c>
      <c r="O15" s="3" t="str">
        <f t="shared" si="3"/>
        <v>O</v>
      </c>
      <c r="P15" s="3" t="str">
        <f t="shared" si="3"/>
        <v>P</v>
      </c>
      <c r="Q15" s="3" t="str">
        <f t="shared" si="3"/>
        <v>Q</v>
      </c>
      <c r="R15" s="8"/>
      <c r="S15" s="8"/>
      <c r="T15" s="8"/>
      <c r="U15" s="8">
        <v>0.5</v>
      </c>
      <c r="V15" s="8">
        <f t="shared" ca="1" si="0"/>
        <v>2.4909859157988793E-3</v>
      </c>
      <c r="W15" s="8"/>
      <c r="X15" s="8"/>
      <c r="Y15" s="8"/>
      <c r="Z15" s="8"/>
      <c r="AA15" s="8">
        <v>15</v>
      </c>
      <c r="AB15" s="8" t="s">
        <v>145</v>
      </c>
      <c r="AC15" s="8"/>
      <c r="AD15" s="8"/>
      <c r="AE15" s="8"/>
      <c r="AF15" s="8"/>
      <c r="AG15" s="8"/>
      <c r="AH15" s="8"/>
      <c r="AI15" s="8"/>
    </row>
    <row r="16" spans="1:35">
      <c r="A16" s="3"/>
      <c r="B16" s="39"/>
      <c r="C16" s="3">
        <f>COLUMN()</f>
        <v>3</v>
      </c>
      <c r="D16" s="3">
        <f>COLUMN()</f>
        <v>4</v>
      </c>
      <c r="E16" s="3">
        <f>COLUMN()</f>
        <v>5</v>
      </c>
      <c r="F16" s="3">
        <f>COLUMN()</f>
        <v>6</v>
      </c>
      <c r="G16" s="3">
        <f>COLUMN()</f>
        <v>7</v>
      </c>
      <c r="H16" s="3">
        <f>COLUMN()</f>
        <v>8</v>
      </c>
      <c r="I16" s="3">
        <f>COLUMN()</f>
        <v>9</v>
      </c>
      <c r="J16" s="3">
        <f>COLUMN()</f>
        <v>10</v>
      </c>
      <c r="K16" s="3">
        <f>COLUMN()</f>
        <v>11</v>
      </c>
      <c r="L16" s="3">
        <f>COLUMN()</f>
        <v>12</v>
      </c>
      <c r="M16" s="3">
        <f>COLUMN()</f>
        <v>13</v>
      </c>
      <c r="N16" s="3">
        <f>COLUMN()</f>
        <v>14</v>
      </c>
      <c r="O16" s="3">
        <f>COLUMN()</f>
        <v>15</v>
      </c>
      <c r="P16" s="3">
        <f>COLUMN()</f>
        <v>16</v>
      </c>
      <c r="Q16" s="3">
        <f>COLUMN()</f>
        <v>17</v>
      </c>
      <c r="R16" s="8"/>
      <c r="S16" s="8"/>
      <c r="T16" s="8"/>
      <c r="U16" s="8">
        <v>1</v>
      </c>
      <c r="V16" s="8">
        <f t="shared" ca="1" si="0"/>
        <v>9.3199031215725568E-3</v>
      </c>
      <c r="W16" s="8"/>
      <c r="X16" s="8"/>
      <c r="Y16" s="8"/>
      <c r="Z16" s="8"/>
      <c r="AA16" s="8">
        <v>16</v>
      </c>
      <c r="AB16" s="8" t="s">
        <v>146</v>
      </c>
      <c r="AC16" s="8"/>
      <c r="AD16" s="8"/>
      <c r="AE16" s="8"/>
      <c r="AF16" s="8"/>
      <c r="AG16" s="8"/>
      <c r="AH16" s="8"/>
      <c r="AI16" s="8"/>
    </row>
    <row r="17" spans="1:35">
      <c r="A17" s="15" t="s">
        <v>147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1.5</v>
      </c>
      <c r="V17" s="8">
        <f t="shared" ca="1" si="0"/>
        <v>2.0361380429568268E-2</v>
      </c>
      <c r="W17" s="8"/>
      <c r="X17" s="8"/>
      <c r="Y17" s="8"/>
      <c r="Z17" s="8"/>
      <c r="AA17" s="8">
        <v>17</v>
      </c>
      <c r="AB17" s="8" t="s">
        <v>149</v>
      </c>
      <c r="AC17" s="8"/>
      <c r="AD17" s="8"/>
      <c r="AE17" s="8"/>
      <c r="AF17" s="8"/>
      <c r="AG17" s="8"/>
      <c r="AH17" s="8"/>
      <c r="AI17" s="8"/>
    </row>
    <row r="18" spans="1:35">
      <c r="A18" s="40">
        <v>10000</v>
      </c>
      <c r="B18" s="40">
        <v>1</v>
      </c>
      <c r="C18" s="8">
        <f ca="1">SUM(INDIRECT(C12):INDIRECT(C13))</f>
        <v>75.2</v>
      </c>
      <c r="D18" s="134">
        <f ca="1">SUM(INDIRECT(D12):INDIRECT(D13))</f>
        <v>59.81945000000001</v>
      </c>
      <c r="E18" s="134">
        <f ca="1">SUM(INDIRECT(E12):INDIRECT(E13))</f>
        <v>0.59254850022989558</v>
      </c>
      <c r="F18" s="15">
        <f ca="1">SUM(INDIRECT(F12):INDIRECT(F13))</f>
        <v>57.026560000000011</v>
      </c>
      <c r="G18" s="15">
        <f ca="1">SUM(INDIRECT(G12):INDIRECT(G13))</f>
        <v>0.5650468002124398</v>
      </c>
      <c r="H18" s="15">
        <f ca="1">SUM(INDIRECT(H12):INDIRECT(H13))</f>
        <v>61.280886412500003</v>
      </c>
      <c r="I18" s="15">
        <f ca="1">SUM(INDIRECT(I12):INDIRECT(I13))</f>
        <v>73.221931859193177</v>
      </c>
      <c r="J18" s="15">
        <f ca="1">SUM(INDIRECT(J12):INDIRECT(J13))</f>
        <v>93.952685561085531</v>
      </c>
      <c r="K18" s="15">
        <f ca="1">SUM(INDIRECT(K12):INDIRECT(K13))</f>
        <v>0.67227003777912864</v>
      </c>
      <c r="L18" s="15">
        <f ca="1">SUM(INDIRECT(L12):INDIRECT(L13))</f>
        <v>0.85857746621988873</v>
      </c>
      <c r="M18" s="8"/>
      <c r="N18" s="8">
        <f ca="1">SUM(INDIRECT(N12):INDIRECT(N13))</f>
        <v>9.0905406369629649E-5</v>
      </c>
      <c r="O18" s="8">
        <f ca="1">SQRT(SUM(INDIRECT(O12):INDIRECT(O13)))</f>
        <v>1495.5915866731723</v>
      </c>
      <c r="P18" s="8">
        <f ca="1">SQRT(SUM(INDIRECT(P12):INDIRECT(P13)))</f>
        <v>4362.7049137154499</v>
      </c>
      <c r="Q18" s="8">
        <f ca="1">SQRT(SUM(INDIRECT(Q12):INDIRECT(Q13)))</f>
        <v>2806.5920123119095</v>
      </c>
      <c r="R18" s="8"/>
      <c r="S18" s="8"/>
      <c r="T18" s="8"/>
      <c r="U18" s="8">
        <v>2</v>
      </c>
      <c r="V18" s="8">
        <f t="shared" ca="1" si="0"/>
        <v>3.5615417839786015E-2</v>
      </c>
      <c r="W18" s="8"/>
      <c r="X18" s="8"/>
      <c r="Y18" s="8"/>
      <c r="Z18" s="8"/>
      <c r="AA18" s="8">
        <v>18</v>
      </c>
      <c r="AB18" s="8" t="s">
        <v>150</v>
      </c>
      <c r="AC18" s="8"/>
      <c r="AD18" s="8"/>
      <c r="AE18" s="8"/>
      <c r="AF18" s="8"/>
      <c r="AG18" s="8"/>
      <c r="AH18" s="8"/>
      <c r="AI18" s="8"/>
    </row>
    <row r="19" spans="1:35">
      <c r="A19" s="41" t="s">
        <v>151</v>
      </c>
      <c r="B19" s="8"/>
      <c r="C19" s="8"/>
      <c r="D19" s="8"/>
      <c r="E19" s="8"/>
      <c r="F19" s="85" t="s">
        <v>152</v>
      </c>
      <c r="G19" s="85" t="s">
        <v>153</v>
      </c>
      <c r="H19" s="85" t="s">
        <v>154</v>
      </c>
      <c r="I19" s="85" t="s">
        <v>155</v>
      </c>
      <c r="J19" s="85" t="s">
        <v>156</v>
      </c>
      <c r="K19" s="85" t="s">
        <v>157</v>
      </c>
      <c r="L19" s="85" t="s">
        <v>158</v>
      </c>
      <c r="M19" s="135"/>
      <c r="N19" s="135"/>
      <c r="O19" s="135"/>
      <c r="P19" s="135"/>
      <c r="Q19" s="135"/>
      <c r="R19" s="8"/>
      <c r="S19" s="8"/>
      <c r="T19" s="8"/>
      <c r="U19" s="8">
        <v>2.5</v>
      </c>
      <c r="V19" s="8">
        <f t="shared" ca="1" si="0"/>
        <v>5.5082015352225795E-2</v>
      </c>
      <c r="W19" s="8"/>
      <c r="X19" s="8"/>
      <c r="Y19" s="8"/>
      <c r="Z19" s="8"/>
      <c r="AA19" s="8">
        <v>19</v>
      </c>
      <c r="AB19" s="8" t="s">
        <v>159</v>
      </c>
      <c r="AC19" s="8"/>
      <c r="AD19" s="8"/>
      <c r="AE19" s="8"/>
      <c r="AF19" s="8"/>
      <c r="AG19" s="8"/>
      <c r="AH19" s="8"/>
      <c r="AI19" s="8"/>
    </row>
    <row r="20" spans="1:35" ht="15" thickBot="1">
      <c r="A20" s="7" t="s">
        <v>160</v>
      </c>
      <c r="B20" s="7" t="s">
        <v>161</v>
      </c>
      <c r="C20" s="7" t="s">
        <v>38</v>
      </c>
      <c r="D20" s="7" t="s">
        <v>160</v>
      </c>
      <c r="E20" s="7" t="s">
        <v>161</v>
      </c>
      <c r="F20" s="7" t="s">
        <v>39</v>
      </c>
      <c r="G20" s="7" t="s">
        <v>40</v>
      </c>
      <c r="H20" s="7" t="s">
        <v>2</v>
      </c>
      <c r="I20" s="7" t="s">
        <v>3</v>
      </c>
      <c r="J20" s="7" t="s">
        <v>4</v>
      </c>
      <c r="K20" s="61" t="s">
        <v>41</v>
      </c>
      <c r="L20" s="7" t="s">
        <v>5</v>
      </c>
      <c r="M20" s="42" t="s">
        <v>162</v>
      </c>
      <c r="N20" s="61" t="s">
        <v>163</v>
      </c>
      <c r="O20" s="61" t="s">
        <v>164</v>
      </c>
      <c r="P20" s="61" t="s">
        <v>165</v>
      </c>
      <c r="Q20" s="61" t="s">
        <v>166</v>
      </c>
      <c r="R20" s="136" t="s">
        <v>167</v>
      </c>
      <c r="S20" s="8"/>
      <c r="T20" s="8"/>
      <c r="U20" s="8">
        <v>3</v>
      </c>
      <c r="V20" s="8">
        <f t="shared" ca="1" si="0"/>
        <v>7.8761172966887616E-2</v>
      </c>
      <c r="W20" s="8"/>
      <c r="X20" s="8"/>
      <c r="Y20" s="8"/>
      <c r="Z20" s="8"/>
      <c r="AA20" s="8">
        <v>20</v>
      </c>
      <c r="AB20" s="8" t="s">
        <v>168</v>
      </c>
      <c r="AC20" s="8"/>
      <c r="AD20" s="8"/>
      <c r="AE20" s="8"/>
      <c r="AF20" s="8"/>
      <c r="AG20" s="8"/>
      <c r="AH20" s="8"/>
      <c r="AI20" s="8"/>
    </row>
    <row r="21" spans="1:35">
      <c r="A21" s="43">
        <v>-3205</v>
      </c>
      <c r="B21" s="43">
        <v>4.3500000174390152E-4</v>
      </c>
      <c r="C21" s="137">
        <v>1</v>
      </c>
      <c r="D21" s="138">
        <f>A21/A$18</f>
        <v>-0.32050000000000001</v>
      </c>
      <c r="E21" s="138">
        <f>B21/B$18</f>
        <v>4.3500000174390152E-4</v>
      </c>
      <c r="F21" s="139">
        <f>$C21*D21</f>
        <v>-0.32050000000000001</v>
      </c>
      <c r="G21" s="139">
        <f>$C21*E21</f>
        <v>4.3500000174390152E-4</v>
      </c>
      <c r="H21" s="139">
        <f>C21*D21*D21</f>
        <v>0.10272025</v>
      </c>
      <c r="I21" s="139">
        <f>C21*D21*D21*D21</f>
        <v>-3.2921840124999997E-2</v>
      </c>
      <c r="J21" s="139">
        <f>C21*D21*D21*D21*D21</f>
        <v>1.05514497600625E-2</v>
      </c>
      <c r="K21" s="139">
        <f>C21*E21*D21</f>
        <v>-1.3941750055892043E-4</v>
      </c>
      <c r="L21" s="139">
        <f>C21*E21*D21*D21</f>
        <v>4.4683308929133996E-5</v>
      </c>
      <c r="M21" s="139">
        <f t="shared" ref="M21:M83" ca="1" si="4">+E$4+E$5*D21+E$6*D21^2</f>
        <v>4.130998753133409E-4</v>
      </c>
      <c r="N21" s="139">
        <f ca="1">C21*(M21-E21)^2</f>
        <v>4.7961553767453973E-10</v>
      </c>
      <c r="O21" s="140">
        <f ca="1">(C21*O$1-O$2*F21+O$3*H21)^2</f>
        <v>515922.99896723358</v>
      </c>
      <c r="P21" s="139">
        <f ca="1">(-C21*O$2+O$4*F21-O$5*H21)^2</f>
        <v>4571694.8230264233</v>
      </c>
      <c r="Q21" s="139">
        <f ca="1">+(C21*O$3-F21*O$5+H21*O$6)^2</f>
        <v>1450340.6781470058</v>
      </c>
      <c r="R21" s="8">
        <f t="shared" ref="R21:R83" ca="1" si="5">+E21-M21</f>
        <v>2.1900126430560618E-5</v>
      </c>
      <c r="S21" s="8"/>
      <c r="T21" s="8"/>
      <c r="U21" s="8">
        <v>3.5</v>
      </c>
      <c r="V21" s="8">
        <f t="shared" ca="1" si="0"/>
        <v>0.10665289068377146</v>
      </c>
      <c r="W21" s="8"/>
      <c r="X21" s="8"/>
      <c r="Y21" s="8"/>
      <c r="Z21" s="8"/>
      <c r="AA21" s="8">
        <v>21</v>
      </c>
      <c r="AB21" s="8" t="s">
        <v>169</v>
      </c>
      <c r="AC21" s="8"/>
      <c r="AD21" s="8"/>
      <c r="AE21" s="8"/>
      <c r="AF21" s="8"/>
      <c r="AG21" s="8"/>
      <c r="AH21" s="8"/>
      <c r="AI21" s="8"/>
    </row>
    <row r="22" spans="1:35">
      <c r="A22" s="43">
        <v>-144</v>
      </c>
      <c r="B22" s="43">
        <v>6.680000078631565E-4</v>
      </c>
      <c r="C22" s="43">
        <v>0.4</v>
      </c>
      <c r="D22" s="138">
        <f t="shared" ref="D22:E83" si="6">A22/A$18</f>
        <v>-1.44E-2</v>
      </c>
      <c r="E22" s="138">
        <f t="shared" si="6"/>
        <v>6.680000078631565E-4</v>
      </c>
      <c r="F22" s="139">
        <f t="shared" ref="F22:G83" si="7">$C22*D22</f>
        <v>-5.7600000000000004E-3</v>
      </c>
      <c r="G22" s="139">
        <f t="shared" si="7"/>
        <v>2.6720000314526263E-4</v>
      </c>
      <c r="H22" s="139">
        <f t="shared" ref="H22:H84" si="8">C22*D22*D22</f>
        <v>8.2943999999999997E-5</v>
      </c>
      <c r="I22" s="139">
        <f t="shared" ref="I22:I84" si="9">C22*D22*D22*D22</f>
        <v>-1.1943936E-6</v>
      </c>
      <c r="J22" s="139">
        <f t="shared" ref="J22:J84" si="10">C22*D22*D22*D22*D22</f>
        <v>1.7199267839999999E-8</v>
      </c>
      <c r="K22" s="139">
        <f t="shared" ref="K22:K84" si="11">C22*E22*D22</f>
        <v>-3.8476800452917816E-6</v>
      </c>
      <c r="L22" s="139">
        <f t="shared" ref="L22:L84" si="12">C22*E22*D22*D22</f>
        <v>5.5406592652201655E-8</v>
      </c>
      <c r="M22" s="139">
        <f t="shared" ca="1" si="4"/>
        <v>-1.3831437393746024E-4</v>
      </c>
      <c r="N22" s="139">
        <f t="shared" ref="N22:N84" ca="1" si="13">C22*(M22-E22)^2</f>
        <v>2.600571529194043E-7</v>
      </c>
      <c r="O22" s="140">
        <f t="shared" ref="O22:O84" ca="1" si="14">(C22*O$1-O$2*F22+O$3*H22)^2</f>
        <v>26722.790968192483</v>
      </c>
      <c r="P22" s="139">
        <f t="shared" ref="P22:P84" ca="1" si="15">(-C22*O$2+O$4*F22-O$5*H22)^2</f>
        <v>135063.06909067894</v>
      </c>
      <c r="Q22" s="139">
        <f t="shared" ref="Q22:Q84" ca="1" si="16">+(C22*O$3-F22*O$5+H22*O$6)^2</f>
        <v>32327.589552376674</v>
      </c>
      <c r="R22" s="8">
        <f t="shared" ca="1" si="5"/>
        <v>8.0631438180061676E-4</v>
      </c>
      <c r="S22" s="8"/>
      <c r="T22" s="8"/>
      <c r="U22" s="8">
        <v>4</v>
      </c>
      <c r="V22" s="8">
        <f t="shared" ca="1" si="0"/>
        <v>0.13875716850287734</v>
      </c>
      <c r="W22" s="8"/>
      <c r="X22" s="8"/>
      <c r="Y22" s="8"/>
      <c r="Z22" s="8"/>
      <c r="AA22" s="8">
        <v>22</v>
      </c>
      <c r="AB22" s="8" t="s">
        <v>170</v>
      </c>
      <c r="AC22" s="8"/>
      <c r="AD22" s="8"/>
      <c r="AE22" s="8"/>
      <c r="AF22" s="8"/>
      <c r="AG22" s="8"/>
      <c r="AH22" s="8"/>
      <c r="AI22" s="8"/>
    </row>
    <row r="23" spans="1:35">
      <c r="A23" s="43">
        <v>-133</v>
      </c>
      <c r="B23" s="43">
        <v>-2.4899999698391184E-4</v>
      </c>
      <c r="C23" s="43">
        <v>1</v>
      </c>
      <c r="D23" s="138">
        <f t="shared" si="6"/>
        <v>-1.3299999999999999E-2</v>
      </c>
      <c r="E23" s="138">
        <f t="shared" si="6"/>
        <v>-2.4899999698391184E-4</v>
      </c>
      <c r="F23" s="139">
        <f t="shared" si="7"/>
        <v>-1.3299999999999999E-2</v>
      </c>
      <c r="G23" s="139">
        <f t="shared" si="7"/>
        <v>-2.4899999698391184E-4</v>
      </c>
      <c r="H23" s="139">
        <f t="shared" si="8"/>
        <v>1.7689E-4</v>
      </c>
      <c r="I23" s="139">
        <f t="shared" si="9"/>
        <v>-2.3526369999999997E-6</v>
      </c>
      <c r="J23" s="139">
        <f t="shared" si="10"/>
        <v>3.1290072099999996E-8</v>
      </c>
      <c r="K23" s="139">
        <f t="shared" si="11"/>
        <v>3.3116999598860273E-6</v>
      </c>
      <c r="L23" s="139">
        <f t="shared" si="12"/>
        <v>-4.4045609466484159E-8</v>
      </c>
      <c r="M23" s="139">
        <f t="shared" ca="1" si="4"/>
        <v>-1.3744891783472028E-4</v>
      </c>
      <c r="N23" s="139">
        <f t="shared" ca="1" si="13"/>
        <v>1.2443643259349199E-8</v>
      </c>
      <c r="O23" s="140">
        <f t="shared" ca="1" si="14"/>
        <v>166225.08670014964</v>
      </c>
      <c r="P23" s="139">
        <f t="shared" ca="1" si="15"/>
        <v>837354.96153619722</v>
      </c>
      <c r="Q23" s="139">
        <f t="shared" ca="1" si="16"/>
        <v>200026.05584942945</v>
      </c>
      <c r="R23" s="8">
        <f t="shared" ca="1" si="5"/>
        <v>-1.1155107914919156E-4</v>
      </c>
      <c r="S23" s="8"/>
      <c r="T23" s="8"/>
      <c r="U23" s="8">
        <v>4.5</v>
      </c>
      <c r="V23" s="8">
        <f t="shared" ca="1" si="0"/>
        <v>0.17507400642420526</v>
      </c>
      <c r="W23" s="8"/>
      <c r="X23" s="8"/>
      <c r="Y23" s="8"/>
      <c r="Z23" s="8"/>
      <c r="AA23" s="8">
        <v>23</v>
      </c>
      <c r="AB23" s="8" t="s">
        <v>171</v>
      </c>
      <c r="AC23" s="8"/>
      <c r="AD23" s="8"/>
      <c r="AE23" s="8"/>
      <c r="AF23" s="8"/>
      <c r="AG23" s="8"/>
      <c r="AH23" s="8"/>
      <c r="AI23" s="8"/>
    </row>
    <row r="24" spans="1:35">
      <c r="A24" s="43">
        <v>-102.5</v>
      </c>
      <c r="B24" s="43">
        <v>5.1750000420724973E-4</v>
      </c>
      <c r="C24" s="43">
        <v>1</v>
      </c>
      <c r="D24" s="138">
        <f t="shared" si="6"/>
        <v>-1.025E-2</v>
      </c>
      <c r="E24" s="138">
        <f t="shared" si="6"/>
        <v>5.1750000420724973E-4</v>
      </c>
      <c r="F24" s="139">
        <f t="shared" si="7"/>
        <v>-1.025E-2</v>
      </c>
      <c r="G24" s="139">
        <f t="shared" si="7"/>
        <v>5.1750000420724973E-4</v>
      </c>
      <c r="H24" s="139">
        <f t="shared" si="8"/>
        <v>1.0506250000000001E-4</v>
      </c>
      <c r="I24" s="139">
        <f t="shared" si="9"/>
        <v>-1.0768906250000002E-6</v>
      </c>
      <c r="J24" s="139">
        <f t="shared" si="10"/>
        <v>1.1038128906250002E-8</v>
      </c>
      <c r="K24" s="139">
        <f t="shared" si="11"/>
        <v>-5.3043750431243103E-6</v>
      </c>
      <c r="L24" s="139">
        <f t="shared" si="12"/>
        <v>5.4369844192024182E-8</v>
      </c>
      <c r="M24" s="139">
        <f t="shared" ca="1" si="4"/>
        <v>-1.3494260313631716E-4</v>
      </c>
      <c r="N24" s="139">
        <f t="shared" ca="1" si="13"/>
        <v>4.2568135587727179E-7</v>
      </c>
      <c r="O24" s="140">
        <f t="shared" ca="1" si="14"/>
        <v>164042.26011219659</v>
      </c>
      <c r="P24" s="139">
        <f t="shared" ca="1" si="15"/>
        <v>818719.75948470493</v>
      </c>
      <c r="Q24" s="139">
        <f t="shared" ca="1" si="16"/>
        <v>194489.61786586294</v>
      </c>
      <c r="R24" s="8">
        <f t="shared" ca="1" si="5"/>
        <v>6.5244260734356686E-4</v>
      </c>
      <c r="S24" s="8"/>
      <c r="T24" s="8"/>
      <c r="U24" s="8">
        <v>5</v>
      </c>
      <c r="V24" s="8">
        <f t="shared" ca="1" si="0"/>
        <v>0.21560340444775522</v>
      </c>
      <c r="W24" s="8"/>
      <c r="X24" s="8"/>
      <c r="Y24" s="8"/>
      <c r="Z24" s="8"/>
      <c r="AA24" s="8">
        <v>24</v>
      </c>
      <c r="AB24" s="8" t="s">
        <v>160</v>
      </c>
      <c r="AC24" s="8"/>
      <c r="AD24" s="8"/>
      <c r="AE24" s="8"/>
      <c r="AF24" s="8"/>
      <c r="AG24" s="8"/>
      <c r="AH24" s="8"/>
      <c r="AI24" s="8"/>
    </row>
    <row r="25" spans="1:35">
      <c r="A25" s="43">
        <v>-58</v>
      </c>
      <c r="B25" s="43">
        <v>-4.7399999311892316E-4</v>
      </c>
      <c r="C25" s="43">
        <v>1</v>
      </c>
      <c r="D25" s="138">
        <f t="shared" si="6"/>
        <v>-5.7999999999999996E-3</v>
      </c>
      <c r="E25" s="138">
        <f t="shared" si="6"/>
        <v>-4.7399999311892316E-4</v>
      </c>
      <c r="F25" s="139">
        <f t="shared" si="7"/>
        <v>-5.7999999999999996E-3</v>
      </c>
      <c r="G25" s="139">
        <f t="shared" si="7"/>
        <v>-4.7399999311892316E-4</v>
      </c>
      <c r="H25" s="139">
        <f t="shared" si="8"/>
        <v>3.3639999999999996E-5</v>
      </c>
      <c r="I25" s="139">
        <f t="shared" si="9"/>
        <v>-1.9511199999999995E-7</v>
      </c>
      <c r="J25" s="139">
        <f t="shared" si="10"/>
        <v>1.1316495999999996E-9</v>
      </c>
      <c r="K25" s="139">
        <f t="shared" si="11"/>
        <v>2.7491999600897543E-6</v>
      </c>
      <c r="L25" s="139">
        <f t="shared" si="12"/>
        <v>-1.5945359768520573E-8</v>
      </c>
      <c r="M25" s="139">
        <f t="shared" ca="1" si="4"/>
        <v>-1.310046605173975E-4</v>
      </c>
      <c r="N25" s="139">
        <f t="shared" ca="1" si="13"/>
        <v>1.1764579818643121E-7</v>
      </c>
      <c r="O25" s="140">
        <f t="shared" ca="1" si="14"/>
        <v>160894.61237477782</v>
      </c>
      <c r="P25" s="139">
        <f t="shared" ca="1" si="15"/>
        <v>792026.36950595607</v>
      </c>
      <c r="Q25" s="139">
        <f t="shared" ca="1" si="16"/>
        <v>186590.35154226719</v>
      </c>
      <c r="R25" s="8">
        <f t="shared" ca="1" si="5"/>
        <v>-3.4299533260152566E-4</v>
      </c>
      <c r="S25" s="8"/>
      <c r="T25" s="8"/>
      <c r="U25" s="8">
        <v>5.5</v>
      </c>
      <c r="V25" s="8">
        <f t="shared" ca="1" si="0"/>
        <v>0.26034536257352719</v>
      </c>
      <c r="W25" s="8"/>
      <c r="X25" s="8"/>
      <c r="Y25" s="8"/>
      <c r="Z25" s="8"/>
      <c r="AA25" s="8">
        <v>26</v>
      </c>
      <c r="AB25" s="8" t="s">
        <v>172</v>
      </c>
      <c r="AC25" s="8"/>
      <c r="AD25" s="8"/>
      <c r="AE25" s="8"/>
      <c r="AF25" s="8"/>
      <c r="AG25" s="8"/>
      <c r="AH25" s="8"/>
      <c r="AI25" s="8"/>
    </row>
    <row r="26" spans="1:35">
      <c r="A26" s="43">
        <v>0</v>
      </c>
      <c r="B26" s="43">
        <v>-3.9999999717110768E-4</v>
      </c>
      <c r="C26" s="43">
        <v>1</v>
      </c>
      <c r="D26" s="138">
        <f t="shared" si="6"/>
        <v>0</v>
      </c>
      <c r="E26" s="138">
        <f t="shared" si="6"/>
        <v>-3.9999999717110768E-4</v>
      </c>
      <c r="F26" s="139">
        <f t="shared" si="7"/>
        <v>0</v>
      </c>
      <c r="G26" s="139">
        <f t="shared" si="7"/>
        <v>-3.9999999717110768E-4</v>
      </c>
      <c r="H26" s="139">
        <f t="shared" si="8"/>
        <v>0</v>
      </c>
      <c r="I26" s="139">
        <f t="shared" si="9"/>
        <v>0</v>
      </c>
      <c r="J26" s="139">
        <f t="shared" si="10"/>
        <v>0</v>
      </c>
      <c r="K26" s="139">
        <f t="shared" si="11"/>
        <v>0</v>
      </c>
      <c r="L26" s="139">
        <f t="shared" si="12"/>
        <v>0</v>
      </c>
      <c r="M26" s="139">
        <f t="shared" ca="1" si="4"/>
        <v>-1.2537118775276374E-4</v>
      </c>
      <c r="N26" s="139">
        <f t="shared" ca="1" si="13"/>
        <v>7.5420982962537072E-8</v>
      </c>
      <c r="O26" s="140">
        <f t="shared" ca="1" si="14"/>
        <v>156857.61984726819</v>
      </c>
      <c r="P26" s="139">
        <f t="shared" ca="1" si="15"/>
        <v>758107.29483035323</v>
      </c>
      <c r="Q26" s="139">
        <f t="shared" ca="1" si="16"/>
        <v>176608.25625537935</v>
      </c>
      <c r="R26" s="8">
        <f t="shared" ca="1" si="5"/>
        <v>-2.7462880941834394E-4</v>
      </c>
      <c r="S26" s="8"/>
      <c r="T26" s="8"/>
      <c r="U26" s="8">
        <v>6</v>
      </c>
      <c r="V26" s="8">
        <f t="shared" ca="1" si="0"/>
        <v>0.30929988080152121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>
      <c r="A27" s="43">
        <v>0.5</v>
      </c>
      <c r="B27" s="43">
        <v>-1.5234999955282547E-3</v>
      </c>
      <c r="C27" s="43">
        <v>0.7</v>
      </c>
      <c r="D27" s="138">
        <f t="shared" si="6"/>
        <v>5.0000000000000002E-5</v>
      </c>
      <c r="E27" s="138">
        <f t="shared" si="6"/>
        <v>-1.5234999955282547E-3</v>
      </c>
      <c r="F27" s="139">
        <f t="shared" si="7"/>
        <v>3.4999999999999997E-5</v>
      </c>
      <c r="G27" s="139">
        <f t="shared" si="7"/>
        <v>-1.0664499968697783E-3</v>
      </c>
      <c r="H27" s="139">
        <f t="shared" si="8"/>
        <v>1.75E-9</v>
      </c>
      <c r="I27" s="139">
        <f t="shared" si="9"/>
        <v>8.7500000000000006E-14</v>
      </c>
      <c r="J27" s="139">
        <f t="shared" si="10"/>
        <v>4.3750000000000002E-18</v>
      </c>
      <c r="K27" s="139">
        <f t="shared" si="11"/>
        <v>-5.3322499843488918E-8</v>
      </c>
      <c r="L27" s="139">
        <f t="shared" si="12"/>
        <v>-2.6661249921744461E-12</v>
      </c>
      <c r="M27" s="139">
        <f t="shared" ca="1" si="4"/>
        <v>-1.2532015898471916E-4</v>
      </c>
      <c r="N27" s="139">
        <f t="shared" ca="1" si="13"/>
        <v>1.368434798721835E-6</v>
      </c>
      <c r="O27" s="140">
        <f t="shared" ca="1" si="14"/>
        <v>76843.337881665124</v>
      </c>
      <c r="P27" s="139">
        <f t="shared" ca="1" si="15"/>
        <v>371331.3788707346</v>
      </c>
      <c r="Q27" s="139">
        <f t="shared" ca="1" si="16"/>
        <v>86496.627707358508</v>
      </c>
      <c r="R27" s="8">
        <f t="shared" ca="1" si="5"/>
        <v>-1.3981798365435354E-3</v>
      </c>
      <c r="S27" s="8"/>
      <c r="T27" s="8"/>
      <c r="U27" s="8">
        <v>6.5</v>
      </c>
      <c r="V27" s="8">
        <f t="shared" ca="1" si="0"/>
        <v>0.36246695913173732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>
      <c r="A28" s="43">
        <v>33.5</v>
      </c>
      <c r="B28" s="43">
        <v>1.2550000246847048E-4</v>
      </c>
      <c r="C28" s="43">
        <v>1</v>
      </c>
      <c r="D28" s="138">
        <f t="shared" si="6"/>
        <v>3.3500000000000001E-3</v>
      </c>
      <c r="E28" s="138">
        <f t="shared" si="6"/>
        <v>1.2550000246847048E-4</v>
      </c>
      <c r="F28" s="139">
        <f t="shared" si="7"/>
        <v>3.3500000000000001E-3</v>
      </c>
      <c r="G28" s="139">
        <f t="shared" si="7"/>
        <v>1.2550000246847048E-4</v>
      </c>
      <c r="H28" s="139">
        <f t="shared" si="8"/>
        <v>1.1222500000000001E-5</v>
      </c>
      <c r="I28" s="139">
        <f t="shared" si="9"/>
        <v>3.7595375000000004E-8</v>
      </c>
      <c r="J28" s="139">
        <f t="shared" si="10"/>
        <v>1.2594450625000002E-10</v>
      </c>
      <c r="K28" s="139">
        <f t="shared" si="11"/>
        <v>4.2042500826937613E-7</v>
      </c>
      <c r="L28" s="139">
        <f t="shared" si="12"/>
        <v>1.4084237777024102E-9</v>
      </c>
      <c r="M28" s="139">
        <f t="shared" ca="1" si="4"/>
        <v>-1.2185912058991716E-4</v>
      </c>
      <c r="N28" s="139">
        <f t="shared" ca="1" si="13"/>
        <v>6.1186535760214556E-8</v>
      </c>
      <c r="O28" s="140">
        <f t="shared" ca="1" si="14"/>
        <v>154559.40524421103</v>
      </c>
      <c r="P28" s="139">
        <f t="shared" ca="1" si="15"/>
        <v>738960.29655116005</v>
      </c>
      <c r="Q28" s="139">
        <f t="shared" ca="1" si="16"/>
        <v>171002.13224330064</v>
      </c>
      <c r="R28" s="8">
        <f t="shared" ca="1" si="5"/>
        <v>2.4735912305838765E-4</v>
      </c>
      <c r="S28" s="8"/>
      <c r="T28" s="8"/>
      <c r="U28" s="8">
        <v>7</v>
      </c>
      <c r="V28" s="8">
        <f t="shared" ca="1" si="0"/>
        <v>0.41984659756417536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>
      <c r="A29" s="43">
        <v>55.5</v>
      </c>
      <c r="B29" s="43">
        <v>5.9150000015506521E-4</v>
      </c>
      <c r="C29" s="43">
        <v>1</v>
      </c>
      <c r="D29" s="138">
        <f t="shared" si="6"/>
        <v>5.5500000000000002E-3</v>
      </c>
      <c r="E29" s="138">
        <f t="shared" si="6"/>
        <v>5.9150000015506521E-4</v>
      </c>
      <c r="F29" s="139">
        <f t="shared" si="7"/>
        <v>5.5500000000000002E-3</v>
      </c>
      <c r="G29" s="139">
        <f t="shared" si="7"/>
        <v>5.9150000015506521E-4</v>
      </c>
      <c r="H29" s="139">
        <f t="shared" si="8"/>
        <v>3.0802500000000002E-5</v>
      </c>
      <c r="I29" s="139">
        <f t="shared" si="9"/>
        <v>1.7095387500000001E-7</v>
      </c>
      <c r="J29" s="139">
        <f t="shared" si="10"/>
        <v>9.4879400625000013E-10</v>
      </c>
      <c r="K29" s="139">
        <f t="shared" si="11"/>
        <v>3.2828250008606119E-6</v>
      </c>
      <c r="L29" s="139">
        <f t="shared" si="12"/>
        <v>1.8219678754776399E-8</v>
      </c>
      <c r="M29" s="139">
        <f t="shared" ca="1" si="4"/>
        <v>-1.194498177055754E-4</v>
      </c>
      <c r="N29" s="139">
        <f t="shared" ca="1" si="13"/>
        <v>5.0544964351607816E-7</v>
      </c>
      <c r="O29" s="140">
        <f t="shared" ca="1" si="14"/>
        <v>153063.37154822639</v>
      </c>
      <c r="P29" s="139">
        <f t="shared" ca="1" si="15"/>
        <v>726561.24220069044</v>
      </c>
      <c r="Q29" s="139">
        <f t="shared" ca="1" si="16"/>
        <v>167383.23654490279</v>
      </c>
      <c r="R29" s="8">
        <f t="shared" ca="1" si="5"/>
        <v>7.1094981786064065E-4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>
      <c r="A30" s="43">
        <v>784.5</v>
      </c>
      <c r="B30" s="43">
        <v>1.2850000348407775E-4</v>
      </c>
      <c r="C30" s="43">
        <v>1</v>
      </c>
      <c r="D30" s="138">
        <f t="shared" si="6"/>
        <v>7.8450000000000006E-2</v>
      </c>
      <c r="E30" s="138">
        <f t="shared" si="6"/>
        <v>1.2850000348407775E-4</v>
      </c>
      <c r="F30" s="139">
        <f t="shared" si="7"/>
        <v>7.8450000000000006E-2</v>
      </c>
      <c r="G30" s="139">
        <f t="shared" si="7"/>
        <v>1.2850000348407775E-4</v>
      </c>
      <c r="H30" s="139">
        <f t="shared" si="8"/>
        <v>6.1544025000000013E-3</v>
      </c>
      <c r="I30" s="139">
        <f t="shared" si="9"/>
        <v>4.8281287612500013E-4</v>
      </c>
      <c r="J30" s="139">
        <f t="shared" si="10"/>
        <v>3.7876670132006264E-5</v>
      </c>
      <c r="K30" s="139">
        <f t="shared" si="11"/>
        <v>1.0080825273325901E-5</v>
      </c>
      <c r="L30" s="139">
        <f t="shared" si="12"/>
        <v>7.9084074269241693E-7</v>
      </c>
      <c r="M30" s="139">
        <f t="shared" ca="1" si="4"/>
        <v>6.5114826242015751E-6</v>
      </c>
      <c r="N30" s="139">
        <f t="shared" ca="1" si="13"/>
        <v>1.4881199221580447E-8</v>
      </c>
      <c r="O30" s="140">
        <f t="shared" ca="1" si="14"/>
        <v>109119.89788835568</v>
      </c>
      <c r="P30" s="139">
        <f t="shared" ca="1" si="15"/>
        <v>388643.5514082156</v>
      </c>
      <c r="Q30" s="139">
        <f t="shared" ca="1" si="16"/>
        <v>73322.349807145787</v>
      </c>
      <c r="R30" s="8">
        <f t="shared" ca="1" si="5"/>
        <v>1.2198852085987618E-4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>
      <c r="A31" s="43">
        <v>1754.5</v>
      </c>
      <c r="B31" s="43">
        <v>-1.6150000010384247E-4</v>
      </c>
      <c r="C31" s="43">
        <v>0.7</v>
      </c>
      <c r="D31" s="138">
        <f t="shared" si="6"/>
        <v>0.17544999999999999</v>
      </c>
      <c r="E31" s="138">
        <f t="shared" si="6"/>
        <v>-1.6150000010384247E-4</v>
      </c>
      <c r="F31" s="139">
        <f t="shared" si="7"/>
        <v>0.12281499999999999</v>
      </c>
      <c r="G31" s="139">
        <f t="shared" si="7"/>
        <v>-1.1305000007268972E-4</v>
      </c>
      <c r="H31" s="139">
        <f t="shared" si="8"/>
        <v>2.1547891749999999E-2</v>
      </c>
      <c r="I31" s="139">
        <f t="shared" si="9"/>
        <v>3.7805776075374997E-3</v>
      </c>
      <c r="J31" s="139">
        <f t="shared" si="10"/>
        <v>6.6330234124245427E-4</v>
      </c>
      <c r="K31" s="139">
        <f t="shared" si="11"/>
        <v>-1.9834622512753412E-5</v>
      </c>
      <c r="L31" s="139">
        <f t="shared" si="12"/>
        <v>-3.4799845198625862E-6</v>
      </c>
      <c r="M31" s="139">
        <f t="shared" ca="1" si="4"/>
        <v>3.1296281872879284E-4</v>
      </c>
      <c r="N31" s="139">
        <f t="shared" ca="1" si="13"/>
        <v>1.5758047651822708E-7</v>
      </c>
      <c r="O31" s="140">
        <f t="shared" ca="1" si="14"/>
        <v>32169.294689105365</v>
      </c>
      <c r="P31" s="139">
        <f t="shared" ca="1" si="15"/>
        <v>60677.284866195587</v>
      </c>
      <c r="Q31" s="139">
        <f t="shared" ca="1" si="16"/>
        <v>5827.4659510901456</v>
      </c>
      <c r="R31" s="8">
        <f t="shared" ca="1" si="5"/>
        <v>-4.7446281883263531E-4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>
      <c r="A32" s="43">
        <v>2001</v>
      </c>
      <c r="B32" s="43">
        <v>2.5300000561401248E-4</v>
      </c>
      <c r="C32" s="43">
        <v>1</v>
      </c>
      <c r="D32" s="138">
        <f t="shared" si="6"/>
        <v>0.2001</v>
      </c>
      <c r="E32" s="138">
        <f t="shared" si="6"/>
        <v>2.5300000561401248E-4</v>
      </c>
      <c r="F32" s="139">
        <f t="shared" si="7"/>
        <v>0.2001</v>
      </c>
      <c r="G32" s="139">
        <f t="shared" si="7"/>
        <v>2.5300000561401248E-4</v>
      </c>
      <c r="H32" s="139">
        <f t="shared" si="8"/>
        <v>4.0040010000000001E-2</v>
      </c>
      <c r="I32" s="139">
        <f t="shared" si="9"/>
        <v>8.0120060010000008E-3</v>
      </c>
      <c r="J32" s="139">
        <f t="shared" si="10"/>
        <v>1.6032024008001001E-3</v>
      </c>
      <c r="K32" s="139">
        <f t="shared" si="11"/>
        <v>5.0625301123363898E-5</v>
      </c>
      <c r="L32" s="139">
        <f t="shared" si="12"/>
        <v>1.0130122754785116E-5</v>
      </c>
      <c r="M32" s="139">
        <f t="shared" ca="1" si="4"/>
        <v>4.1610354587111732E-4</v>
      </c>
      <c r="N32" s="139">
        <f t="shared" ca="1" si="13"/>
        <v>2.6602764844401018E-8</v>
      </c>
      <c r="O32" s="140">
        <f t="shared" ca="1" si="14"/>
        <v>56955.488955460416</v>
      </c>
      <c r="P32" s="139">
        <f t="shared" ca="1" si="15"/>
        <v>83480.620064251445</v>
      </c>
      <c r="Q32" s="139">
        <f t="shared" ca="1" si="16"/>
        <v>5187.2390250692342</v>
      </c>
      <c r="R32" s="8">
        <f t="shared" ca="1" si="5"/>
        <v>-1.6310354025710484E-4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>
      <c r="A33" s="43">
        <v>2134</v>
      </c>
      <c r="B33" s="43">
        <v>-1.817999997001607E-3</v>
      </c>
      <c r="C33" s="43">
        <v>1</v>
      </c>
      <c r="D33" s="138">
        <f t="shared" si="6"/>
        <v>0.21340000000000001</v>
      </c>
      <c r="E33" s="138">
        <f t="shared" si="6"/>
        <v>-1.817999997001607E-3</v>
      </c>
      <c r="F33" s="139">
        <f t="shared" si="7"/>
        <v>0.21340000000000001</v>
      </c>
      <c r="G33" s="139">
        <f t="shared" si="7"/>
        <v>-1.817999997001607E-3</v>
      </c>
      <c r="H33" s="139">
        <f t="shared" si="8"/>
        <v>4.553956E-2</v>
      </c>
      <c r="I33" s="139">
        <f t="shared" si="9"/>
        <v>9.7181421040000004E-3</v>
      </c>
      <c r="J33" s="139">
        <f t="shared" si="10"/>
        <v>2.0738515249936001E-3</v>
      </c>
      <c r="K33" s="139">
        <f t="shared" si="11"/>
        <v>-3.8796119936014296E-4</v>
      </c>
      <c r="L33" s="139">
        <f t="shared" si="12"/>
        <v>-8.2790919943454515E-5</v>
      </c>
      <c r="M33" s="139">
        <f t="shared" ca="1" si="4"/>
        <v>4.760059652863883E-4</v>
      </c>
      <c r="N33" s="139">
        <f t="shared" ca="1" si="13"/>
        <v>5.2624633550128717E-6</v>
      </c>
      <c r="O33" s="140">
        <f t="shared" ca="1" si="14"/>
        <v>52617.221758467887</v>
      </c>
      <c r="P33" s="139">
        <f t="shared" ca="1" si="15"/>
        <v>65521.513084728824</v>
      </c>
      <c r="Q33" s="139">
        <f t="shared" ca="1" si="16"/>
        <v>2780.0877015657074</v>
      </c>
      <c r="R33" s="8">
        <f t="shared" ca="1" si="5"/>
        <v>-2.2940059622879954E-3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>
      <c r="A34" s="43">
        <v>2145</v>
      </c>
      <c r="B34" s="43">
        <v>1.7500000103609636E-4</v>
      </c>
      <c r="C34" s="43">
        <v>1</v>
      </c>
      <c r="D34" s="138">
        <f t="shared" si="6"/>
        <v>0.2145</v>
      </c>
      <c r="E34" s="138">
        <f t="shared" si="6"/>
        <v>1.7500000103609636E-4</v>
      </c>
      <c r="F34" s="139">
        <f t="shared" si="7"/>
        <v>0.2145</v>
      </c>
      <c r="G34" s="139">
        <f t="shared" si="7"/>
        <v>1.7500000103609636E-4</v>
      </c>
      <c r="H34" s="139">
        <f t="shared" si="8"/>
        <v>4.6010249999999996E-2</v>
      </c>
      <c r="I34" s="139">
        <f t="shared" si="9"/>
        <v>9.8691986249999988E-3</v>
      </c>
      <c r="J34" s="139">
        <f t="shared" si="10"/>
        <v>2.1169431050624995E-3</v>
      </c>
      <c r="K34" s="139">
        <f t="shared" si="11"/>
        <v>3.7537500222242673E-5</v>
      </c>
      <c r="L34" s="139">
        <f t="shared" si="12"/>
        <v>8.0517937976710525E-6</v>
      </c>
      <c r="M34" s="139">
        <f t="shared" ca="1" si="4"/>
        <v>4.8109375463078747E-4</v>
      </c>
      <c r="N34" s="139">
        <f t="shared" ca="1" si="13"/>
        <v>9.3693385989687481E-8</v>
      </c>
      <c r="O34" s="140">
        <f t="shared" ca="1" si="14"/>
        <v>52269.154913485661</v>
      </c>
      <c r="P34" s="139">
        <f t="shared" ca="1" si="15"/>
        <v>64149.584880092028</v>
      </c>
      <c r="Q34" s="139">
        <f t="shared" ca="1" si="16"/>
        <v>2616.5388495144239</v>
      </c>
      <c r="R34" s="8">
        <f t="shared" ca="1" si="5"/>
        <v>-3.0609375359469111E-4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>
      <c r="A35" s="43">
        <v>2901.5</v>
      </c>
      <c r="B35" s="43">
        <v>4.4950000301469117E-4</v>
      </c>
      <c r="C35" s="43">
        <v>1</v>
      </c>
      <c r="D35" s="138">
        <f t="shared" si="6"/>
        <v>0.29015000000000002</v>
      </c>
      <c r="E35" s="138">
        <f t="shared" si="6"/>
        <v>4.4950000301469117E-4</v>
      </c>
      <c r="F35" s="139">
        <f t="shared" si="7"/>
        <v>0.29015000000000002</v>
      </c>
      <c r="G35" s="139">
        <f t="shared" si="7"/>
        <v>4.4950000301469117E-4</v>
      </c>
      <c r="H35" s="139">
        <f t="shared" si="8"/>
        <v>8.4187022500000014E-2</v>
      </c>
      <c r="I35" s="139">
        <f t="shared" si="9"/>
        <v>2.4426864578375007E-2</v>
      </c>
      <c r="J35" s="139">
        <f t="shared" si="10"/>
        <v>7.0874547574155088E-3</v>
      </c>
      <c r="K35" s="139">
        <f t="shared" si="11"/>
        <v>1.3042242587471266E-4</v>
      </c>
      <c r="L35" s="139">
        <f t="shared" si="12"/>
        <v>3.7842066867547877E-5</v>
      </c>
      <c r="M35" s="139">
        <f t="shared" ca="1" si="4"/>
        <v>8.7991230999526898E-4</v>
      </c>
      <c r="N35" s="139">
        <f t="shared" ca="1" si="13"/>
        <v>1.8525475400034316E-7</v>
      </c>
      <c r="O35" s="140">
        <f t="shared" ca="1" si="14"/>
        <v>31969.519546337993</v>
      </c>
      <c r="P35" s="139">
        <f t="shared" ca="1" si="15"/>
        <v>6349.297712214242</v>
      </c>
      <c r="Q35" s="139">
        <f t="shared" ca="1" si="16"/>
        <v>2425.5980964958781</v>
      </c>
      <c r="R35" s="8">
        <f t="shared" ca="1" si="5"/>
        <v>-4.3041230698057781E-4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>
      <c r="A36" s="43">
        <v>2907</v>
      </c>
      <c r="B36" s="43">
        <v>-1.3899999612476677E-4</v>
      </c>
      <c r="C36" s="43">
        <v>1</v>
      </c>
      <c r="D36" s="138">
        <f t="shared" si="6"/>
        <v>0.29070000000000001</v>
      </c>
      <c r="E36" s="138">
        <f t="shared" si="6"/>
        <v>-1.3899999612476677E-4</v>
      </c>
      <c r="F36" s="139">
        <f t="shared" si="7"/>
        <v>0.29070000000000001</v>
      </c>
      <c r="G36" s="139">
        <f t="shared" si="7"/>
        <v>-1.3899999612476677E-4</v>
      </c>
      <c r="H36" s="139">
        <f t="shared" si="8"/>
        <v>8.4506490000000004E-2</v>
      </c>
      <c r="I36" s="139">
        <f t="shared" si="9"/>
        <v>2.4566036643000003E-2</v>
      </c>
      <c r="J36" s="139">
        <f t="shared" si="10"/>
        <v>7.1413468521201017E-3</v>
      </c>
      <c r="K36" s="139">
        <f t="shared" si="11"/>
        <v>-4.0407298873469702E-5</v>
      </c>
      <c r="L36" s="139">
        <f t="shared" si="12"/>
        <v>-1.1746401782517644E-5</v>
      </c>
      <c r="M36" s="139">
        <f t="shared" ca="1" si="4"/>
        <v>8.8316494684186693E-4</v>
      </c>
      <c r="N36" s="139">
        <f t="shared" ca="1" si="13"/>
        <v>1.0448211706299815E-6</v>
      </c>
      <c r="O36" s="140">
        <f t="shared" ca="1" si="14"/>
        <v>31846.39992612656</v>
      </c>
      <c r="P36" s="139">
        <f t="shared" ca="1" si="15"/>
        <v>6162.9872217496368</v>
      </c>
      <c r="Q36" s="139">
        <f t="shared" ca="1" si="16"/>
        <v>2492.3536173170014</v>
      </c>
      <c r="R36" s="8">
        <f t="shared" ca="1" si="5"/>
        <v>-1.0221649429666337E-3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>
      <c r="A37" s="43">
        <v>2918</v>
      </c>
      <c r="B37" s="43">
        <v>7.6400000398280099E-4</v>
      </c>
      <c r="C37" s="43">
        <v>1</v>
      </c>
      <c r="D37" s="138">
        <f t="shared" si="6"/>
        <v>0.2918</v>
      </c>
      <c r="E37" s="138">
        <f t="shared" si="6"/>
        <v>7.6400000398280099E-4</v>
      </c>
      <c r="F37" s="139">
        <f t="shared" si="7"/>
        <v>0.2918</v>
      </c>
      <c r="G37" s="139">
        <f t="shared" si="7"/>
        <v>7.6400000398280099E-4</v>
      </c>
      <c r="H37" s="139">
        <f t="shared" si="8"/>
        <v>8.5147239999999999E-2</v>
      </c>
      <c r="I37" s="139">
        <f t="shared" si="9"/>
        <v>2.4845964631999999E-2</v>
      </c>
      <c r="J37" s="139">
        <f t="shared" si="10"/>
        <v>7.2500524796175999E-3</v>
      </c>
      <c r="K37" s="139">
        <f t="shared" si="11"/>
        <v>2.2293520116218132E-4</v>
      </c>
      <c r="L37" s="139">
        <f t="shared" si="12"/>
        <v>6.5052491699124504E-5</v>
      </c>
      <c r="M37" s="139">
        <f t="shared" ca="1" si="4"/>
        <v>8.8968551212823368E-4</v>
      </c>
      <c r="N37" s="139">
        <f t="shared" ca="1" si="13"/>
        <v>1.5796846957775626E-8</v>
      </c>
      <c r="O37" s="140">
        <f t="shared" ca="1" si="14"/>
        <v>31601.144470996212</v>
      </c>
      <c r="P37" s="139">
        <f t="shared" ca="1" si="15"/>
        <v>5799.2453831064058</v>
      </c>
      <c r="Q37" s="139">
        <f t="shared" ca="1" si="16"/>
        <v>2628.3307591841835</v>
      </c>
      <c r="R37" s="8">
        <f t="shared" ca="1" si="5"/>
        <v>-1.2568550814543269E-4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>
      <c r="A38" s="43">
        <v>3184</v>
      </c>
      <c r="B38" s="43">
        <v>1.5520000088145025E-3</v>
      </c>
      <c r="C38" s="43">
        <v>0.7</v>
      </c>
      <c r="D38" s="138">
        <f t="shared" si="6"/>
        <v>0.31840000000000002</v>
      </c>
      <c r="E38" s="138">
        <f t="shared" si="6"/>
        <v>1.5520000088145025E-3</v>
      </c>
      <c r="F38" s="139">
        <f t="shared" si="7"/>
        <v>0.22287999999999999</v>
      </c>
      <c r="G38" s="139">
        <f t="shared" si="7"/>
        <v>1.0864000061701516E-3</v>
      </c>
      <c r="H38" s="139">
        <f t="shared" si="8"/>
        <v>7.0964992000000005E-2</v>
      </c>
      <c r="I38" s="139">
        <f t="shared" si="9"/>
        <v>2.2595253452800002E-2</v>
      </c>
      <c r="J38" s="139">
        <f t="shared" si="10"/>
        <v>7.1943286993715206E-3</v>
      </c>
      <c r="K38" s="139">
        <f t="shared" si="11"/>
        <v>3.4590976196457627E-4</v>
      </c>
      <c r="L38" s="139">
        <f t="shared" si="12"/>
        <v>1.1013766820952109E-4</v>
      </c>
      <c r="M38" s="139">
        <f t="shared" ca="1" si="4"/>
        <v>1.0535724333948721E-3</v>
      </c>
      <c r="N38" s="139">
        <f t="shared" ca="1" si="13"/>
        <v>1.7390103355708394E-7</v>
      </c>
      <c r="O38" s="140">
        <f t="shared" ca="1" si="14"/>
        <v>12768.88361584216</v>
      </c>
      <c r="P38" s="139">
        <f t="shared" ca="1" si="15"/>
        <v>211.20598340341365</v>
      </c>
      <c r="Q38" s="139">
        <f t="shared" ca="1" si="16"/>
        <v>3356.3376142651859</v>
      </c>
      <c r="R38" s="8">
        <f t="shared" ca="1" si="5"/>
        <v>4.9842757541963042E-4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>
      <c r="A39" s="43">
        <v>3184.5</v>
      </c>
      <c r="B39" s="43">
        <v>1.5285000044968911E-3</v>
      </c>
      <c r="C39" s="43">
        <v>1</v>
      </c>
      <c r="D39" s="138">
        <f t="shared" si="6"/>
        <v>0.31845000000000001</v>
      </c>
      <c r="E39" s="138">
        <f t="shared" si="6"/>
        <v>1.5285000044968911E-3</v>
      </c>
      <c r="F39" s="139">
        <f t="shared" si="7"/>
        <v>0.31845000000000001</v>
      </c>
      <c r="G39" s="139">
        <f t="shared" si="7"/>
        <v>1.5285000044968911E-3</v>
      </c>
      <c r="H39" s="139">
        <f t="shared" si="8"/>
        <v>0.10141040250000001</v>
      </c>
      <c r="I39" s="139">
        <f t="shared" si="9"/>
        <v>3.2294142676125001E-2</v>
      </c>
      <c r="J39" s="139">
        <f t="shared" si="10"/>
        <v>1.0284069735212007E-2</v>
      </c>
      <c r="K39" s="139">
        <f t="shared" si="11"/>
        <v>4.8675082643203499E-4</v>
      </c>
      <c r="L39" s="139">
        <f t="shared" si="12"/>
        <v>1.5500580067728155E-4</v>
      </c>
      <c r="M39" s="139">
        <f t="shared" ca="1" si="4"/>
        <v>1.0538917179902262E-3</v>
      </c>
      <c r="N39" s="139">
        <f t="shared" ca="1" si="13"/>
        <v>2.2525302562079243E-7</v>
      </c>
      <c r="O39" s="140">
        <f t="shared" ca="1" si="14"/>
        <v>26049.212017462578</v>
      </c>
      <c r="P39" s="139">
        <f t="shared" ca="1" si="15"/>
        <v>426.83090350310277</v>
      </c>
      <c r="Q39" s="139">
        <f t="shared" ca="1" si="16"/>
        <v>6859.1721883430728</v>
      </c>
      <c r="R39" s="8">
        <f t="shared" ca="1" si="5"/>
        <v>4.7460828650666481E-4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>
      <c r="A40" s="43">
        <v>3250.5</v>
      </c>
      <c r="B40" s="43">
        <v>1.2365000002318993E-3</v>
      </c>
      <c r="C40" s="43">
        <v>1</v>
      </c>
      <c r="D40" s="138">
        <f t="shared" si="6"/>
        <v>0.32505000000000001</v>
      </c>
      <c r="E40" s="138">
        <f t="shared" si="6"/>
        <v>1.2365000002318993E-3</v>
      </c>
      <c r="F40" s="139">
        <f t="shared" si="7"/>
        <v>0.32505000000000001</v>
      </c>
      <c r="G40" s="139">
        <f t="shared" si="7"/>
        <v>1.2365000002318993E-3</v>
      </c>
      <c r="H40" s="139">
        <f t="shared" si="8"/>
        <v>0.1056575025</v>
      </c>
      <c r="I40" s="139">
        <f t="shared" si="9"/>
        <v>3.4343971187625E-2</v>
      </c>
      <c r="J40" s="139">
        <f t="shared" si="10"/>
        <v>1.1163507834537506E-2</v>
      </c>
      <c r="K40" s="139">
        <f t="shared" si="11"/>
        <v>4.019243250753789E-4</v>
      </c>
      <c r="L40" s="139">
        <f t="shared" si="12"/>
        <v>1.3064550186575193E-4</v>
      </c>
      <c r="M40" s="139">
        <f t="shared" ca="1" si="4"/>
        <v>1.0964070631027368E-3</v>
      </c>
      <c r="N40" s="139">
        <f t="shared" ca="1" si="13"/>
        <v>1.962603103347549E-8</v>
      </c>
      <c r="O40" s="140">
        <f t="shared" ca="1" si="14"/>
        <v>24786.075169531839</v>
      </c>
      <c r="P40" s="139">
        <f t="shared" ca="1" si="15"/>
        <v>54.144040486967796</v>
      </c>
      <c r="Q40" s="139">
        <f t="shared" ca="1" si="16"/>
        <v>8160.7194025143226</v>
      </c>
      <c r="R40" s="8">
        <f t="shared" ca="1" si="5"/>
        <v>1.4009293712916255E-4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>
      <c r="A41" s="43">
        <v>3256</v>
      </c>
      <c r="B41" s="43">
        <v>1.1680000025080517E-3</v>
      </c>
      <c r="C41" s="43">
        <v>1</v>
      </c>
      <c r="D41" s="138">
        <f t="shared" si="6"/>
        <v>0.3256</v>
      </c>
      <c r="E41" s="138">
        <f t="shared" si="6"/>
        <v>1.1680000025080517E-3</v>
      </c>
      <c r="F41" s="139">
        <f t="shared" si="7"/>
        <v>0.3256</v>
      </c>
      <c r="G41" s="139">
        <f t="shared" si="7"/>
        <v>1.1680000025080517E-3</v>
      </c>
      <c r="H41" s="139">
        <f t="shared" si="8"/>
        <v>0.10601536</v>
      </c>
      <c r="I41" s="139">
        <f t="shared" si="9"/>
        <v>3.4518601215999999E-2</v>
      </c>
      <c r="J41" s="139">
        <f t="shared" si="10"/>
        <v>1.1239256555929599E-2</v>
      </c>
      <c r="K41" s="139">
        <f t="shared" si="11"/>
        <v>3.8030080081662165E-4</v>
      </c>
      <c r="L41" s="139">
        <f t="shared" si="12"/>
        <v>1.2382594074589201E-4</v>
      </c>
      <c r="M41" s="139">
        <f t="shared" ca="1" si="4"/>
        <v>1.0999831403139834E-3</v>
      </c>
      <c r="N41" s="139">
        <f t="shared" ca="1" si="13"/>
        <v>4.6262935427268727E-9</v>
      </c>
      <c r="O41" s="140">
        <f t="shared" ca="1" si="14"/>
        <v>24682.74998855732</v>
      </c>
      <c r="P41" s="139">
        <f t="shared" ca="1" si="15"/>
        <v>39.158880081181813</v>
      </c>
      <c r="Q41" s="139">
        <f t="shared" ca="1" si="16"/>
        <v>8273.31197547587</v>
      </c>
      <c r="R41" s="8">
        <f t="shared" ca="1" si="5"/>
        <v>6.8016862194068264E-5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>
      <c r="A42" s="43">
        <v>3747</v>
      </c>
      <c r="B42" s="43">
        <v>8.8099999993573874E-4</v>
      </c>
      <c r="C42" s="43">
        <v>1</v>
      </c>
      <c r="D42" s="138">
        <f t="shared" si="6"/>
        <v>0.37469999999999998</v>
      </c>
      <c r="E42" s="138">
        <f t="shared" si="6"/>
        <v>8.8099999993573874E-4</v>
      </c>
      <c r="F42" s="139">
        <f t="shared" si="7"/>
        <v>0.37469999999999998</v>
      </c>
      <c r="G42" s="139">
        <f t="shared" si="7"/>
        <v>8.8099999993573874E-4</v>
      </c>
      <c r="H42" s="139">
        <f t="shared" si="8"/>
        <v>0.14040008999999998</v>
      </c>
      <c r="I42" s="139">
        <f t="shared" si="9"/>
        <v>5.2607913722999985E-2</v>
      </c>
      <c r="J42" s="139">
        <f t="shared" si="10"/>
        <v>1.9712185272008093E-2</v>
      </c>
      <c r="K42" s="139">
        <f t="shared" si="11"/>
        <v>3.301106999759213E-4</v>
      </c>
      <c r="L42" s="139">
        <f t="shared" si="12"/>
        <v>1.2369247928097771E-4</v>
      </c>
      <c r="M42" s="139">
        <f t="shared" ca="1" si="4"/>
        <v>1.4397681903110069E-3</v>
      </c>
      <c r="N42" s="139">
        <f t="shared" ca="1" si="13"/>
        <v>3.1222189057525189E-7</v>
      </c>
      <c r="O42" s="140">
        <f t="shared" ca="1" si="14"/>
        <v>16591.114910774813</v>
      </c>
      <c r="P42" s="139">
        <f t="shared" ca="1" si="15"/>
        <v>7584.3290967885578</v>
      </c>
      <c r="Q42" s="139">
        <f t="shared" ca="1" si="16"/>
        <v>20475.896244573585</v>
      </c>
      <c r="R42" s="8">
        <f t="shared" ca="1" si="5"/>
        <v>-5.5876819037526814E-4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>
      <c r="A43" s="43">
        <v>3794</v>
      </c>
      <c r="B43" s="43">
        <v>1.0220000040135346E-3</v>
      </c>
      <c r="C43" s="43">
        <v>1</v>
      </c>
      <c r="D43" s="138">
        <f t="shared" si="6"/>
        <v>0.37940000000000002</v>
      </c>
      <c r="E43" s="138">
        <f t="shared" si="6"/>
        <v>1.0220000040135346E-3</v>
      </c>
      <c r="F43" s="139">
        <f t="shared" si="7"/>
        <v>0.37940000000000002</v>
      </c>
      <c r="G43" s="139">
        <f t="shared" si="7"/>
        <v>1.0220000040135346E-3</v>
      </c>
      <c r="H43" s="139">
        <f t="shared" si="8"/>
        <v>0.14394436000000002</v>
      </c>
      <c r="I43" s="139">
        <f t="shared" si="9"/>
        <v>5.4612490184000009E-2</v>
      </c>
      <c r="J43" s="139">
        <f t="shared" si="10"/>
        <v>2.0719978775809604E-2</v>
      </c>
      <c r="K43" s="139">
        <f t="shared" si="11"/>
        <v>3.8774680152273508E-4</v>
      </c>
      <c r="L43" s="139">
        <f t="shared" si="12"/>
        <v>1.471111364977257E-4</v>
      </c>
      <c r="M43" s="139">
        <f t="shared" ca="1" si="4"/>
        <v>1.4744238153909541E-3</v>
      </c>
      <c r="N43" s="139">
        <f t="shared" ca="1" si="13"/>
        <v>2.0468730510127079E-7</v>
      </c>
      <c r="O43" s="140">
        <f t="shared" ca="1" si="14"/>
        <v>15927.37739840318</v>
      </c>
      <c r="P43" s="139">
        <f t="shared" ca="1" si="15"/>
        <v>9123.0627006151026</v>
      </c>
      <c r="Q43" s="139">
        <f t="shared" ca="1" si="16"/>
        <v>21827.60982608642</v>
      </c>
      <c r="R43" s="8">
        <f t="shared" ca="1" si="5"/>
        <v>-4.5242381137741944E-4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>
      <c r="A44" s="43">
        <v>3799.5</v>
      </c>
      <c r="B44" s="43">
        <v>2.5935000012395903E-3</v>
      </c>
      <c r="C44" s="43">
        <v>1</v>
      </c>
      <c r="D44" s="138">
        <f t="shared" si="6"/>
        <v>0.37995000000000001</v>
      </c>
      <c r="E44" s="138">
        <f t="shared" si="6"/>
        <v>2.5935000012395903E-3</v>
      </c>
      <c r="F44" s="139">
        <f t="shared" si="7"/>
        <v>0.37995000000000001</v>
      </c>
      <c r="G44" s="139">
        <f t="shared" si="7"/>
        <v>2.5935000012395903E-3</v>
      </c>
      <c r="H44" s="139">
        <f t="shared" si="8"/>
        <v>0.1443620025</v>
      </c>
      <c r="I44" s="139">
        <f t="shared" si="9"/>
        <v>5.4850342849875E-2</v>
      </c>
      <c r="J44" s="139">
        <f t="shared" si="10"/>
        <v>2.0840387765810008E-2</v>
      </c>
      <c r="K44" s="139">
        <f t="shared" si="11"/>
        <v>9.854003254709824E-4</v>
      </c>
      <c r="L44" s="139">
        <f t="shared" si="12"/>
        <v>3.744028536626998E-4</v>
      </c>
      <c r="M44" s="139">
        <f t="shared" ca="1" si="4"/>
        <v>1.4785035884136231E-3</v>
      </c>
      <c r="N44" s="139">
        <f t="shared" ca="1" si="13"/>
        <v>1.2432170006147749E-6</v>
      </c>
      <c r="O44" s="140">
        <f t="shared" ca="1" si="14"/>
        <v>15850.897068560644</v>
      </c>
      <c r="P44" s="139">
        <f t="shared" ca="1" si="15"/>
        <v>9311.2881595533363</v>
      </c>
      <c r="Q44" s="139">
        <f t="shared" ca="1" si="16"/>
        <v>21987.451209384839</v>
      </c>
      <c r="R44" s="8">
        <f t="shared" ca="1" si="5"/>
        <v>1.1149964128259672E-3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>
      <c r="A45" s="43">
        <v>4046</v>
      </c>
      <c r="B45" s="43">
        <v>1.2980000028619543E-3</v>
      </c>
      <c r="C45" s="43">
        <v>1</v>
      </c>
      <c r="D45" s="138">
        <f t="shared" si="6"/>
        <v>0.40460000000000002</v>
      </c>
      <c r="E45" s="138">
        <f t="shared" si="6"/>
        <v>1.2980000028619543E-3</v>
      </c>
      <c r="F45" s="139">
        <f t="shared" si="7"/>
        <v>0.40460000000000002</v>
      </c>
      <c r="G45" s="139">
        <f t="shared" si="7"/>
        <v>1.2980000028619543E-3</v>
      </c>
      <c r="H45" s="139">
        <f t="shared" si="8"/>
        <v>0.16370116000000001</v>
      </c>
      <c r="I45" s="139">
        <f t="shared" si="9"/>
        <v>6.6233489336000012E-2</v>
      </c>
      <c r="J45" s="139">
        <f t="shared" si="10"/>
        <v>2.6798069785345605E-2</v>
      </c>
      <c r="K45" s="139">
        <f t="shared" si="11"/>
        <v>5.2517080115794667E-4</v>
      </c>
      <c r="L45" s="139">
        <f t="shared" si="12"/>
        <v>2.1248410614850522E-4</v>
      </c>
      <c r="M45" s="139">
        <f t="shared" ca="1" si="4"/>
        <v>1.6665851136891221E-3</v>
      </c>
      <c r="N45" s="139">
        <f t="shared" ca="1" si="13"/>
        <v>1.3585498392347557E-7</v>
      </c>
      <c r="O45" s="140">
        <f t="shared" ca="1" si="14"/>
        <v>12670.876666312486</v>
      </c>
      <c r="P45" s="139">
        <f t="shared" ca="1" si="15"/>
        <v>19371.152526548329</v>
      </c>
      <c r="Q45" s="139">
        <f t="shared" ca="1" si="16"/>
        <v>29460.041283206523</v>
      </c>
      <c r="R45" s="8">
        <f t="shared" ca="1" si="5"/>
        <v>-3.6858511082716781E-4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>
      <c r="A46" s="43">
        <v>4234.5</v>
      </c>
      <c r="B46" s="43">
        <v>2.0185000030323863E-3</v>
      </c>
      <c r="C46" s="43">
        <v>1</v>
      </c>
      <c r="D46" s="138">
        <f t="shared" si="6"/>
        <v>0.42344999999999999</v>
      </c>
      <c r="E46" s="138">
        <f t="shared" si="6"/>
        <v>2.0185000030323863E-3</v>
      </c>
      <c r="F46" s="139">
        <f t="shared" si="7"/>
        <v>0.42344999999999999</v>
      </c>
      <c r="G46" s="139">
        <f t="shared" si="7"/>
        <v>2.0185000030323863E-3</v>
      </c>
      <c r="H46" s="139">
        <f t="shared" si="8"/>
        <v>0.17930990250000001</v>
      </c>
      <c r="I46" s="139">
        <f t="shared" si="9"/>
        <v>7.5928778213624995E-2</v>
      </c>
      <c r="J46" s="139">
        <f t="shared" si="10"/>
        <v>3.2152041134559502E-2</v>
      </c>
      <c r="K46" s="139">
        <f t="shared" si="11"/>
        <v>8.5473382628406395E-4</v>
      </c>
      <c r="L46" s="139">
        <f t="shared" si="12"/>
        <v>3.6193703873998686E-4</v>
      </c>
      <c r="M46" s="139">
        <f t="shared" ca="1" si="4"/>
        <v>1.8173205503688485E-3</v>
      </c>
      <c r="N46" s="139">
        <f t="shared" ca="1" si="13"/>
        <v>4.0473172174000661E-8</v>
      </c>
      <c r="O46" s="140">
        <f t="shared" ca="1" si="14"/>
        <v>10549.745763754043</v>
      </c>
      <c r="P46" s="139">
        <f t="shared" ca="1" si="15"/>
        <v>28958.666995549185</v>
      </c>
      <c r="Q46" s="139">
        <f t="shared" ca="1" si="16"/>
        <v>35490.360640069404</v>
      </c>
      <c r="R46" s="8">
        <f t="shared" ca="1" si="5"/>
        <v>2.0117945266353784E-4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>
      <c r="A47" s="43">
        <v>4841.5</v>
      </c>
      <c r="B47" s="43">
        <v>2.9495000053429976E-3</v>
      </c>
      <c r="C47" s="43">
        <v>1</v>
      </c>
      <c r="D47" s="138">
        <f t="shared" si="6"/>
        <v>0.48415000000000002</v>
      </c>
      <c r="E47" s="138">
        <f t="shared" si="6"/>
        <v>2.9495000053429976E-3</v>
      </c>
      <c r="F47" s="139">
        <f t="shared" si="7"/>
        <v>0.48415000000000002</v>
      </c>
      <c r="G47" s="139">
        <f t="shared" si="7"/>
        <v>2.9495000053429976E-3</v>
      </c>
      <c r="H47" s="139">
        <f t="shared" si="8"/>
        <v>0.23440122250000003</v>
      </c>
      <c r="I47" s="139">
        <f t="shared" si="9"/>
        <v>0.11348535187337502</v>
      </c>
      <c r="J47" s="139">
        <f t="shared" si="10"/>
        <v>5.4943933109494518E-2</v>
      </c>
      <c r="K47" s="139">
        <f t="shared" si="11"/>
        <v>1.4280004275868123E-3</v>
      </c>
      <c r="L47" s="139">
        <f t="shared" si="12"/>
        <v>6.9136640701615527E-4</v>
      </c>
      <c r="M47" s="139">
        <f t="shared" ca="1" si="4"/>
        <v>2.3433948977566342E-3</v>
      </c>
      <c r="N47" s="139">
        <f t="shared" ca="1" si="13"/>
        <v>3.6736340144227723E-7</v>
      </c>
      <c r="O47" s="140">
        <f t="shared" ca="1" si="14"/>
        <v>5330.8783649896886</v>
      </c>
      <c r="P47" s="139">
        <f t="shared" ca="1" si="15"/>
        <v>67734.522061054973</v>
      </c>
      <c r="Q47" s="139">
        <f t="shared" ca="1" si="16"/>
        <v>55590.343621672109</v>
      </c>
      <c r="R47" s="8">
        <f t="shared" ca="1" si="5"/>
        <v>6.0610510758636344E-4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>
      <c r="A48" s="43">
        <v>4924.5</v>
      </c>
      <c r="B48" s="43">
        <v>2.2785000037401915E-3</v>
      </c>
      <c r="C48" s="43">
        <v>1</v>
      </c>
      <c r="D48" s="138">
        <f t="shared" si="6"/>
        <v>0.49245</v>
      </c>
      <c r="E48" s="138">
        <f t="shared" si="6"/>
        <v>2.2785000037401915E-3</v>
      </c>
      <c r="F48" s="139">
        <f t="shared" si="7"/>
        <v>0.49245</v>
      </c>
      <c r="G48" s="139">
        <f t="shared" si="7"/>
        <v>2.2785000037401915E-3</v>
      </c>
      <c r="H48" s="139">
        <f t="shared" si="8"/>
        <v>0.24250700249999999</v>
      </c>
      <c r="I48" s="139">
        <f t="shared" si="9"/>
        <v>0.119422573381125</v>
      </c>
      <c r="J48" s="139">
        <f t="shared" si="10"/>
        <v>5.8809646261535002E-2</v>
      </c>
      <c r="K48" s="139">
        <f t="shared" si="11"/>
        <v>1.1220473268418573E-3</v>
      </c>
      <c r="L48" s="139">
        <f t="shared" si="12"/>
        <v>5.5255220610327268E-4</v>
      </c>
      <c r="M48" s="139">
        <f t="shared" ca="1" si="4"/>
        <v>2.4201543476779267E-3</v>
      </c>
      <c r="N48" s="139">
        <f t="shared" ca="1" si="13"/>
        <v>2.0065953156430188E-8</v>
      </c>
      <c r="O48" s="140">
        <f t="shared" ca="1" si="14"/>
        <v>4787.6081957254892</v>
      </c>
      <c r="P48" s="139">
        <f t="shared" ca="1" si="15"/>
        <v>73671.364510488536</v>
      </c>
      <c r="Q48" s="139">
        <f t="shared" ca="1" si="16"/>
        <v>58312.072747233651</v>
      </c>
      <c r="R48" s="8">
        <f t="shared" ca="1" si="5"/>
        <v>-1.4165434393773524E-4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>
      <c r="A49" s="43">
        <v>4924.5</v>
      </c>
      <c r="B49" s="43">
        <v>2.4784999986877665E-3</v>
      </c>
      <c r="C49" s="43">
        <v>1</v>
      </c>
      <c r="D49" s="138">
        <f t="shared" si="6"/>
        <v>0.49245</v>
      </c>
      <c r="E49" s="138">
        <f t="shared" si="6"/>
        <v>2.4784999986877665E-3</v>
      </c>
      <c r="F49" s="139">
        <f t="shared" si="7"/>
        <v>0.49245</v>
      </c>
      <c r="G49" s="139">
        <f t="shared" si="7"/>
        <v>2.4784999986877665E-3</v>
      </c>
      <c r="H49" s="139">
        <f t="shared" si="8"/>
        <v>0.24250700249999999</v>
      </c>
      <c r="I49" s="139">
        <f t="shared" si="9"/>
        <v>0.119422573381125</v>
      </c>
      <c r="J49" s="139">
        <f t="shared" si="10"/>
        <v>5.8809646261535002E-2</v>
      </c>
      <c r="K49" s="139">
        <f t="shared" si="11"/>
        <v>1.2205373243537906E-3</v>
      </c>
      <c r="L49" s="139">
        <f t="shared" si="12"/>
        <v>6.0105360537802423E-4</v>
      </c>
      <c r="M49" s="139">
        <f t="shared" ca="1" si="4"/>
        <v>2.4201543476779267E-3</v>
      </c>
      <c r="N49" s="139">
        <f t="shared" ca="1" si="13"/>
        <v>3.4042149917620199E-9</v>
      </c>
      <c r="O49" s="140">
        <f t="shared" ca="1" si="14"/>
        <v>4787.6081957254892</v>
      </c>
      <c r="P49" s="139">
        <f t="shared" ca="1" si="15"/>
        <v>73671.364510488536</v>
      </c>
      <c r="Q49" s="139">
        <f t="shared" ca="1" si="16"/>
        <v>58312.072747233651</v>
      </c>
      <c r="R49" s="8">
        <f t="shared" ca="1" si="5"/>
        <v>5.8345651009839797E-5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>
      <c r="A50" s="43">
        <v>4924.5</v>
      </c>
      <c r="B50" s="43">
        <v>2.4784999986877665E-3</v>
      </c>
      <c r="C50" s="43">
        <v>1</v>
      </c>
      <c r="D50" s="138">
        <f t="shared" si="6"/>
        <v>0.49245</v>
      </c>
      <c r="E50" s="138">
        <f t="shared" si="6"/>
        <v>2.4784999986877665E-3</v>
      </c>
      <c r="F50" s="139">
        <f t="shared" si="7"/>
        <v>0.49245</v>
      </c>
      <c r="G50" s="139">
        <f t="shared" si="7"/>
        <v>2.4784999986877665E-3</v>
      </c>
      <c r="H50" s="139">
        <f t="shared" si="8"/>
        <v>0.24250700249999999</v>
      </c>
      <c r="I50" s="139">
        <f t="shared" si="9"/>
        <v>0.119422573381125</v>
      </c>
      <c r="J50" s="139">
        <f t="shared" si="10"/>
        <v>5.8809646261535002E-2</v>
      </c>
      <c r="K50" s="139">
        <f t="shared" si="11"/>
        <v>1.2205373243537906E-3</v>
      </c>
      <c r="L50" s="139">
        <f t="shared" si="12"/>
        <v>6.0105360537802423E-4</v>
      </c>
      <c r="M50" s="139">
        <f t="shared" ca="1" si="4"/>
        <v>2.4201543476779267E-3</v>
      </c>
      <c r="N50" s="139">
        <f t="shared" ca="1" si="13"/>
        <v>3.4042149917620199E-9</v>
      </c>
      <c r="O50" s="140">
        <f t="shared" ca="1" si="14"/>
        <v>4787.6081957254892</v>
      </c>
      <c r="P50" s="139">
        <f t="shared" ca="1" si="15"/>
        <v>73671.364510488536</v>
      </c>
      <c r="Q50" s="139">
        <f t="shared" ca="1" si="16"/>
        <v>58312.072747233651</v>
      </c>
      <c r="R50" s="8">
        <f t="shared" ca="1" si="5"/>
        <v>5.8345651009839797E-5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>
      <c r="A51" s="43">
        <v>5898.5</v>
      </c>
      <c r="B51" s="43">
        <v>3.6705000020447187E-3</v>
      </c>
      <c r="C51" s="43">
        <v>1</v>
      </c>
      <c r="D51" s="138">
        <f t="shared" si="6"/>
        <v>0.58984999999999999</v>
      </c>
      <c r="E51" s="138">
        <f t="shared" si="6"/>
        <v>3.6705000020447187E-3</v>
      </c>
      <c r="F51" s="139">
        <f t="shared" si="7"/>
        <v>0.58984999999999999</v>
      </c>
      <c r="G51" s="139">
        <f t="shared" si="7"/>
        <v>3.6705000020447187E-3</v>
      </c>
      <c r="H51" s="139">
        <f t="shared" si="8"/>
        <v>0.34792302249999996</v>
      </c>
      <c r="I51" s="139">
        <f t="shared" si="9"/>
        <v>0.20522239482162496</v>
      </c>
      <c r="J51" s="139">
        <f t="shared" si="10"/>
        <v>0.12105042958553548</v>
      </c>
      <c r="K51" s="139">
        <f t="shared" si="11"/>
        <v>2.1650444262060775E-3</v>
      </c>
      <c r="L51" s="139">
        <f t="shared" si="12"/>
        <v>1.2770514547976548E-3</v>
      </c>
      <c r="M51" s="139">
        <f t="shared" ca="1" si="4"/>
        <v>3.4076599974674406E-3</v>
      </c>
      <c r="N51" s="139">
        <f t="shared" ca="1" si="13"/>
        <v>6.9084868006183563E-8</v>
      </c>
      <c r="O51" s="140">
        <f t="shared" ca="1" si="14"/>
        <v>822.99253106590379</v>
      </c>
      <c r="P51" s="139">
        <f t="shared" ca="1" si="15"/>
        <v>145731.69044634892</v>
      </c>
      <c r="Q51" s="139">
        <f t="shared" ca="1" si="16"/>
        <v>86694.101478855227</v>
      </c>
      <c r="R51" s="8">
        <f t="shared" ca="1" si="5"/>
        <v>2.6284000457727809E-4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>
      <c r="A52" s="43">
        <v>6881</v>
      </c>
      <c r="B52" s="43">
        <v>4.5430000027408823E-3</v>
      </c>
      <c r="C52" s="43">
        <v>1</v>
      </c>
      <c r="D52" s="138">
        <f t="shared" si="6"/>
        <v>0.68810000000000004</v>
      </c>
      <c r="E52" s="138">
        <f t="shared" si="6"/>
        <v>4.5430000027408823E-3</v>
      </c>
      <c r="F52" s="139">
        <f t="shared" si="7"/>
        <v>0.68810000000000004</v>
      </c>
      <c r="G52" s="139">
        <f t="shared" si="7"/>
        <v>4.5430000027408823E-3</v>
      </c>
      <c r="H52" s="139">
        <f t="shared" si="8"/>
        <v>0.47348161000000005</v>
      </c>
      <c r="I52" s="139">
        <f t="shared" si="9"/>
        <v>0.32580269584100008</v>
      </c>
      <c r="J52" s="139">
        <f t="shared" si="10"/>
        <v>0.22418483500819217</v>
      </c>
      <c r="K52" s="139">
        <f t="shared" si="11"/>
        <v>3.1260383018860013E-3</v>
      </c>
      <c r="L52" s="139">
        <f t="shared" si="12"/>
        <v>2.1510269555277575E-3</v>
      </c>
      <c r="M52" s="139">
        <f t="shared" ca="1" si="4"/>
        <v>4.565736330659733E-3</v>
      </c>
      <c r="N52" s="139">
        <f t="shared" ca="1" si="13"/>
        <v>5.1694060723350933E-10</v>
      </c>
      <c r="O52" s="140">
        <f t="shared" ca="1" si="14"/>
        <v>16.745040122843825</v>
      </c>
      <c r="P52" s="139">
        <f t="shared" ca="1" si="15"/>
        <v>206447.8293757849</v>
      </c>
      <c r="Q52" s="139">
        <f t="shared" ca="1" si="16"/>
        <v>103548.14210465219</v>
      </c>
      <c r="R52" s="8">
        <f t="shared" ca="1" si="5"/>
        <v>-2.2736327918850691E-5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>
      <c r="A53" s="43">
        <v>6881</v>
      </c>
      <c r="B53" s="43">
        <v>4.6430000002146699E-3</v>
      </c>
      <c r="C53" s="43">
        <v>1</v>
      </c>
      <c r="D53" s="138">
        <f t="shared" si="6"/>
        <v>0.68810000000000004</v>
      </c>
      <c r="E53" s="138">
        <f t="shared" si="6"/>
        <v>4.6430000002146699E-3</v>
      </c>
      <c r="F53" s="139">
        <f t="shared" si="7"/>
        <v>0.68810000000000004</v>
      </c>
      <c r="G53" s="139">
        <f t="shared" si="7"/>
        <v>4.6430000002146699E-3</v>
      </c>
      <c r="H53" s="139">
        <f t="shared" si="8"/>
        <v>0.47348161000000005</v>
      </c>
      <c r="I53" s="139">
        <f t="shared" si="9"/>
        <v>0.32580269584100008</v>
      </c>
      <c r="J53" s="139">
        <f t="shared" si="10"/>
        <v>0.22418483500819217</v>
      </c>
      <c r="K53" s="139">
        <f t="shared" si="11"/>
        <v>3.1948483001477145E-3</v>
      </c>
      <c r="L53" s="139">
        <f t="shared" si="12"/>
        <v>2.1983751153316425E-3</v>
      </c>
      <c r="M53" s="139">
        <f t="shared" ca="1" si="4"/>
        <v>4.565736330659733E-3</v>
      </c>
      <c r="N53" s="139">
        <f t="shared" ca="1" si="13"/>
        <v>5.9696746330944718E-9</v>
      </c>
      <c r="O53" s="140">
        <f t="shared" ca="1" si="14"/>
        <v>16.745040122843825</v>
      </c>
      <c r="P53" s="139">
        <f t="shared" ca="1" si="15"/>
        <v>206447.8293757849</v>
      </c>
      <c r="Q53" s="139">
        <f t="shared" ca="1" si="16"/>
        <v>103548.14210465219</v>
      </c>
      <c r="R53" s="8">
        <f t="shared" ca="1" si="5"/>
        <v>7.7263669554936826E-5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>
      <c r="A54" s="43">
        <v>6881</v>
      </c>
      <c r="B54" s="43">
        <v>5.2429999996093102E-3</v>
      </c>
      <c r="C54" s="43">
        <v>1</v>
      </c>
      <c r="D54" s="138">
        <f t="shared" si="6"/>
        <v>0.68810000000000004</v>
      </c>
      <c r="E54" s="138">
        <f t="shared" si="6"/>
        <v>5.2429999996093102E-3</v>
      </c>
      <c r="F54" s="139">
        <f t="shared" si="7"/>
        <v>0.68810000000000004</v>
      </c>
      <c r="G54" s="139">
        <f t="shared" si="7"/>
        <v>5.2429999996093102E-3</v>
      </c>
      <c r="H54" s="139">
        <f t="shared" si="8"/>
        <v>0.47348161000000005</v>
      </c>
      <c r="I54" s="139">
        <f t="shared" si="9"/>
        <v>0.32580269584100008</v>
      </c>
      <c r="J54" s="139">
        <f t="shared" si="10"/>
        <v>0.22418483500819217</v>
      </c>
      <c r="K54" s="139">
        <f t="shared" si="11"/>
        <v>3.6077082997311664E-3</v>
      </c>
      <c r="L54" s="139">
        <f t="shared" si="12"/>
        <v>2.4824640810450159E-3</v>
      </c>
      <c r="M54" s="139">
        <f t="shared" ca="1" si="4"/>
        <v>4.565736330659733E-3</v>
      </c>
      <c r="N54" s="139">
        <f t="shared" ca="1" si="13"/>
        <v>4.5868607727904245E-7</v>
      </c>
      <c r="O54" s="140">
        <f t="shared" ca="1" si="14"/>
        <v>16.745040122843825</v>
      </c>
      <c r="P54" s="139">
        <f t="shared" ca="1" si="15"/>
        <v>206447.8293757849</v>
      </c>
      <c r="Q54" s="139">
        <f t="shared" ca="1" si="16"/>
        <v>103548.14210465219</v>
      </c>
      <c r="R54" s="8">
        <f t="shared" ca="1" si="5"/>
        <v>6.7726366894957715E-4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>
      <c r="A55" s="43">
        <v>7040</v>
      </c>
      <c r="B55" s="43">
        <v>4.9199999994016252E-3</v>
      </c>
      <c r="C55" s="43">
        <v>1</v>
      </c>
      <c r="D55" s="138">
        <f t="shared" si="6"/>
        <v>0.70399999999999996</v>
      </c>
      <c r="E55" s="138">
        <f t="shared" si="6"/>
        <v>4.9199999994016252E-3</v>
      </c>
      <c r="F55" s="139">
        <f t="shared" si="7"/>
        <v>0.70399999999999996</v>
      </c>
      <c r="G55" s="139">
        <f t="shared" si="7"/>
        <v>4.9199999994016252E-3</v>
      </c>
      <c r="H55" s="139">
        <f t="shared" si="8"/>
        <v>0.49561599999999995</v>
      </c>
      <c r="I55" s="139">
        <f t="shared" si="9"/>
        <v>0.34891366399999996</v>
      </c>
      <c r="J55" s="139">
        <f t="shared" si="10"/>
        <v>0.24563521945599995</v>
      </c>
      <c r="K55" s="139">
        <f t="shared" si="11"/>
        <v>3.4636799995787439E-3</v>
      </c>
      <c r="L55" s="139">
        <f t="shared" si="12"/>
        <v>2.4384307197034354E-3</v>
      </c>
      <c r="M55" s="139">
        <f t="shared" ca="1" si="4"/>
        <v>4.7684416773293888E-3</v>
      </c>
      <c r="N55" s="139">
        <f t="shared" ca="1" si="13"/>
        <v>2.2969924989351766E-8</v>
      </c>
      <c r="O55" s="140">
        <f t="shared" ca="1" si="14"/>
        <v>74.54886303583686</v>
      </c>
      <c r="P55" s="139">
        <f t="shared" ca="1" si="15"/>
        <v>213874.76635601348</v>
      </c>
      <c r="Q55" s="139">
        <f t="shared" ca="1" si="16"/>
        <v>104816.31678570947</v>
      </c>
      <c r="R55" s="8">
        <f t="shared" ca="1" si="5"/>
        <v>1.5155832207223649E-4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>
      <c r="A56" s="43">
        <v>7194</v>
      </c>
      <c r="B56" s="43">
        <v>6.1819999973522499E-3</v>
      </c>
      <c r="C56" s="43">
        <v>1</v>
      </c>
      <c r="D56" s="138">
        <f t="shared" si="6"/>
        <v>0.71940000000000004</v>
      </c>
      <c r="E56" s="138">
        <f t="shared" si="6"/>
        <v>6.1819999973522499E-3</v>
      </c>
      <c r="F56" s="139">
        <f t="shared" si="7"/>
        <v>0.71940000000000004</v>
      </c>
      <c r="G56" s="139">
        <f t="shared" si="7"/>
        <v>6.1819999973522499E-3</v>
      </c>
      <c r="H56" s="139">
        <f t="shared" si="8"/>
        <v>0.51753636000000003</v>
      </c>
      <c r="I56" s="139">
        <f t="shared" si="9"/>
        <v>0.37231565738400002</v>
      </c>
      <c r="J56" s="139">
        <f t="shared" si="10"/>
        <v>0.26784388392204961</v>
      </c>
      <c r="K56" s="139">
        <f t="shared" si="11"/>
        <v>4.4473307980952091E-3</v>
      </c>
      <c r="L56" s="139">
        <f t="shared" si="12"/>
        <v>3.1994097761496934E-3</v>
      </c>
      <c r="M56" s="139">
        <f t="shared" ca="1" si="4"/>
        <v>4.9688337184692483E-3</v>
      </c>
      <c r="N56" s="139">
        <f t="shared" ca="1" si="13"/>
        <v>1.471772420218829E-6</v>
      </c>
      <c r="O56" s="140">
        <f t="shared" ca="1" si="14"/>
        <v>164.63110073751062</v>
      </c>
      <c r="P56" s="139">
        <f t="shared" ca="1" si="15"/>
        <v>220282.12613810389</v>
      </c>
      <c r="Q56" s="139">
        <f t="shared" ca="1" si="16"/>
        <v>105626.59490242194</v>
      </c>
      <c r="R56" s="8">
        <f t="shared" ca="1" si="5"/>
        <v>1.2131662788830017E-3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>
      <c r="A57" s="43">
        <v>7194.5</v>
      </c>
      <c r="B57" s="43">
        <v>6.758500006981194E-3</v>
      </c>
      <c r="C57" s="43">
        <v>1</v>
      </c>
      <c r="D57" s="138">
        <f t="shared" si="6"/>
        <v>0.71945000000000003</v>
      </c>
      <c r="E57" s="138">
        <f t="shared" si="6"/>
        <v>6.758500006981194E-3</v>
      </c>
      <c r="F57" s="139">
        <f t="shared" si="7"/>
        <v>0.71945000000000003</v>
      </c>
      <c r="G57" s="139">
        <f t="shared" si="7"/>
        <v>6.758500006981194E-3</v>
      </c>
      <c r="H57" s="139">
        <f t="shared" si="8"/>
        <v>0.51760830250000001</v>
      </c>
      <c r="I57" s="139">
        <f t="shared" si="9"/>
        <v>0.37239329323362502</v>
      </c>
      <c r="J57" s="139">
        <f t="shared" si="10"/>
        <v>0.26791835481693155</v>
      </c>
      <c r="K57" s="139">
        <f t="shared" si="11"/>
        <v>4.8624028300226201E-3</v>
      </c>
      <c r="L57" s="139">
        <f t="shared" si="12"/>
        <v>3.498255716059774E-3</v>
      </c>
      <c r="M57" s="139">
        <f t="shared" ca="1" si="4"/>
        <v>4.9694908503847999E-3</v>
      </c>
      <c r="N57" s="139">
        <f t="shared" ca="1" si="13"/>
        <v>3.2005537623857414E-6</v>
      </c>
      <c r="O57" s="140">
        <f t="shared" ca="1" si="14"/>
        <v>164.97260426583048</v>
      </c>
      <c r="P57" s="139">
        <f t="shared" ca="1" si="15"/>
        <v>220301.62448591433</v>
      </c>
      <c r="Q57" s="139">
        <f t="shared" ca="1" si="16"/>
        <v>105628.54971496211</v>
      </c>
      <c r="R57" s="8">
        <f t="shared" ca="1" si="5"/>
        <v>1.7890091565963941E-3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>
      <c r="A58" s="43">
        <v>7892</v>
      </c>
      <c r="B58" s="43">
        <v>7.0760000016889535E-3</v>
      </c>
      <c r="C58" s="43">
        <v>1</v>
      </c>
      <c r="D58" s="138">
        <f t="shared" si="6"/>
        <v>0.78920000000000001</v>
      </c>
      <c r="E58" s="138">
        <f t="shared" si="6"/>
        <v>7.0760000016889535E-3</v>
      </c>
      <c r="F58" s="139">
        <f t="shared" si="7"/>
        <v>0.78920000000000001</v>
      </c>
      <c r="G58" s="139">
        <f t="shared" si="7"/>
        <v>7.0760000016889535E-3</v>
      </c>
      <c r="H58" s="139">
        <f t="shared" si="8"/>
        <v>0.62283664000000005</v>
      </c>
      <c r="I58" s="139">
        <f t="shared" si="9"/>
        <v>0.49154267628800002</v>
      </c>
      <c r="J58" s="139">
        <f t="shared" si="10"/>
        <v>0.38792548012648964</v>
      </c>
      <c r="K58" s="139">
        <f t="shared" si="11"/>
        <v>5.5843792013329221E-3</v>
      </c>
      <c r="L58" s="139">
        <f t="shared" si="12"/>
        <v>4.4071920656919422E-3</v>
      </c>
      <c r="M58" s="139">
        <f t="shared" ca="1" si="4"/>
        <v>5.9272079915515773E-3</v>
      </c>
      <c r="N58" s="139">
        <f t="shared" ca="1" si="13"/>
        <v>1.3197230825554735E-6</v>
      </c>
      <c r="O58" s="140">
        <f t="shared" ca="1" si="14"/>
        <v>861.60213414082352</v>
      </c>
      <c r="P58" s="139">
        <f t="shared" ca="1" si="15"/>
        <v>238676.67127209733</v>
      </c>
      <c r="Q58" s="139">
        <f t="shared" ca="1" si="16"/>
        <v>104069.18102023662</v>
      </c>
      <c r="R58" s="8">
        <f t="shared" ca="1" si="5"/>
        <v>1.1487920101373762E-3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>
      <c r="A59" s="43">
        <v>7902.5</v>
      </c>
      <c r="B59" s="43">
        <v>6.9825000027776696E-3</v>
      </c>
      <c r="C59" s="43">
        <v>1</v>
      </c>
      <c r="D59" s="138">
        <f t="shared" si="6"/>
        <v>0.79025000000000001</v>
      </c>
      <c r="E59" s="138">
        <f t="shared" si="6"/>
        <v>6.9825000027776696E-3</v>
      </c>
      <c r="F59" s="139">
        <f t="shared" si="7"/>
        <v>0.79025000000000001</v>
      </c>
      <c r="G59" s="139">
        <f t="shared" si="7"/>
        <v>6.9825000027776696E-3</v>
      </c>
      <c r="H59" s="139">
        <f t="shared" si="8"/>
        <v>0.62449506249999998</v>
      </c>
      <c r="I59" s="139">
        <f t="shared" si="9"/>
        <v>0.49350722314062501</v>
      </c>
      <c r="J59" s="139">
        <f t="shared" si="10"/>
        <v>0.38999408308687894</v>
      </c>
      <c r="K59" s="139">
        <f t="shared" si="11"/>
        <v>5.5179206271950536E-3</v>
      </c>
      <c r="L59" s="139">
        <f t="shared" si="12"/>
        <v>4.3605367756408909E-3</v>
      </c>
      <c r="M59" s="139">
        <f t="shared" ca="1" si="4"/>
        <v>5.9422515622739574E-3</v>
      </c>
      <c r="N59" s="139">
        <f t="shared" ca="1" si="13"/>
        <v>1.0821168179704053E-6</v>
      </c>
      <c r="O59" s="140">
        <f t="shared" ca="1" si="14"/>
        <v>874.40499620456183</v>
      </c>
      <c r="P59" s="139">
        <f t="shared" ca="1" si="15"/>
        <v>238812.72336892883</v>
      </c>
      <c r="Q59" s="139">
        <f t="shared" ca="1" si="16"/>
        <v>103980.75969922157</v>
      </c>
      <c r="R59" s="8">
        <f t="shared" ca="1" si="5"/>
        <v>1.0402484405037122E-3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>
      <c r="A60" s="43">
        <v>7905.5</v>
      </c>
      <c r="B60" s="43">
        <v>7.7415000050677918E-3</v>
      </c>
      <c r="C60" s="43">
        <v>1</v>
      </c>
      <c r="D60" s="138">
        <f t="shared" si="6"/>
        <v>0.79054999999999997</v>
      </c>
      <c r="E60" s="138">
        <f t="shared" si="6"/>
        <v>7.7415000050677918E-3</v>
      </c>
      <c r="F60" s="139">
        <f t="shared" si="7"/>
        <v>0.79054999999999997</v>
      </c>
      <c r="G60" s="139">
        <f t="shared" si="7"/>
        <v>7.7415000050677918E-3</v>
      </c>
      <c r="H60" s="139">
        <f t="shared" si="8"/>
        <v>0.62496930249999993</v>
      </c>
      <c r="I60" s="139">
        <f t="shared" si="9"/>
        <v>0.49406948209137491</v>
      </c>
      <c r="J60" s="139">
        <f t="shared" si="10"/>
        <v>0.39058662906733643</v>
      </c>
      <c r="K60" s="139">
        <f t="shared" si="11"/>
        <v>6.1200428290063428E-3</v>
      </c>
      <c r="L60" s="139">
        <f t="shared" si="12"/>
        <v>4.8381998584709641E-3</v>
      </c>
      <c r="M60" s="139">
        <f t="shared" ca="1" si="4"/>
        <v>5.9465531375111763E-3</v>
      </c>
      <c r="N60" s="139">
        <f t="shared" ca="1" si="13"/>
        <v>3.2218342573513059E-6</v>
      </c>
      <c r="O60" s="140">
        <f t="shared" ca="1" si="14"/>
        <v>878.07021255516599</v>
      </c>
      <c r="P60" s="139">
        <f t="shared" ca="1" si="15"/>
        <v>238850.80617154637</v>
      </c>
      <c r="Q60" s="139">
        <f t="shared" ca="1" si="16"/>
        <v>103955.14915574729</v>
      </c>
      <c r="R60" s="8">
        <f t="shared" ca="1" si="5"/>
        <v>1.7949468675566155E-3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>
      <c r="A61" s="43">
        <v>7999.5</v>
      </c>
      <c r="B61" s="43">
        <v>8.2235000081709586E-3</v>
      </c>
      <c r="C61" s="43">
        <v>1</v>
      </c>
      <c r="D61" s="138">
        <f t="shared" si="6"/>
        <v>0.79995000000000005</v>
      </c>
      <c r="E61" s="138">
        <f t="shared" si="6"/>
        <v>8.2235000081709586E-3</v>
      </c>
      <c r="F61" s="139">
        <f t="shared" si="7"/>
        <v>0.79995000000000005</v>
      </c>
      <c r="G61" s="139">
        <f t="shared" si="7"/>
        <v>8.2235000081709586E-3</v>
      </c>
      <c r="H61" s="139">
        <f t="shared" si="8"/>
        <v>0.63992000250000003</v>
      </c>
      <c r="I61" s="139">
        <f t="shared" si="9"/>
        <v>0.51190400599987507</v>
      </c>
      <c r="J61" s="139">
        <f t="shared" si="10"/>
        <v>0.40949760959960008</v>
      </c>
      <c r="K61" s="139">
        <f t="shared" si="11"/>
        <v>6.578388831536359E-3</v>
      </c>
      <c r="L61" s="139">
        <f t="shared" si="12"/>
        <v>5.2623821457875109E-3</v>
      </c>
      <c r="M61" s="139">
        <f t="shared" ca="1" si="4"/>
        <v>6.082104030737643E-3</v>
      </c>
      <c r="N61" s="139">
        <f t="shared" ca="1" si="13"/>
        <v>4.5855767321675851E-6</v>
      </c>
      <c r="O61" s="140">
        <f t="shared" ca="1" si="14"/>
        <v>994.37862259499252</v>
      </c>
      <c r="P61" s="139">
        <f t="shared" ca="1" si="15"/>
        <v>239865.9054466387</v>
      </c>
      <c r="Q61" s="139">
        <f t="shared" ca="1" si="16"/>
        <v>103074.86082168088</v>
      </c>
      <c r="R61" s="8">
        <f t="shared" ca="1" si="5"/>
        <v>2.1413959774333156E-3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>
      <c r="A62" s="43">
        <v>8000</v>
      </c>
      <c r="B62" s="43">
        <v>7.2000000072875991E-3</v>
      </c>
      <c r="C62" s="43">
        <v>1</v>
      </c>
      <c r="D62" s="138">
        <f t="shared" si="6"/>
        <v>0.8</v>
      </c>
      <c r="E62" s="138">
        <f t="shared" si="6"/>
        <v>7.2000000072875991E-3</v>
      </c>
      <c r="F62" s="139">
        <f t="shared" si="7"/>
        <v>0.8</v>
      </c>
      <c r="G62" s="139">
        <f t="shared" si="7"/>
        <v>7.2000000072875991E-3</v>
      </c>
      <c r="H62" s="139">
        <f t="shared" si="8"/>
        <v>0.64000000000000012</v>
      </c>
      <c r="I62" s="139">
        <f t="shared" si="9"/>
        <v>0.51200000000000012</v>
      </c>
      <c r="J62" s="139">
        <f t="shared" si="10"/>
        <v>0.40960000000000013</v>
      </c>
      <c r="K62" s="139">
        <f t="shared" si="11"/>
        <v>5.7600000058300798E-3</v>
      </c>
      <c r="L62" s="139">
        <f t="shared" si="12"/>
        <v>4.6080000046640644E-3</v>
      </c>
      <c r="M62" s="139">
        <f t="shared" ca="1" si="4"/>
        <v>6.0828290269964421E-3</v>
      </c>
      <c r="N62" s="139">
        <f t="shared" ca="1" si="13"/>
        <v>1.2480709992047049E-6</v>
      </c>
      <c r="O62" s="140">
        <f t="shared" ca="1" si="14"/>
        <v>995.00409240048441</v>
      </c>
      <c r="P62" s="139">
        <f t="shared" ca="1" si="15"/>
        <v>239870.37961556306</v>
      </c>
      <c r="Q62" s="139">
        <f t="shared" ca="1" si="16"/>
        <v>103069.7769617389</v>
      </c>
      <c r="R62" s="8">
        <f t="shared" ca="1" si="5"/>
        <v>1.1171709802911571E-3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>
      <c r="A63" s="43">
        <v>8002.5</v>
      </c>
      <c r="B63" s="43">
        <v>7.2825000024749897E-3</v>
      </c>
      <c r="C63" s="43">
        <v>1</v>
      </c>
      <c r="D63" s="138">
        <f t="shared" si="6"/>
        <v>0.80025000000000002</v>
      </c>
      <c r="E63" s="138">
        <f t="shared" si="6"/>
        <v>7.2825000024749897E-3</v>
      </c>
      <c r="F63" s="139">
        <f t="shared" si="7"/>
        <v>0.80025000000000002</v>
      </c>
      <c r="G63" s="139">
        <f t="shared" si="7"/>
        <v>7.2825000024749897E-3</v>
      </c>
      <c r="H63" s="139">
        <f t="shared" si="8"/>
        <v>0.64040006250000003</v>
      </c>
      <c r="I63" s="139">
        <f t="shared" si="9"/>
        <v>0.51248015001562508</v>
      </c>
      <c r="J63" s="139">
        <f t="shared" si="10"/>
        <v>0.41011224005000396</v>
      </c>
      <c r="K63" s="139">
        <f t="shared" si="11"/>
        <v>5.8278206269806107E-3</v>
      </c>
      <c r="L63" s="139">
        <f t="shared" si="12"/>
        <v>4.6637134567412341E-3</v>
      </c>
      <c r="M63" s="139">
        <f t="shared" ca="1" si="4"/>
        <v>6.0864546401744523E-3</v>
      </c>
      <c r="N63" s="139">
        <f t="shared" ca="1" si="13"/>
        <v>1.4305245086806239E-6</v>
      </c>
      <c r="O63" s="140">
        <f t="shared" ca="1" si="14"/>
        <v>998.13239963153137</v>
      </c>
      <c r="P63" s="139">
        <f t="shared" ca="1" si="15"/>
        <v>239892.60329358905</v>
      </c>
      <c r="Q63" s="139">
        <f t="shared" ca="1" si="16"/>
        <v>103044.29423605697</v>
      </c>
      <c r="R63" s="8">
        <f t="shared" ca="1" si="5"/>
        <v>1.1960453623005374E-3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>
      <c r="A64" s="43">
        <v>8935</v>
      </c>
      <c r="B64" s="43">
        <v>7.7650000021094456E-3</v>
      </c>
      <c r="C64" s="43">
        <v>1</v>
      </c>
      <c r="D64" s="138">
        <f t="shared" si="6"/>
        <v>0.89349999999999996</v>
      </c>
      <c r="E64" s="138">
        <f t="shared" si="6"/>
        <v>7.7650000021094456E-3</v>
      </c>
      <c r="F64" s="139">
        <f t="shared" si="7"/>
        <v>0.89349999999999996</v>
      </c>
      <c r="G64" s="139">
        <f t="shared" si="7"/>
        <v>7.7650000021094456E-3</v>
      </c>
      <c r="H64" s="139">
        <f t="shared" si="8"/>
        <v>0.79834224999999992</v>
      </c>
      <c r="I64" s="139">
        <f t="shared" si="9"/>
        <v>0.71331880037499995</v>
      </c>
      <c r="J64" s="139">
        <f t="shared" si="10"/>
        <v>0.63735034813506242</v>
      </c>
      <c r="K64" s="139">
        <f t="shared" si="11"/>
        <v>6.9380275018847892E-3</v>
      </c>
      <c r="L64" s="139">
        <f t="shared" si="12"/>
        <v>6.1991275729340592E-3</v>
      </c>
      <c r="M64" s="139">
        <f t="shared" ca="1" si="4"/>
        <v>7.5122659254949721E-3</v>
      </c>
      <c r="N64" s="139">
        <f t="shared" ca="1" si="13"/>
        <v>6.3874513482170595E-8</v>
      </c>
      <c r="O64" s="140">
        <f t="shared" ca="1" si="14"/>
        <v>2153.9386017730121</v>
      </c>
      <c r="P64" s="139">
        <f t="shared" ca="1" si="15"/>
        <v>231083.49415195634</v>
      </c>
      <c r="Q64" s="139">
        <f t="shared" ca="1" si="16"/>
        <v>86656.958532225908</v>
      </c>
      <c r="R64" s="8">
        <f t="shared" ca="1" si="5"/>
        <v>2.5273407661447356E-4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>
      <c r="A65" s="43">
        <v>9046.5</v>
      </c>
      <c r="B65" s="43">
        <v>7.1145000038086437E-3</v>
      </c>
      <c r="C65" s="43">
        <v>1</v>
      </c>
      <c r="D65" s="138">
        <f t="shared" si="6"/>
        <v>0.90464999999999995</v>
      </c>
      <c r="E65" s="138">
        <f t="shared" si="6"/>
        <v>7.1145000038086437E-3</v>
      </c>
      <c r="F65" s="139">
        <f t="shared" si="7"/>
        <v>0.90464999999999995</v>
      </c>
      <c r="G65" s="139">
        <f t="shared" si="7"/>
        <v>7.1145000038086437E-3</v>
      </c>
      <c r="H65" s="139">
        <f t="shared" si="8"/>
        <v>0.81839162249999997</v>
      </c>
      <c r="I65" s="139">
        <f t="shared" si="9"/>
        <v>0.74035798129462493</v>
      </c>
      <c r="J65" s="139">
        <f t="shared" si="10"/>
        <v>0.66976484777818246</v>
      </c>
      <c r="K65" s="139">
        <f t="shared" si="11"/>
        <v>6.4361324284454889E-3</v>
      </c>
      <c r="L65" s="139">
        <f t="shared" si="12"/>
        <v>5.8224472013932117E-3</v>
      </c>
      <c r="M65" s="139">
        <f t="shared" ca="1" si="4"/>
        <v>7.6925590171005734E-3</v>
      </c>
      <c r="N65" s="139">
        <f t="shared" ca="1" si="13"/>
        <v>3.3415222284803941E-7</v>
      </c>
      <c r="O65" s="140">
        <f t="shared" ca="1" si="14"/>
        <v>2274.6290873484413</v>
      </c>
      <c r="P65" s="139">
        <f t="shared" ca="1" si="15"/>
        <v>227800.42834635242</v>
      </c>
      <c r="Q65" s="139">
        <f t="shared" ca="1" si="16"/>
        <v>83875.460500795743</v>
      </c>
      <c r="R65" s="8">
        <f t="shared" ca="1" si="5"/>
        <v>-5.7805901329192975E-4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>
      <c r="A66" s="43">
        <v>9081.5</v>
      </c>
      <c r="B66" s="43">
        <v>8.289500001410488E-3</v>
      </c>
      <c r="C66" s="43">
        <v>1</v>
      </c>
      <c r="D66" s="138">
        <f t="shared" si="6"/>
        <v>0.90815000000000001</v>
      </c>
      <c r="E66" s="138">
        <f t="shared" si="6"/>
        <v>8.289500001410488E-3</v>
      </c>
      <c r="F66" s="139">
        <f t="shared" si="7"/>
        <v>0.90815000000000001</v>
      </c>
      <c r="G66" s="139">
        <f t="shared" si="7"/>
        <v>8.289500001410488E-3</v>
      </c>
      <c r="H66" s="139">
        <f t="shared" si="8"/>
        <v>0.82473642250000001</v>
      </c>
      <c r="I66" s="139">
        <f t="shared" si="9"/>
        <v>0.74898438209337503</v>
      </c>
      <c r="J66" s="139">
        <f t="shared" si="10"/>
        <v>0.6801901665980985</v>
      </c>
      <c r="K66" s="139">
        <f t="shared" si="11"/>
        <v>7.5281094262809349E-3</v>
      </c>
      <c r="L66" s="139">
        <f t="shared" si="12"/>
        <v>6.836652575477031E-3</v>
      </c>
      <c r="M66" s="139">
        <f t="shared" ca="1" si="4"/>
        <v>7.7495852591408154E-3</v>
      </c>
      <c r="N66" s="139">
        <f t="shared" ca="1" si="13"/>
        <v>2.9150792892012707E-7</v>
      </c>
      <c r="O66" s="140">
        <f t="shared" ca="1" si="14"/>
        <v>2311.1201124190006</v>
      </c>
      <c r="P66" s="139">
        <f t="shared" ca="1" si="15"/>
        <v>226676.48464389151</v>
      </c>
      <c r="Q66" s="139">
        <f t="shared" ca="1" si="16"/>
        <v>82971.63201269244</v>
      </c>
      <c r="R66" s="8">
        <f t="shared" ca="1" si="5"/>
        <v>5.3991474226967266E-4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>
      <c r="A67" s="43">
        <v>9870</v>
      </c>
      <c r="B67" s="43">
        <v>8.2100000072387047E-3</v>
      </c>
      <c r="C67" s="43">
        <v>1</v>
      </c>
      <c r="D67" s="138">
        <f t="shared" si="6"/>
        <v>0.98699999999999999</v>
      </c>
      <c r="E67" s="138">
        <f t="shared" si="6"/>
        <v>8.2100000072387047E-3</v>
      </c>
      <c r="F67" s="139">
        <f t="shared" si="7"/>
        <v>0.98699999999999999</v>
      </c>
      <c r="G67" s="139">
        <f t="shared" si="7"/>
        <v>8.2100000072387047E-3</v>
      </c>
      <c r="H67" s="139">
        <f t="shared" si="8"/>
        <v>0.97416899999999995</v>
      </c>
      <c r="I67" s="139">
        <f t="shared" si="9"/>
        <v>0.96150480299999996</v>
      </c>
      <c r="J67" s="139">
        <f t="shared" si="10"/>
        <v>0.949005240561</v>
      </c>
      <c r="K67" s="139">
        <f t="shared" si="11"/>
        <v>8.1032700071446018E-3</v>
      </c>
      <c r="L67" s="139">
        <f t="shared" si="12"/>
        <v>7.9979274970517211E-3</v>
      </c>
      <c r="M67" s="139">
        <f t="shared" ca="1" si="4"/>
        <v>9.0890118382081064E-3</v>
      </c>
      <c r="N67" s="139">
        <f t="shared" ca="1" si="13"/>
        <v>7.7266179898417991E-7</v>
      </c>
      <c r="O67" s="140">
        <f t="shared" ca="1" si="14"/>
        <v>2908.3995071735476</v>
      </c>
      <c r="P67" s="139">
        <f t="shared" ca="1" si="15"/>
        <v>190518.75369370307</v>
      </c>
      <c r="Q67" s="139">
        <f t="shared" ca="1" si="16"/>
        <v>59532.16180756886</v>
      </c>
      <c r="R67" s="8">
        <f t="shared" ca="1" si="5"/>
        <v>-8.7901183096940165E-4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>
      <c r="A68" s="43">
        <v>9972</v>
      </c>
      <c r="B68" s="43">
        <v>7.6160000025993213E-3</v>
      </c>
      <c r="C68" s="43">
        <v>1</v>
      </c>
      <c r="D68" s="138">
        <f t="shared" si="6"/>
        <v>0.99719999999999998</v>
      </c>
      <c r="E68" s="138">
        <f t="shared" si="6"/>
        <v>7.6160000025993213E-3</v>
      </c>
      <c r="F68" s="139">
        <f t="shared" si="7"/>
        <v>0.99719999999999998</v>
      </c>
      <c r="G68" s="139">
        <f t="shared" si="7"/>
        <v>7.6160000025993213E-3</v>
      </c>
      <c r="H68" s="139">
        <f t="shared" si="8"/>
        <v>0.99440783999999993</v>
      </c>
      <c r="I68" s="139">
        <f t="shared" si="9"/>
        <v>0.99162349804799987</v>
      </c>
      <c r="J68" s="139">
        <f t="shared" si="10"/>
        <v>0.98884695225346542</v>
      </c>
      <c r="K68" s="139">
        <f t="shared" si="11"/>
        <v>7.5946752025920434E-3</v>
      </c>
      <c r="L68" s="139">
        <f t="shared" si="12"/>
        <v>7.5734101120247853E-3</v>
      </c>
      <c r="M68" s="139">
        <f t="shared" ca="1" si="4"/>
        <v>9.2699320698764048E-3</v>
      </c>
      <c r="N68" s="139">
        <f t="shared" ca="1" si="13"/>
        <v>2.7354912831674471E-6</v>
      </c>
      <c r="O68" s="140">
        <f t="shared" ca="1" si="14"/>
        <v>2949.0682753657757</v>
      </c>
      <c r="P68" s="139">
        <f t="shared" ca="1" si="15"/>
        <v>184497.72426064577</v>
      </c>
      <c r="Q68" s="139">
        <f t="shared" ca="1" si="16"/>
        <v>56197.992020081198</v>
      </c>
      <c r="R68" s="8">
        <f t="shared" ca="1" si="5"/>
        <v>-1.6539320672770835E-3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>
      <c r="A69" s="43">
        <v>10002.5</v>
      </c>
      <c r="B69" s="43">
        <v>1.1382500000763685E-2</v>
      </c>
      <c r="C69" s="43">
        <v>0.4</v>
      </c>
      <c r="D69" s="138">
        <f t="shared" si="6"/>
        <v>1.0002500000000001</v>
      </c>
      <c r="E69" s="138">
        <f t="shared" si="6"/>
        <v>1.1382500000763685E-2</v>
      </c>
      <c r="F69" s="139">
        <f t="shared" si="7"/>
        <v>0.40010000000000007</v>
      </c>
      <c r="G69" s="139">
        <f t="shared" si="7"/>
        <v>4.5530000003054742E-3</v>
      </c>
      <c r="H69" s="139">
        <f t="shared" si="8"/>
        <v>0.40020002500000013</v>
      </c>
      <c r="I69" s="139">
        <f t="shared" si="9"/>
        <v>0.40030007500625014</v>
      </c>
      <c r="J69" s="139">
        <f t="shared" si="10"/>
        <v>0.40040015002500173</v>
      </c>
      <c r="K69" s="139">
        <f t="shared" si="11"/>
        <v>4.5541382503055507E-3</v>
      </c>
      <c r="L69" s="139">
        <f t="shared" si="12"/>
        <v>4.5552767848681276E-3</v>
      </c>
      <c r="M69" s="139">
        <f t="shared" ca="1" si="4"/>
        <v>9.324371246771013E-3</v>
      </c>
      <c r="N69" s="139">
        <f t="shared" ca="1" si="13"/>
        <v>1.6943575872045705E-6</v>
      </c>
      <c r="O69" s="140">
        <f t="shared" ca="1" si="14"/>
        <v>473.50972539029345</v>
      </c>
      <c r="P69" s="139">
        <f t="shared" ca="1" si="15"/>
        <v>29223.456120941457</v>
      </c>
      <c r="Q69" s="139">
        <f t="shared" ca="1" si="16"/>
        <v>8831.026005462978</v>
      </c>
      <c r="R69" s="8">
        <f t="shared" ca="1" si="5"/>
        <v>2.0581287539926715E-3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>
      <c r="A70" s="43">
        <v>10068</v>
      </c>
      <c r="B70" s="43">
        <v>8.4839999981340952E-3</v>
      </c>
      <c r="C70" s="43">
        <v>1</v>
      </c>
      <c r="D70" s="138">
        <f t="shared" si="6"/>
        <v>1.0067999999999999</v>
      </c>
      <c r="E70" s="138">
        <f t="shared" si="6"/>
        <v>8.4839999981340952E-3</v>
      </c>
      <c r="F70" s="139">
        <f t="shared" si="7"/>
        <v>1.0067999999999999</v>
      </c>
      <c r="G70" s="139">
        <f t="shared" si="7"/>
        <v>8.4839999981340952E-3</v>
      </c>
      <c r="H70" s="139">
        <f t="shared" si="8"/>
        <v>1.0136462399999999</v>
      </c>
      <c r="I70" s="139">
        <f t="shared" si="9"/>
        <v>1.0205390344319998</v>
      </c>
      <c r="J70" s="139">
        <f t="shared" si="10"/>
        <v>1.0274786998661374</v>
      </c>
      <c r="K70" s="139">
        <f t="shared" si="11"/>
        <v>8.541691198121407E-3</v>
      </c>
      <c r="L70" s="139">
        <f t="shared" si="12"/>
        <v>8.5997746982686314E-3</v>
      </c>
      <c r="M70" s="139">
        <f t="shared" ca="1" si="4"/>
        <v>9.4418113818244415E-3</v>
      </c>
      <c r="N70" s="139">
        <f t="shared" ca="1" si="13"/>
        <v>9.1740264672681564E-7</v>
      </c>
      <c r="O70" s="140">
        <f t="shared" ca="1" si="14"/>
        <v>2978.8766924292331</v>
      </c>
      <c r="P70" s="139">
        <f t="shared" ca="1" si="15"/>
        <v>178595.85227933392</v>
      </c>
      <c r="Q70" s="139">
        <f t="shared" ca="1" si="16"/>
        <v>53028.914736751081</v>
      </c>
      <c r="R70" s="8">
        <f t="shared" ca="1" si="5"/>
        <v>-9.5781138369034624E-4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>
      <c r="A71" s="43">
        <v>10109.5</v>
      </c>
      <c r="B71" s="43">
        <v>9.853500007011462E-3</v>
      </c>
      <c r="C71" s="43">
        <v>1</v>
      </c>
      <c r="D71" s="138">
        <f t="shared" si="6"/>
        <v>1.01095</v>
      </c>
      <c r="E71" s="138">
        <f t="shared" si="6"/>
        <v>9.853500007011462E-3</v>
      </c>
      <c r="F71" s="139">
        <f t="shared" si="7"/>
        <v>1.01095</v>
      </c>
      <c r="G71" s="139">
        <f t="shared" si="7"/>
        <v>9.853500007011462E-3</v>
      </c>
      <c r="H71" s="139">
        <f t="shared" si="8"/>
        <v>1.0220199025000001</v>
      </c>
      <c r="I71" s="139">
        <f t="shared" si="9"/>
        <v>1.033211020432375</v>
      </c>
      <c r="J71" s="139">
        <f t="shared" si="10"/>
        <v>1.0445246811061095</v>
      </c>
      <c r="K71" s="139">
        <f t="shared" si="11"/>
        <v>9.9613958320882382E-3</v>
      </c>
      <c r="L71" s="139">
        <f t="shared" si="12"/>
        <v>1.0070473116449605E-2</v>
      </c>
      <c r="M71" s="139">
        <f t="shared" ca="1" si="4"/>
        <v>9.5165941344736455E-3</v>
      </c>
      <c r="N71" s="139">
        <f t="shared" ca="1" si="13"/>
        <v>1.1350556695046746E-7</v>
      </c>
      <c r="O71" s="140">
        <f t="shared" ca="1" si="14"/>
        <v>2989.1862698967529</v>
      </c>
      <c r="P71" s="139">
        <f t="shared" ca="1" si="15"/>
        <v>175977.90178366203</v>
      </c>
      <c r="Q71" s="139">
        <f t="shared" ca="1" si="16"/>
        <v>51652.235592369754</v>
      </c>
      <c r="R71" s="8">
        <f t="shared" ca="1" si="5"/>
        <v>3.3690587253781649E-4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>
      <c r="A72" s="43">
        <v>10112</v>
      </c>
      <c r="B72" s="43">
        <v>8.7360000034095719E-3</v>
      </c>
      <c r="C72" s="43">
        <v>1</v>
      </c>
      <c r="D72" s="138">
        <f t="shared" si="6"/>
        <v>1.0112000000000001</v>
      </c>
      <c r="E72" s="138">
        <f t="shared" si="6"/>
        <v>8.7360000034095719E-3</v>
      </c>
      <c r="F72" s="139">
        <f t="shared" si="7"/>
        <v>1.0112000000000001</v>
      </c>
      <c r="G72" s="139">
        <f t="shared" si="7"/>
        <v>8.7360000034095719E-3</v>
      </c>
      <c r="H72" s="139">
        <f t="shared" si="8"/>
        <v>1.0225254400000001</v>
      </c>
      <c r="I72" s="139">
        <f t="shared" si="9"/>
        <v>1.0339777249280002</v>
      </c>
      <c r="J72" s="139">
        <f t="shared" si="10"/>
        <v>1.0455582754471939</v>
      </c>
      <c r="K72" s="139">
        <f t="shared" si="11"/>
        <v>8.8338432034477596E-3</v>
      </c>
      <c r="L72" s="139">
        <f t="shared" si="12"/>
        <v>8.9327822473263749E-3</v>
      </c>
      <c r="M72" s="139">
        <f t="shared" ca="1" si="4"/>
        <v>9.5211083872052196E-3</v>
      </c>
      <c r="N72" s="139">
        <f t="shared" ca="1" si="13"/>
        <v>6.1639517430621406E-7</v>
      </c>
      <c r="O72" s="140">
        <f t="shared" ca="1" si="14"/>
        <v>2989.757344399321</v>
      </c>
      <c r="P72" s="139">
        <f t="shared" ca="1" si="15"/>
        <v>175818.95550497397</v>
      </c>
      <c r="Q72" s="139">
        <f t="shared" ca="1" si="16"/>
        <v>51569.203719654732</v>
      </c>
      <c r="R72" s="8">
        <f t="shared" ca="1" si="5"/>
        <v>-7.8510838379564768E-4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>
      <c r="A73" s="43">
        <v>10112.5</v>
      </c>
      <c r="B73" s="43">
        <v>9.8125000004074536E-3</v>
      </c>
      <c r="C73" s="43">
        <v>1</v>
      </c>
      <c r="D73" s="138">
        <f t="shared" si="6"/>
        <v>1.01125</v>
      </c>
      <c r="E73" s="138">
        <f t="shared" si="6"/>
        <v>9.8125000004074536E-3</v>
      </c>
      <c r="F73" s="139">
        <f t="shared" si="7"/>
        <v>1.01125</v>
      </c>
      <c r="G73" s="139">
        <f t="shared" si="7"/>
        <v>9.8125000004074536E-3</v>
      </c>
      <c r="H73" s="139">
        <f t="shared" si="8"/>
        <v>1.0226265624999999</v>
      </c>
      <c r="I73" s="139">
        <f t="shared" si="9"/>
        <v>1.0341311113281249</v>
      </c>
      <c r="J73" s="139">
        <f t="shared" si="10"/>
        <v>1.0457650863305663</v>
      </c>
      <c r="K73" s="139">
        <f t="shared" si="11"/>
        <v>9.9228906254120366E-3</v>
      </c>
      <c r="L73" s="139">
        <f t="shared" si="12"/>
        <v>1.0034523144947922E-2</v>
      </c>
      <c r="M73" s="139">
        <f t="shared" ca="1" si="4"/>
        <v>9.5220113641283355E-3</v>
      </c>
      <c r="N73" s="139">
        <f t="shared" ca="1" si="13"/>
        <v>8.4383647807301795E-8</v>
      </c>
      <c r="O73" s="140">
        <f t="shared" ca="1" si="14"/>
        <v>2989.8708764743387</v>
      </c>
      <c r="P73" s="139">
        <f t="shared" ca="1" si="15"/>
        <v>175787.14956417304</v>
      </c>
      <c r="Q73" s="139">
        <f t="shared" ca="1" si="16"/>
        <v>51552.59612158862</v>
      </c>
      <c r="R73" s="8">
        <f t="shared" ca="1" si="5"/>
        <v>2.9048863627911814E-4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>
      <c r="A74" s="43">
        <v>10115</v>
      </c>
      <c r="B74" s="43">
        <v>8.4950000018579885E-3</v>
      </c>
      <c r="C74" s="43">
        <v>1</v>
      </c>
      <c r="D74" s="138">
        <f t="shared" si="6"/>
        <v>1.0115000000000001</v>
      </c>
      <c r="E74" s="138">
        <f t="shared" si="6"/>
        <v>8.4950000018579885E-3</v>
      </c>
      <c r="F74" s="139">
        <f t="shared" si="7"/>
        <v>1.0115000000000001</v>
      </c>
      <c r="G74" s="139">
        <f t="shared" si="7"/>
        <v>8.4950000018579885E-3</v>
      </c>
      <c r="H74" s="139">
        <f t="shared" si="8"/>
        <v>1.0231322500000002</v>
      </c>
      <c r="I74" s="139">
        <f t="shared" si="9"/>
        <v>1.0348982708750003</v>
      </c>
      <c r="J74" s="139">
        <f t="shared" si="10"/>
        <v>1.0467996009900629</v>
      </c>
      <c r="K74" s="139">
        <f t="shared" si="11"/>
        <v>8.5926925018793565E-3</v>
      </c>
      <c r="L74" s="139">
        <f t="shared" si="12"/>
        <v>8.6915084656509697E-3</v>
      </c>
      <c r="M74" s="139">
        <f t="shared" ca="1" si="4"/>
        <v>9.5265268806279443E-3</v>
      </c>
      <c r="N74" s="139">
        <f t="shared" ca="1" si="13"/>
        <v>1.0640477016248869E-6</v>
      </c>
      <c r="O74" s="140">
        <f t="shared" ca="1" si="14"/>
        <v>2990.4351220021367</v>
      </c>
      <c r="P74" s="139">
        <f t="shared" ca="1" si="15"/>
        <v>175628.03656074568</v>
      </c>
      <c r="Q74" s="139">
        <f t="shared" ca="1" si="16"/>
        <v>51469.55209548011</v>
      </c>
      <c r="R74" s="8">
        <f t="shared" ca="1" si="5"/>
        <v>-1.0315268787699557E-3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>
      <c r="A75" s="43">
        <v>10118</v>
      </c>
      <c r="B75" s="43">
        <v>7.8540000031352974E-3</v>
      </c>
      <c r="C75" s="43">
        <v>1</v>
      </c>
      <c r="D75" s="138">
        <f t="shared" si="6"/>
        <v>1.0118</v>
      </c>
      <c r="E75" s="138">
        <f t="shared" si="6"/>
        <v>7.8540000031352974E-3</v>
      </c>
      <c r="F75" s="139">
        <f t="shared" si="7"/>
        <v>1.0118</v>
      </c>
      <c r="G75" s="139">
        <f t="shared" si="7"/>
        <v>7.8540000031352974E-3</v>
      </c>
      <c r="H75" s="139">
        <f t="shared" si="8"/>
        <v>1.0237392400000001</v>
      </c>
      <c r="I75" s="139">
        <f t="shared" si="9"/>
        <v>1.0358193630320001</v>
      </c>
      <c r="J75" s="139">
        <f t="shared" si="10"/>
        <v>1.0480420315157777</v>
      </c>
      <c r="K75" s="139">
        <f t="shared" si="11"/>
        <v>7.9466772031722942E-3</v>
      </c>
      <c r="L75" s="139">
        <f t="shared" si="12"/>
        <v>8.0404479941697284E-3</v>
      </c>
      <c r="M75" s="139">
        <f t="shared" ca="1" si="4"/>
        <v>9.5319468905723029E-3</v>
      </c>
      <c r="N75" s="139">
        <f t="shared" ca="1" si="13"/>
        <v>2.8155057570595346E-6</v>
      </c>
      <c r="O75" s="140">
        <f t="shared" ca="1" si="14"/>
        <v>2991.1047022585767</v>
      </c>
      <c r="P75" s="139">
        <f t="shared" ca="1" si="15"/>
        <v>175436.91800038674</v>
      </c>
      <c r="Q75" s="139">
        <f t="shared" ca="1" si="16"/>
        <v>51369.886182004579</v>
      </c>
      <c r="R75" s="8">
        <f t="shared" ca="1" si="5"/>
        <v>-1.6779468874370054E-3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>
      <c r="A76" s="43">
        <v>10264.5</v>
      </c>
      <c r="B76" s="43">
        <v>1.0668500006431714E-2</v>
      </c>
      <c r="C76" s="43">
        <v>1</v>
      </c>
      <c r="D76" s="138">
        <f t="shared" si="6"/>
        <v>1.0264500000000001</v>
      </c>
      <c r="E76" s="138">
        <f t="shared" si="6"/>
        <v>1.0668500006431714E-2</v>
      </c>
      <c r="F76" s="139">
        <f t="shared" si="7"/>
        <v>1.0264500000000001</v>
      </c>
      <c r="G76" s="139">
        <f t="shared" si="7"/>
        <v>1.0668500006431714E-2</v>
      </c>
      <c r="H76" s="139">
        <f t="shared" si="8"/>
        <v>1.0535996025000001</v>
      </c>
      <c r="I76" s="139">
        <f t="shared" si="9"/>
        <v>1.0814673119861251</v>
      </c>
      <c r="J76" s="139">
        <f t="shared" si="10"/>
        <v>1.1100721223881582</v>
      </c>
      <c r="K76" s="139">
        <f t="shared" si="11"/>
        <v>1.0950681831601833E-2</v>
      </c>
      <c r="L76" s="139">
        <f t="shared" si="12"/>
        <v>1.1240327366047702E-2</v>
      </c>
      <c r="M76" s="139">
        <f t="shared" ca="1" si="4"/>
        <v>9.7984692916195885E-3</v>
      </c>
      <c r="N76" s="139">
        <f t="shared" ca="1" si="13"/>
        <v>7.5695344471649756E-7</v>
      </c>
      <c r="O76" s="140">
        <f t="shared" ca="1" si="14"/>
        <v>3013.7794823384174</v>
      </c>
      <c r="P76" s="139">
        <f t="shared" ca="1" si="15"/>
        <v>165871.48644220381</v>
      </c>
      <c r="Q76" s="139">
        <f t="shared" ca="1" si="16"/>
        <v>46492.205736666387</v>
      </c>
      <c r="R76" s="8">
        <f t="shared" ca="1" si="5"/>
        <v>8.7003071481212522E-4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>
      <c r="A77" s="43">
        <v>10940</v>
      </c>
      <c r="B77" s="43">
        <v>8.820000002742745E-3</v>
      </c>
      <c r="C77" s="43">
        <v>1</v>
      </c>
      <c r="D77" s="138">
        <f t="shared" si="6"/>
        <v>1.0940000000000001</v>
      </c>
      <c r="E77" s="138">
        <f t="shared" si="6"/>
        <v>8.820000002742745E-3</v>
      </c>
      <c r="F77" s="139">
        <f t="shared" si="7"/>
        <v>1.0940000000000001</v>
      </c>
      <c r="G77" s="139">
        <f t="shared" si="7"/>
        <v>8.820000002742745E-3</v>
      </c>
      <c r="H77" s="139">
        <f t="shared" si="8"/>
        <v>1.1968360000000002</v>
      </c>
      <c r="I77" s="139">
        <f t="shared" si="9"/>
        <v>1.3093385840000002</v>
      </c>
      <c r="J77" s="139">
        <f t="shared" si="10"/>
        <v>1.4324164108960005</v>
      </c>
      <c r="K77" s="139">
        <f t="shared" si="11"/>
        <v>9.6490800030005642E-3</v>
      </c>
      <c r="L77" s="139">
        <f t="shared" si="12"/>
        <v>1.0556093523282618E-2</v>
      </c>
      <c r="M77" s="139">
        <f t="shared" ca="1" si="4"/>
        <v>1.1074164567993349E-2</v>
      </c>
      <c r="N77" s="139">
        <f t="shared" ca="1" si="13"/>
        <v>5.0812578872314469E-6</v>
      </c>
      <c r="O77" s="140">
        <f t="shared" ca="1" si="14"/>
        <v>2864.22588471771</v>
      </c>
      <c r="P77" s="139">
        <f t="shared" ca="1" si="15"/>
        <v>117453.55323789538</v>
      </c>
      <c r="Q77" s="139">
        <f t="shared" ca="1" si="16"/>
        <v>24723.431532086128</v>
      </c>
      <c r="R77" s="8">
        <f t="shared" ca="1" si="5"/>
        <v>-2.2541645652506045E-3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>
      <c r="A78" s="43">
        <v>10940.5</v>
      </c>
      <c r="B78" s="43">
        <v>1.0296500004187692E-2</v>
      </c>
      <c r="C78" s="43">
        <v>1</v>
      </c>
      <c r="D78" s="138">
        <f t="shared" si="6"/>
        <v>1.09405</v>
      </c>
      <c r="E78" s="138">
        <f t="shared" si="6"/>
        <v>1.0296500004187692E-2</v>
      </c>
      <c r="F78" s="139">
        <f t="shared" si="7"/>
        <v>1.09405</v>
      </c>
      <c r="G78" s="139">
        <f t="shared" si="7"/>
        <v>1.0296500004187692E-2</v>
      </c>
      <c r="H78" s="139">
        <f t="shared" si="8"/>
        <v>1.1969454024999999</v>
      </c>
      <c r="I78" s="139">
        <f t="shared" si="9"/>
        <v>1.3095181176051249</v>
      </c>
      <c r="J78" s="139">
        <f t="shared" si="10"/>
        <v>1.4326782965658869</v>
      </c>
      <c r="K78" s="139">
        <f t="shared" si="11"/>
        <v>1.1264885829581545E-2</v>
      </c>
      <c r="L78" s="139">
        <f t="shared" si="12"/>
        <v>1.2324348341853688E-2</v>
      </c>
      <c r="M78" s="139">
        <f t="shared" ca="1" si="4"/>
        <v>1.1075137304911758E-2</v>
      </c>
      <c r="N78" s="139">
        <f t="shared" ca="1" si="13"/>
        <v>6.0627604607885935E-7</v>
      </c>
      <c r="O78" s="140">
        <f t="shared" ca="1" si="14"/>
        <v>2863.9645614193796</v>
      </c>
      <c r="P78" s="139">
        <f t="shared" ca="1" si="15"/>
        <v>117416.14208060702</v>
      </c>
      <c r="Q78" s="139">
        <f t="shared" ca="1" si="16"/>
        <v>24708.402158115467</v>
      </c>
      <c r="R78" s="8">
        <f t="shared" ca="1" si="5"/>
        <v>-7.7863730072406587E-4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>
      <c r="A79" s="43">
        <v>11077</v>
      </c>
      <c r="B79" s="43">
        <v>1.0031000005255919E-2</v>
      </c>
      <c r="C79" s="43">
        <v>1</v>
      </c>
      <c r="D79" s="138">
        <f t="shared" si="6"/>
        <v>1.1076999999999999</v>
      </c>
      <c r="E79" s="138">
        <f t="shared" si="6"/>
        <v>1.0031000005255919E-2</v>
      </c>
      <c r="F79" s="139">
        <f t="shared" si="7"/>
        <v>1.1076999999999999</v>
      </c>
      <c r="G79" s="139">
        <f t="shared" si="7"/>
        <v>1.0031000005255919E-2</v>
      </c>
      <c r="H79" s="139">
        <f t="shared" si="8"/>
        <v>1.2269992899999997</v>
      </c>
      <c r="I79" s="139">
        <f t="shared" si="9"/>
        <v>1.3591471135329996</v>
      </c>
      <c r="J79" s="139">
        <f t="shared" si="10"/>
        <v>1.5055272576605034</v>
      </c>
      <c r="K79" s="139">
        <f t="shared" si="11"/>
        <v>1.1111338705821981E-2</v>
      </c>
      <c r="L79" s="139">
        <f t="shared" si="12"/>
        <v>1.2308029884439008E-2</v>
      </c>
      <c r="M79" s="139">
        <f t="shared" ca="1" si="4"/>
        <v>1.1342270023241724E-2</v>
      </c>
      <c r="N79" s="139">
        <f t="shared" ca="1" si="13"/>
        <v>1.7194290600684942E-6</v>
      </c>
      <c r="O79" s="140">
        <f t="shared" ca="1" si="14"/>
        <v>2784.768641443673</v>
      </c>
      <c r="P79" s="139">
        <f t="shared" ca="1" si="15"/>
        <v>107179.31288087371</v>
      </c>
      <c r="Q79" s="139">
        <f t="shared" ca="1" si="16"/>
        <v>20703.236320026841</v>
      </c>
      <c r="R79" s="8">
        <f t="shared" ca="1" si="5"/>
        <v>-1.3112700179858054E-3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>
      <c r="A80" s="43">
        <v>11248.5</v>
      </c>
      <c r="B80" s="43">
        <v>1.1370500003977213E-2</v>
      </c>
      <c r="C80" s="43">
        <v>1</v>
      </c>
      <c r="D80" s="138">
        <f t="shared" si="6"/>
        <v>1.1248499999999999</v>
      </c>
      <c r="E80" s="138">
        <f t="shared" si="6"/>
        <v>1.1370500003977213E-2</v>
      </c>
      <c r="F80" s="139">
        <f t="shared" si="7"/>
        <v>1.1248499999999999</v>
      </c>
      <c r="G80" s="139">
        <f t="shared" si="7"/>
        <v>1.1370500003977213E-2</v>
      </c>
      <c r="H80" s="139">
        <f t="shared" si="8"/>
        <v>1.2652875224999998</v>
      </c>
      <c r="I80" s="139">
        <f t="shared" si="9"/>
        <v>1.4232586696841245</v>
      </c>
      <c r="J80" s="139">
        <f t="shared" si="10"/>
        <v>1.6009525145941874</v>
      </c>
      <c r="K80" s="139">
        <f t="shared" si="11"/>
        <v>1.2790106929473768E-2</v>
      </c>
      <c r="L80" s="139">
        <f t="shared" si="12"/>
        <v>1.4386951779618566E-2</v>
      </c>
      <c r="M80" s="139">
        <f t="shared" ca="1" si="4"/>
        <v>1.1682348627368638E-2</v>
      </c>
      <c r="N80" s="139">
        <f t="shared" ca="1" si="13"/>
        <v>9.7249563911126994E-8</v>
      </c>
      <c r="O80" s="140">
        <f t="shared" ca="1" si="14"/>
        <v>2663.8764238936778</v>
      </c>
      <c r="P80" s="139">
        <f t="shared" ca="1" si="15"/>
        <v>94325.550202646264</v>
      </c>
      <c r="Q80" s="139">
        <f t="shared" ca="1" si="16"/>
        <v>15991.095858629295</v>
      </c>
      <c r="R80" s="8">
        <f t="shared" ca="1" si="5"/>
        <v>-3.1184862339142527E-4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>
      <c r="A81" s="43">
        <v>11955.5</v>
      </c>
      <c r="B81" s="43">
        <v>1.3401500007603317E-2</v>
      </c>
      <c r="C81" s="43">
        <v>1</v>
      </c>
      <c r="D81" s="138">
        <f t="shared" si="6"/>
        <v>1.1955499999999999</v>
      </c>
      <c r="E81" s="138">
        <f t="shared" si="6"/>
        <v>1.3401500007603317E-2</v>
      </c>
      <c r="F81" s="139">
        <f t="shared" si="7"/>
        <v>1.1955499999999999</v>
      </c>
      <c r="G81" s="139">
        <f t="shared" si="7"/>
        <v>1.3401500007603317E-2</v>
      </c>
      <c r="H81" s="139">
        <f t="shared" si="8"/>
        <v>1.4293398024999997</v>
      </c>
      <c r="I81" s="139">
        <f t="shared" si="9"/>
        <v>1.7088472008788744</v>
      </c>
      <c r="J81" s="139">
        <f t="shared" si="10"/>
        <v>2.0430122710107383</v>
      </c>
      <c r="K81" s="139">
        <f t="shared" si="11"/>
        <v>1.6022163334090143E-2</v>
      </c>
      <c r="L81" s="139">
        <f t="shared" si="12"/>
        <v>1.915529737407147E-2</v>
      </c>
      <c r="M81" s="139">
        <f t="shared" ca="1" si="4"/>
        <v>1.3136633701396859E-2</v>
      </c>
      <c r="N81" s="139">
        <f t="shared" ca="1" si="13"/>
        <v>7.0154160163453449E-8</v>
      </c>
      <c r="O81" s="140">
        <f t="shared" ca="1" si="14"/>
        <v>1956.1311834434703</v>
      </c>
      <c r="P81" s="139">
        <f t="shared" ca="1" si="15"/>
        <v>44570.921954582212</v>
      </c>
      <c r="Q81" s="139">
        <f t="shared" ca="1" si="16"/>
        <v>2132.2689799249315</v>
      </c>
      <c r="R81" s="8">
        <f t="shared" ca="1" si="5"/>
        <v>2.6486630620645851E-4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>
      <c r="A82" s="43">
        <v>12047</v>
      </c>
      <c r="B82" s="43">
        <v>1.0691000003134832E-2</v>
      </c>
      <c r="C82" s="43">
        <v>0.2</v>
      </c>
      <c r="D82" s="138">
        <f t="shared" si="6"/>
        <v>1.2047000000000001</v>
      </c>
      <c r="E82" s="138">
        <f t="shared" si="6"/>
        <v>1.0691000003134832E-2</v>
      </c>
      <c r="F82" s="139">
        <f t="shared" si="7"/>
        <v>0.24094000000000004</v>
      </c>
      <c r="G82" s="139">
        <f t="shared" si="7"/>
        <v>2.1382000006269666E-3</v>
      </c>
      <c r="H82" s="139">
        <f t="shared" si="8"/>
        <v>0.29026041800000008</v>
      </c>
      <c r="I82" s="139">
        <f t="shared" si="9"/>
        <v>0.34967672556460011</v>
      </c>
      <c r="J82" s="139">
        <f t="shared" si="10"/>
        <v>0.42125555128767378</v>
      </c>
      <c r="K82" s="139">
        <f t="shared" si="11"/>
        <v>2.5758895407553069E-3</v>
      </c>
      <c r="L82" s="139">
        <f t="shared" si="12"/>
        <v>3.1031741297479183E-3</v>
      </c>
      <c r="M82" s="139">
        <f t="shared" ca="1" si="4"/>
        <v>1.3331003023608587E-2</v>
      </c>
      <c r="N82" s="139">
        <f t="shared" ca="1" si="13"/>
        <v>1.3939231896221098E-6</v>
      </c>
      <c r="O82" s="140">
        <f t="shared" ca="1" si="14"/>
        <v>73.84107160085064</v>
      </c>
      <c r="P82" s="139">
        <f t="shared" ca="1" si="15"/>
        <v>1555.8818861769605</v>
      </c>
      <c r="Q82" s="139">
        <f t="shared" ca="1" si="16"/>
        <v>48.429865409033567</v>
      </c>
      <c r="R82" s="8">
        <f t="shared" ca="1" si="5"/>
        <v>-2.6400030204737548E-3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>
      <c r="A83" s="43">
        <v>12066</v>
      </c>
      <c r="B83" s="43">
        <v>1.1678000002575573E-2</v>
      </c>
      <c r="C83" s="43">
        <v>1</v>
      </c>
      <c r="D83" s="138">
        <f t="shared" si="6"/>
        <v>1.2065999999999999</v>
      </c>
      <c r="E83" s="138">
        <f t="shared" si="6"/>
        <v>1.1678000002575573E-2</v>
      </c>
      <c r="F83" s="139">
        <f t="shared" si="7"/>
        <v>1.2065999999999999</v>
      </c>
      <c r="G83" s="139">
        <f t="shared" si="7"/>
        <v>1.1678000002575573E-2</v>
      </c>
      <c r="H83" s="139">
        <f t="shared" si="8"/>
        <v>1.4558835599999997</v>
      </c>
      <c r="I83" s="139">
        <f t="shared" si="9"/>
        <v>1.7566691034959996</v>
      </c>
      <c r="J83" s="139">
        <f t="shared" si="10"/>
        <v>2.1195969402782731</v>
      </c>
      <c r="K83" s="139">
        <f t="shared" si="11"/>
        <v>1.4090674803107685E-2</v>
      </c>
      <c r="L83" s="139">
        <f t="shared" si="12"/>
        <v>1.7001808217429731E-2</v>
      </c>
      <c r="M83" s="139">
        <f t="shared" ca="1" si="4"/>
        <v>1.337154075187091E-2</v>
      </c>
      <c r="N83" s="139">
        <f t="shared" ca="1" si="13"/>
        <v>2.8680802695238145E-6</v>
      </c>
      <c r="O83" s="140">
        <f t="shared" ca="1" si="14"/>
        <v>1822.8099764197211</v>
      </c>
      <c r="P83" s="139">
        <f t="shared" ca="1" si="15"/>
        <v>37750.867366049752</v>
      </c>
      <c r="Q83" s="139">
        <f t="shared" ca="1" si="16"/>
        <v>1050.0257675540768</v>
      </c>
      <c r="R83" s="8">
        <f t="shared" ca="1" si="5"/>
        <v>-1.6935407492953379E-3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>
      <c r="A84" s="43">
        <v>12105</v>
      </c>
      <c r="B84" s="43">
        <v>1.3065000006463379E-2</v>
      </c>
      <c r="C84" s="43">
        <v>0.1</v>
      </c>
      <c r="D84" s="138">
        <f t="shared" ref="D84:E99" si="17">A84/A$18</f>
        <v>1.2104999999999999</v>
      </c>
      <c r="E84" s="138">
        <f t="shared" si="17"/>
        <v>1.3065000006463379E-2</v>
      </c>
      <c r="F84" s="139">
        <f t="shared" ref="F84:G99" si="18">$C84*D84</f>
        <v>0.12104999999999999</v>
      </c>
      <c r="G84" s="139">
        <f t="shared" si="18"/>
        <v>1.306500000646338E-3</v>
      </c>
      <c r="H84" s="139">
        <f t="shared" si="8"/>
        <v>0.14653102499999998</v>
      </c>
      <c r="I84" s="139">
        <f t="shared" si="9"/>
        <v>0.17737580576249998</v>
      </c>
      <c r="J84" s="139">
        <f t="shared" si="10"/>
        <v>0.21471341287550622</v>
      </c>
      <c r="K84" s="139">
        <f t="shared" si="11"/>
        <v>1.5815182507823919E-3</v>
      </c>
      <c r="L84" s="139">
        <f t="shared" si="12"/>
        <v>1.9144278425720852E-3</v>
      </c>
      <c r="M84" s="139">
        <f t="shared" ref="M84:M99" ca="1" si="19">+E$4+E$5*D84+E$6*D84^2</f>
        <v>1.3454940349259979E-2</v>
      </c>
      <c r="N84" s="139">
        <f t="shared" ca="1" si="13"/>
        <v>1.520534709403301E-8</v>
      </c>
      <c r="O84" s="140">
        <f t="shared" ca="1" si="14"/>
        <v>17.748136683551891</v>
      </c>
      <c r="P84" s="139">
        <f t="shared" ca="1" si="15"/>
        <v>354.34750485435529</v>
      </c>
      <c r="Q84" s="139">
        <f t="shared" ca="1" si="16"/>
        <v>7.5428098249360209</v>
      </c>
      <c r="R84" s="8">
        <f t="shared" ref="R84:R99" ca="1" si="20">+E84-M84</f>
        <v>-3.8994034279660021E-4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>
      <c r="A85" s="43">
        <v>13011</v>
      </c>
      <c r="B85" s="43">
        <v>1.5183000003162306E-2</v>
      </c>
      <c r="C85" s="43">
        <v>1</v>
      </c>
      <c r="D85" s="138">
        <f t="shared" si="17"/>
        <v>1.3010999999999999</v>
      </c>
      <c r="E85" s="138">
        <f t="shared" si="17"/>
        <v>1.5183000003162306E-2</v>
      </c>
      <c r="F85" s="139">
        <f t="shared" si="18"/>
        <v>1.3010999999999999</v>
      </c>
      <c r="G85" s="139">
        <f t="shared" si="18"/>
        <v>1.5183000003162306E-2</v>
      </c>
      <c r="H85" s="139">
        <f t="shared" ref="H85:H99" si="21">C85*D85*D85</f>
        <v>1.6928612099999998</v>
      </c>
      <c r="I85" s="139">
        <f t="shared" ref="I85:I99" si="22">C85*D85*D85*D85</f>
        <v>2.2025817203309996</v>
      </c>
      <c r="J85" s="139">
        <f t="shared" ref="J85:J99" si="23">C85*D85*D85*D85*D85</f>
        <v>2.8657790763226636</v>
      </c>
      <c r="K85" s="139">
        <f t="shared" ref="K85:K99" si="24">C85*E85*D85</f>
        <v>1.9754601304114473E-2</v>
      </c>
      <c r="L85" s="139">
        <f t="shared" ref="L85:L99" si="25">C85*E85*D85*D85</f>
        <v>2.570271175678334E-2</v>
      </c>
      <c r="M85" s="139">
        <f t="shared" ca="1" si="19"/>
        <v>1.5464510501798864E-2</v>
      </c>
      <c r="N85" s="139">
        <f t="shared" ref="N85:N99" ca="1" si="26">C85*(M85-E85)^2</f>
        <v>7.9248160842603435E-8</v>
      </c>
      <c r="O85" s="140">
        <f t="shared" ref="O85:O99" ca="1" si="27">(C85*O$1-O$2*F85+O$3*H85)^2</f>
        <v>644.42732032844037</v>
      </c>
      <c r="P85" s="139">
        <f t="shared" ref="P85:P99" ca="1" si="28">(-C85*O$2+O$4*F85-O$5*H85)^2</f>
        <v>922.00507124849958</v>
      </c>
      <c r="Q85" s="139">
        <f t="shared" ref="Q85:Q99" ca="1" si="29">+(C85*O$3-F85*O$5+H85*O$6)^2</f>
        <v>9782.4480069750844</v>
      </c>
      <c r="R85" s="8">
        <f t="shared" ca="1" si="20"/>
        <v>-2.8151049863655783E-4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>
      <c r="A86" s="43">
        <v>13017</v>
      </c>
      <c r="B86" s="43">
        <v>1.3891000002331566E-2</v>
      </c>
      <c r="C86" s="43">
        <v>1</v>
      </c>
      <c r="D86" s="138">
        <f t="shared" si="17"/>
        <v>1.3017000000000001</v>
      </c>
      <c r="E86" s="138">
        <f t="shared" si="17"/>
        <v>1.3891000002331566E-2</v>
      </c>
      <c r="F86" s="139">
        <f t="shared" si="18"/>
        <v>1.3017000000000001</v>
      </c>
      <c r="G86" s="139">
        <f t="shared" si="18"/>
        <v>1.3891000002331566E-2</v>
      </c>
      <c r="H86" s="139">
        <f t="shared" si="21"/>
        <v>1.6944228900000002</v>
      </c>
      <c r="I86" s="139">
        <f t="shared" si="22"/>
        <v>2.2056302759130006</v>
      </c>
      <c r="J86" s="139">
        <f t="shared" si="23"/>
        <v>2.8710689301559533</v>
      </c>
      <c r="K86" s="139">
        <f t="shared" si="24"/>
        <v>1.8081914703034999E-2</v>
      </c>
      <c r="L86" s="139">
        <f t="shared" si="25"/>
        <v>2.353722836894066E-2</v>
      </c>
      <c r="M86" s="139">
        <f t="shared" ca="1" si="19"/>
        <v>1.5478279935982674E-2</v>
      </c>
      <c r="N86" s="139">
        <f t="shared" ca="1" si="26"/>
        <v>2.5194575877714668E-6</v>
      </c>
      <c r="O86" s="140">
        <f t="shared" ca="1" si="27"/>
        <v>637.64817882572527</v>
      </c>
      <c r="P86" s="139">
        <f t="shared" ca="1" si="28"/>
        <v>853.16089188659828</v>
      </c>
      <c r="Q86" s="139">
        <f t="shared" ca="1" si="29"/>
        <v>9963.5064347249063</v>
      </c>
      <c r="R86" s="8">
        <f t="shared" ca="1" si="20"/>
        <v>-1.5872799336511083E-3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>
      <c r="A87" s="43">
        <v>13069.5</v>
      </c>
      <c r="B87" s="43">
        <v>1.5093500005605165E-2</v>
      </c>
      <c r="C87" s="43">
        <v>1</v>
      </c>
      <c r="D87" s="138">
        <f t="shared" si="17"/>
        <v>1.3069500000000001</v>
      </c>
      <c r="E87" s="138">
        <f t="shared" si="17"/>
        <v>1.5093500005605165E-2</v>
      </c>
      <c r="F87" s="139">
        <f t="shared" si="18"/>
        <v>1.3069500000000001</v>
      </c>
      <c r="G87" s="139">
        <f t="shared" si="18"/>
        <v>1.5093500005605165E-2</v>
      </c>
      <c r="H87" s="139">
        <f t="shared" si="21"/>
        <v>1.7081183025000002</v>
      </c>
      <c r="I87" s="139">
        <f t="shared" si="22"/>
        <v>2.2324252154523752</v>
      </c>
      <c r="J87" s="139">
        <f t="shared" si="23"/>
        <v>2.9176681353354819</v>
      </c>
      <c r="K87" s="139">
        <f t="shared" si="24"/>
        <v>1.972644983232567E-2</v>
      </c>
      <c r="L87" s="139">
        <f t="shared" si="25"/>
        <v>2.5781483608358035E-2</v>
      </c>
      <c r="M87" s="139">
        <f t="shared" ca="1" si="19"/>
        <v>1.5599021241595245E-2</v>
      </c>
      <c r="N87" s="139">
        <f t="shared" ca="1" si="26"/>
        <v>2.5555172003693818E-7</v>
      </c>
      <c r="O87" s="140">
        <f t="shared" ca="1" si="27"/>
        <v>579.23830499721794</v>
      </c>
      <c r="P87" s="139">
        <f t="shared" ca="1" si="28"/>
        <v>362.34928148652102</v>
      </c>
      <c r="Q87" s="139">
        <f t="shared" ca="1" si="29"/>
        <v>11627.5686230089</v>
      </c>
      <c r="R87" s="8">
        <f t="shared" ca="1" si="20"/>
        <v>-5.0552123599008E-4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>
      <c r="A88" s="43">
        <v>13147</v>
      </c>
      <c r="B88" s="43">
        <v>1.5071000001626089E-2</v>
      </c>
      <c r="C88" s="43">
        <v>1</v>
      </c>
      <c r="D88" s="138">
        <f t="shared" si="17"/>
        <v>1.3147</v>
      </c>
      <c r="E88" s="138">
        <f t="shared" si="17"/>
        <v>1.5071000001626089E-2</v>
      </c>
      <c r="F88" s="139">
        <f t="shared" si="18"/>
        <v>1.3147</v>
      </c>
      <c r="G88" s="139">
        <f t="shared" si="18"/>
        <v>1.5071000001626089E-2</v>
      </c>
      <c r="H88" s="139">
        <f t="shared" si="21"/>
        <v>1.72843609</v>
      </c>
      <c r="I88" s="139">
        <f t="shared" si="22"/>
        <v>2.2723749275229999</v>
      </c>
      <c r="J88" s="139">
        <f t="shared" si="23"/>
        <v>2.9874913172144879</v>
      </c>
      <c r="K88" s="139">
        <f t="shared" si="24"/>
        <v>1.9813843702137818E-2</v>
      </c>
      <c r="L88" s="139">
        <f t="shared" si="25"/>
        <v>2.6049260315200589E-2</v>
      </c>
      <c r="M88" s="139">
        <f t="shared" ca="1" si="19"/>
        <v>1.5778107237883924E-2</v>
      </c>
      <c r="N88" s="139">
        <f t="shared" ca="1" si="26"/>
        <v>5.0000064356819328E-7</v>
      </c>
      <c r="O88" s="140">
        <f t="shared" ca="1" si="27"/>
        <v>496.25309037123634</v>
      </c>
      <c r="P88" s="139">
        <f t="shared" ca="1" si="28"/>
        <v>14.553154510629396</v>
      </c>
      <c r="Q88" s="139">
        <f t="shared" ca="1" si="29"/>
        <v>14351.513753190835</v>
      </c>
      <c r="R88" s="8">
        <f t="shared" ca="1" si="20"/>
        <v>-7.071072362578347E-4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>
      <c r="A89" s="43">
        <v>13203</v>
      </c>
      <c r="B89" s="43">
        <v>1.4959000000089873E-2</v>
      </c>
      <c r="C89" s="43">
        <v>1</v>
      </c>
      <c r="D89" s="138">
        <f t="shared" si="17"/>
        <v>1.3203</v>
      </c>
      <c r="E89" s="138">
        <f t="shared" si="17"/>
        <v>1.4959000000089873E-2</v>
      </c>
      <c r="F89" s="139">
        <f t="shared" si="18"/>
        <v>1.3203</v>
      </c>
      <c r="G89" s="139">
        <f t="shared" si="18"/>
        <v>1.4959000000089873E-2</v>
      </c>
      <c r="H89" s="139">
        <f t="shared" si="21"/>
        <v>1.74319209</v>
      </c>
      <c r="I89" s="139">
        <f t="shared" si="22"/>
        <v>2.3015365164269999</v>
      </c>
      <c r="J89" s="139">
        <f t="shared" si="23"/>
        <v>3.0387186626385678</v>
      </c>
      <c r="K89" s="139">
        <f t="shared" si="24"/>
        <v>1.9750367700118659E-2</v>
      </c>
      <c r="L89" s="139">
        <f t="shared" si="25"/>
        <v>2.6076410474466665E-2</v>
      </c>
      <c r="M89" s="139">
        <f t="shared" ca="1" si="19"/>
        <v>1.5908141174608037E-2</v>
      </c>
      <c r="N89" s="139">
        <f t="shared" ca="1" si="26"/>
        <v>9.0086896916572053E-7</v>
      </c>
      <c r="O89" s="140">
        <f t="shared" ca="1" si="27"/>
        <v>438.96306780813438</v>
      </c>
      <c r="P89" s="139">
        <f t="shared" ca="1" si="28"/>
        <v>53.782464182680222</v>
      </c>
      <c r="Q89" s="139">
        <f t="shared" ca="1" si="29"/>
        <v>16524.082657820833</v>
      </c>
      <c r="R89" s="8">
        <f t="shared" ca="1" si="20"/>
        <v>-9.4914117451816438E-4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>
      <c r="A90" s="43">
        <v>14086.5</v>
      </c>
      <c r="B90" s="43">
        <v>1.9434499998169485E-2</v>
      </c>
      <c r="C90" s="43">
        <v>1</v>
      </c>
      <c r="D90" s="138">
        <f t="shared" si="17"/>
        <v>1.40865</v>
      </c>
      <c r="E90" s="138">
        <f t="shared" si="17"/>
        <v>1.9434499998169485E-2</v>
      </c>
      <c r="F90" s="139">
        <f t="shared" si="18"/>
        <v>1.40865</v>
      </c>
      <c r="G90" s="139">
        <f t="shared" si="18"/>
        <v>1.9434499998169485E-2</v>
      </c>
      <c r="H90" s="139">
        <f t="shared" si="21"/>
        <v>1.9842948224999999</v>
      </c>
      <c r="I90" s="139">
        <f t="shared" si="22"/>
        <v>2.7951769017146249</v>
      </c>
      <c r="J90" s="139">
        <f t="shared" si="23"/>
        <v>3.937425942600306</v>
      </c>
      <c r="K90" s="139">
        <f t="shared" si="24"/>
        <v>2.7376408422421446E-2</v>
      </c>
      <c r="L90" s="139">
        <f t="shared" si="25"/>
        <v>3.8563777724243971E-2</v>
      </c>
      <c r="M90" s="139">
        <f t="shared" ca="1" si="19"/>
        <v>1.8029591292706718E-2</v>
      </c>
      <c r="N90" s="139">
        <f t="shared" ca="1" si="26"/>
        <v>1.9737684706850703E-6</v>
      </c>
      <c r="O90" s="140">
        <f t="shared" ca="1" si="27"/>
        <v>11.872729310864354</v>
      </c>
      <c r="P90" s="139">
        <f t="shared" ca="1" si="28"/>
        <v>39967.61512152564</v>
      </c>
      <c r="Q90" s="139">
        <f t="shared" ca="1" si="29"/>
        <v>77185.548517287709</v>
      </c>
      <c r="R90" s="8">
        <f t="shared" ca="1" si="20"/>
        <v>1.4049087054627679E-3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>
      <c r="A91" s="43">
        <v>14101</v>
      </c>
      <c r="B91" s="43">
        <v>1.5552999997453298E-2</v>
      </c>
      <c r="C91" s="43">
        <v>1</v>
      </c>
      <c r="D91" s="138">
        <f t="shared" si="17"/>
        <v>1.4100999999999999</v>
      </c>
      <c r="E91" s="138">
        <f t="shared" si="17"/>
        <v>1.5552999997453298E-2</v>
      </c>
      <c r="F91" s="139">
        <f t="shared" si="18"/>
        <v>1.4100999999999999</v>
      </c>
      <c r="G91" s="139">
        <f t="shared" si="18"/>
        <v>1.5552999997453298E-2</v>
      </c>
      <c r="H91" s="139">
        <f t="shared" si="21"/>
        <v>1.9883820099999998</v>
      </c>
      <c r="I91" s="139">
        <f t="shared" si="22"/>
        <v>2.8038174723009996</v>
      </c>
      <c r="J91" s="139">
        <f t="shared" si="23"/>
        <v>3.9536630176916394</v>
      </c>
      <c r="K91" s="139">
        <f t="shared" si="24"/>
        <v>2.1931285296408896E-2</v>
      </c>
      <c r="L91" s="139">
        <f t="shared" si="25"/>
        <v>3.0925305396466183E-2</v>
      </c>
      <c r="M91" s="139">
        <f t="shared" ca="1" si="19"/>
        <v>1.8065505562144396E-2</v>
      </c>
      <c r="N91" s="139">
        <f t="shared" ca="1" si="26"/>
        <v>6.3126842126037317E-6</v>
      </c>
      <c r="O91" s="140">
        <f t="shared" ca="1" si="27"/>
        <v>15.21630922661814</v>
      </c>
      <c r="P91" s="139">
        <f t="shared" ca="1" si="28"/>
        <v>41347.834407176066</v>
      </c>
      <c r="Q91" s="139">
        <f t="shared" ca="1" si="29"/>
        <v>78651.869755011227</v>
      </c>
      <c r="R91" s="8">
        <f t="shared" ca="1" si="20"/>
        <v>-2.5125055646910976E-3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>
      <c r="A92" s="43">
        <v>14155.5</v>
      </c>
      <c r="B92" s="43">
        <v>1.9411500004935078E-2</v>
      </c>
      <c r="C92" s="43">
        <v>1</v>
      </c>
      <c r="D92" s="138">
        <f t="shared" si="17"/>
        <v>1.4155500000000001</v>
      </c>
      <c r="E92" s="138">
        <f t="shared" si="17"/>
        <v>1.9411500004935078E-2</v>
      </c>
      <c r="F92" s="139">
        <f t="shared" si="18"/>
        <v>1.4155500000000001</v>
      </c>
      <c r="G92" s="139">
        <f t="shared" si="18"/>
        <v>1.9411500004935078E-2</v>
      </c>
      <c r="H92" s="139">
        <f t="shared" si="21"/>
        <v>2.0037818025000003</v>
      </c>
      <c r="I92" s="139">
        <f t="shared" si="22"/>
        <v>2.8364533305288755</v>
      </c>
      <c r="J92" s="139">
        <f t="shared" si="23"/>
        <v>4.0151415120301497</v>
      </c>
      <c r="K92" s="139">
        <f t="shared" si="24"/>
        <v>2.747794883198585E-2</v>
      </c>
      <c r="L92" s="139">
        <f t="shared" si="25"/>
        <v>3.889641046911757E-2</v>
      </c>
      <c r="M92" s="139">
        <f t="shared" ca="1" si="19"/>
        <v>1.8200810504952002E-2</v>
      </c>
      <c r="N92" s="139">
        <f t="shared" ca="1" si="26"/>
        <v>1.4657690653692722E-6</v>
      </c>
      <c r="O92" s="140">
        <f t="shared" ca="1" si="27"/>
        <v>31.666038589485861</v>
      </c>
      <c r="P92" s="139">
        <f t="shared" ca="1" si="28"/>
        <v>46777.796176831587</v>
      </c>
      <c r="Q92" s="139">
        <f t="shared" ca="1" si="29"/>
        <v>84316.221285481166</v>
      </c>
      <c r="R92" s="8">
        <f t="shared" ca="1" si="20"/>
        <v>1.2106894999830767E-3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>
      <c r="A93" s="43">
        <v>15123.5</v>
      </c>
      <c r="B93" s="43">
        <v>2.1895500001846813E-2</v>
      </c>
      <c r="C93" s="43">
        <v>1</v>
      </c>
      <c r="D93" s="138">
        <f t="shared" si="17"/>
        <v>1.5123500000000001</v>
      </c>
      <c r="E93" s="138">
        <f t="shared" si="17"/>
        <v>2.1895500001846813E-2</v>
      </c>
      <c r="F93" s="139">
        <f t="shared" si="18"/>
        <v>1.5123500000000001</v>
      </c>
      <c r="G93" s="139">
        <f t="shared" si="18"/>
        <v>2.1895500001846813E-2</v>
      </c>
      <c r="H93" s="139">
        <f t="shared" si="21"/>
        <v>2.2872025225000003</v>
      </c>
      <c r="I93" s="139">
        <f t="shared" si="22"/>
        <v>3.4590507349028758</v>
      </c>
      <c r="J93" s="139">
        <f t="shared" si="23"/>
        <v>5.2312953789303647</v>
      </c>
      <c r="K93" s="139">
        <f t="shared" si="24"/>
        <v>3.3113659427793027E-2</v>
      </c>
      <c r="L93" s="139">
        <f t="shared" si="25"/>
        <v>5.0079442835622788E-2</v>
      </c>
      <c r="M93" s="139">
        <f t="shared" ca="1" si="19"/>
        <v>2.068741505673459E-2</v>
      </c>
      <c r="N93" s="139">
        <f t="shared" ca="1" si="26"/>
        <v>1.4594692346068023E-6</v>
      </c>
      <c r="O93" s="140">
        <f t="shared" ca="1" si="27"/>
        <v>1636.2890115212513</v>
      </c>
      <c r="P93" s="139">
        <f t="shared" ca="1" si="28"/>
        <v>217181.66406204327</v>
      </c>
      <c r="Q93" s="139">
        <f t="shared" ca="1" si="29"/>
        <v>230444.7195562156</v>
      </c>
      <c r="R93" s="8">
        <f t="shared" ca="1" si="20"/>
        <v>1.2080849451122228E-3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>
      <c r="A94" s="43">
        <v>15124</v>
      </c>
      <c r="B94" s="43">
        <v>2.1072000003186986E-2</v>
      </c>
      <c r="C94" s="43">
        <v>1</v>
      </c>
      <c r="D94" s="138">
        <f t="shared" si="17"/>
        <v>1.5124</v>
      </c>
      <c r="E94" s="138">
        <f t="shared" si="17"/>
        <v>2.1072000003186986E-2</v>
      </c>
      <c r="F94" s="139">
        <f t="shared" si="18"/>
        <v>1.5124</v>
      </c>
      <c r="G94" s="139">
        <f t="shared" si="18"/>
        <v>2.1072000003186986E-2</v>
      </c>
      <c r="H94" s="139">
        <f t="shared" si="21"/>
        <v>2.2873537599999998</v>
      </c>
      <c r="I94" s="139">
        <f t="shared" si="22"/>
        <v>3.4593938266239994</v>
      </c>
      <c r="J94" s="139">
        <f t="shared" si="23"/>
        <v>5.2319872233861364</v>
      </c>
      <c r="K94" s="139">
        <f t="shared" si="24"/>
        <v>3.1869292804819996E-2</v>
      </c>
      <c r="L94" s="139">
        <f t="shared" si="25"/>
        <v>4.819911843800976E-2</v>
      </c>
      <c r="M94" s="139">
        <f t="shared" ca="1" si="19"/>
        <v>2.068874025855675E-2</v>
      </c>
      <c r="N94" s="139">
        <f t="shared" ca="1" si="26"/>
        <v>1.4688803185403396E-7</v>
      </c>
      <c r="O94" s="140">
        <f t="shared" ca="1" si="27"/>
        <v>1637.9092800108924</v>
      </c>
      <c r="P94" s="139">
        <f t="shared" ca="1" si="28"/>
        <v>217310.99881499889</v>
      </c>
      <c r="Q94" s="139">
        <f t="shared" ca="1" si="29"/>
        <v>230545.09859930212</v>
      </c>
      <c r="R94" s="8">
        <f t="shared" ca="1" si="20"/>
        <v>3.8325974463023632E-4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>
      <c r="A95" s="43">
        <v>15129</v>
      </c>
      <c r="B95" s="43">
        <v>2.1137000003363937E-2</v>
      </c>
      <c r="C95" s="43">
        <v>1</v>
      </c>
      <c r="D95" s="138">
        <f t="shared" si="17"/>
        <v>1.5128999999999999</v>
      </c>
      <c r="E95" s="138">
        <f t="shared" si="17"/>
        <v>2.1137000003363937E-2</v>
      </c>
      <c r="F95" s="139">
        <f t="shared" si="18"/>
        <v>1.5128999999999999</v>
      </c>
      <c r="G95" s="139">
        <f t="shared" si="18"/>
        <v>2.1137000003363937E-2</v>
      </c>
      <c r="H95" s="139">
        <f t="shared" si="21"/>
        <v>2.2888664099999998</v>
      </c>
      <c r="I95" s="139">
        <f t="shared" si="22"/>
        <v>3.4628259916889994</v>
      </c>
      <c r="J95" s="139">
        <f t="shared" si="23"/>
        <v>5.2389094428262872</v>
      </c>
      <c r="K95" s="139">
        <f t="shared" si="24"/>
        <v>3.1978167305089296E-2</v>
      </c>
      <c r="L95" s="139">
        <f t="shared" si="25"/>
        <v>4.837976931586959E-2</v>
      </c>
      <c r="M95" s="139">
        <f t="shared" ca="1" si="19"/>
        <v>2.0701994593686442E-2</v>
      </c>
      <c r="N95" s="139">
        <f t="shared" ca="1" si="26"/>
        <v>1.8922970644868571E-7</v>
      </c>
      <c r="O95" s="140">
        <f t="shared" ca="1" si="27"/>
        <v>1654.1654648408373</v>
      </c>
      <c r="P95" s="139">
        <f t="shared" ca="1" si="28"/>
        <v>218606.98108819706</v>
      </c>
      <c r="Q95" s="139">
        <f t="shared" ca="1" si="29"/>
        <v>231550.45013120575</v>
      </c>
      <c r="R95" s="8">
        <f t="shared" ca="1" si="20"/>
        <v>4.3500540967749551E-4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>
      <c r="A96" s="43">
        <v>15129.5</v>
      </c>
      <c r="B96" s="43">
        <v>2.2413500002585351E-2</v>
      </c>
      <c r="C96" s="43">
        <v>1</v>
      </c>
      <c r="D96" s="138">
        <f t="shared" si="17"/>
        <v>1.51295</v>
      </c>
      <c r="E96" s="138">
        <f t="shared" si="17"/>
        <v>2.2413500002585351E-2</v>
      </c>
      <c r="F96" s="139">
        <f t="shared" si="18"/>
        <v>1.51295</v>
      </c>
      <c r="G96" s="139">
        <f t="shared" si="18"/>
        <v>2.2413500002585351E-2</v>
      </c>
      <c r="H96" s="139">
        <f t="shared" si="21"/>
        <v>2.2890177025000003</v>
      </c>
      <c r="I96" s="139">
        <f t="shared" si="22"/>
        <v>3.4631693329973756</v>
      </c>
      <c r="J96" s="139">
        <f t="shared" si="23"/>
        <v>5.2396020423583796</v>
      </c>
      <c r="K96" s="139">
        <f t="shared" si="24"/>
        <v>3.391050482891151E-2</v>
      </c>
      <c r="L96" s="139">
        <f t="shared" si="25"/>
        <v>5.1304898280901672E-2</v>
      </c>
      <c r="M96" s="139">
        <f t="shared" ca="1" si="19"/>
        <v>2.0703320258890219E-2</v>
      </c>
      <c r="N96" s="139">
        <f t="shared" ca="1" si="26"/>
        <v>2.9247147557451488E-6</v>
      </c>
      <c r="O96" s="140">
        <f t="shared" ca="1" si="27"/>
        <v>1655.7964388739315</v>
      </c>
      <c r="P96" s="139">
        <f t="shared" ca="1" si="28"/>
        <v>218736.84297416065</v>
      </c>
      <c r="Q96" s="139">
        <f t="shared" ca="1" si="29"/>
        <v>231651.14148811231</v>
      </c>
      <c r="R96" s="8">
        <f t="shared" ca="1" si="20"/>
        <v>1.7101797436951324E-3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>
      <c r="A97" s="43">
        <v>15933.5</v>
      </c>
      <c r="B97" s="43">
        <v>2.0025500001793262E-2</v>
      </c>
      <c r="C97" s="43">
        <v>1</v>
      </c>
      <c r="D97" s="138">
        <f t="shared" si="17"/>
        <v>1.59335</v>
      </c>
      <c r="E97" s="138">
        <f t="shared" si="17"/>
        <v>2.0025500001793262E-2</v>
      </c>
      <c r="F97" s="139">
        <f t="shared" si="18"/>
        <v>1.59335</v>
      </c>
      <c r="G97" s="139">
        <f t="shared" si="18"/>
        <v>2.0025500001793262E-2</v>
      </c>
      <c r="H97" s="139">
        <f t="shared" si="21"/>
        <v>2.5387642225000002</v>
      </c>
      <c r="I97" s="139">
        <f t="shared" si="22"/>
        <v>4.0451399739203753</v>
      </c>
      <c r="J97" s="139">
        <f t="shared" si="23"/>
        <v>6.4453237774460304</v>
      </c>
      <c r="K97" s="139">
        <f t="shared" si="24"/>
        <v>3.1907630427857298E-2</v>
      </c>
      <c r="L97" s="139">
        <f t="shared" si="25"/>
        <v>5.0840022942226427E-2</v>
      </c>
      <c r="M97" s="139">
        <f t="shared" ca="1" si="19"/>
        <v>2.2889485100564266E-2</v>
      </c>
      <c r="N97" s="139">
        <f t="shared" ca="1" si="26"/>
        <v>8.2024106459823608E-6</v>
      </c>
      <c r="O97" s="140">
        <f t="shared" ca="1" si="27"/>
        <v>5721.8867321544567</v>
      </c>
      <c r="P97" s="139">
        <f t="shared" ca="1" si="28"/>
        <v>495588.43977192714</v>
      </c>
      <c r="Q97" s="139">
        <f t="shared" ca="1" si="29"/>
        <v>433351.63793030207</v>
      </c>
      <c r="R97" s="8">
        <f t="shared" ca="1" si="20"/>
        <v>-2.8639850987710047E-3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>
      <c r="A98" s="43">
        <v>15955.5</v>
      </c>
      <c r="B98" s="43">
        <v>2.5191500004439149E-2</v>
      </c>
      <c r="C98" s="43">
        <v>1</v>
      </c>
      <c r="D98" s="138">
        <f t="shared" si="17"/>
        <v>1.59555</v>
      </c>
      <c r="E98" s="138">
        <f t="shared" si="17"/>
        <v>2.5191500004439149E-2</v>
      </c>
      <c r="F98" s="139">
        <f t="shared" si="18"/>
        <v>1.59555</v>
      </c>
      <c r="G98" s="139">
        <f t="shared" si="18"/>
        <v>2.5191500004439149E-2</v>
      </c>
      <c r="H98" s="139">
        <f t="shared" si="21"/>
        <v>2.5457798025000002</v>
      </c>
      <c r="I98" s="139">
        <f t="shared" si="22"/>
        <v>4.0619189638788757</v>
      </c>
      <c r="J98" s="139">
        <f t="shared" si="23"/>
        <v>6.48099480281694</v>
      </c>
      <c r="K98" s="139">
        <f t="shared" si="24"/>
        <v>4.0194297832082886E-2</v>
      </c>
      <c r="L98" s="139">
        <f t="shared" si="25"/>
        <v>6.4132011905979849E-2</v>
      </c>
      <c r="M98" s="139">
        <f t="shared" ca="1" si="19"/>
        <v>2.29508365443989E-2</v>
      </c>
      <c r="N98" s="139">
        <f t="shared" ca="1" si="26"/>
        <v>5.020572741159542E-6</v>
      </c>
      <c r="O98" s="140">
        <f t="shared" ca="1" si="27"/>
        <v>5879.1952453765825</v>
      </c>
      <c r="P98" s="139">
        <f t="shared" ca="1" si="28"/>
        <v>505253.06860407005</v>
      </c>
      <c r="Q98" s="139">
        <f t="shared" ca="1" si="29"/>
        <v>440078.39668376953</v>
      </c>
      <c r="R98" s="8">
        <f t="shared" ca="1" si="20"/>
        <v>2.2406634600402493E-3</v>
      </c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>
      <c r="A99" s="43">
        <v>16047</v>
      </c>
      <c r="B99" s="43">
        <v>2.529099999810569E-2</v>
      </c>
      <c r="C99" s="43">
        <v>1</v>
      </c>
      <c r="D99" s="138">
        <f t="shared" si="17"/>
        <v>1.6047</v>
      </c>
      <c r="E99" s="138">
        <f t="shared" si="17"/>
        <v>2.529099999810569E-2</v>
      </c>
      <c r="F99" s="139">
        <f t="shared" si="18"/>
        <v>1.6047</v>
      </c>
      <c r="G99" s="139">
        <f t="shared" si="18"/>
        <v>2.529099999810569E-2</v>
      </c>
      <c r="H99" s="139">
        <f t="shared" si="21"/>
        <v>2.5750620899999999</v>
      </c>
      <c r="I99" s="139">
        <f t="shared" si="22"/>
        <v>4.1322021358229994</v>
      </c>
      <c r="J99" s="139">
        <f t="shared" si="23"/>
        <v>6.6309447673551674</v>
      </c>
      <c r="K99" s="139">
        <f t="shared" si="24"/>
        <v>4.0584467696960204E-2</v>
      </c>
      <c r="L99" s="139">
        <f t="shared" si="25"/>
        <v>6.5125895313312046E-2</v>
      </c>
      <c r="M99" s="139">
        <f t="shared" ca="1" si="19"/>
        <v>2.3206877746507152E-2</v>
      </c>
      <c r="N99" s="139">
        <f t="shared" ca="1" si="26"/>
        <v>4.343565559608159E-6</v>
      </c>
      <c r="O99" s="140">
        <f t="shared" ca="1" si="27"/>
        <v>6563.4112158271755</v>
      </c>
      <c r="P99" s="139">
        <f t="shared" ca="1" si="28"/>
        <v>546759.33448742912</v>
      </c>
      <c r="Q99" s="139">
        <f t="shared" ca="1" si="29"/>
        <v>468804.27894254716</v>
      </c>
      <c r="R99" s="8">
        <f t="shared" ca="1" si="20"/>
        <v>2.0841222515985379E-3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>
      <c r="A100" s="43"/>
      <c r="B100" s="43"/>
      <c r="C100" s="43"/>
      <c r="D100" s="138"/>
      <c r="E100" s="138"/>
      <c r="F100" s="139"/>
      <c r="G100" s="139"/>
      <c r="H100" s="139"/>
      <c r="I100" s="139"/>
      <c r="J100" s="139"/>
      <c r="K100" s="139"/>
      <c r="L100" s="139"/>
      <c r="M100" s="139"/>
      <c r="N100" s="139"/>
      <c r="O100" s="140"/>
      <c r="P100" s="139"/>
      <c r="Q100" s="139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>
      <c r="A101" s="43"/>
      <c r="B101" s="43"/>
      <c r="C101" s="43"/>
      <c r="D101" s="138"/>
      <c r="E101" s="138"/>
      <c r="F101" s="139"/>
      <c r="G101" s="139"/>
      <c r="H101" s="139"/>
      <c r="I101" s="139"/>
      <c r="J101" s="139"/>
      <c r="K101" s="139"/>
      <c r="L101" s="139"/>
      <c r="M101" s="139"/>
      <c r="N101" s="139"/>
      <c r="O101" s="140"/>
      <c r="P101" s="139"/>
      <c r="Q101" s="139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>
      <c r="A102" s="43"/>
      <c r="B102" s="43"/>
      <c r="C102" s="43"/>
      <c r="D102" s="138"/>
      <c r="E102" s="138"/>
      <c r="F102" s="139"/>
      <c r="G102" s="139"/>
      <c r="H102" s="139"/>
      <c r="I102" s="139"/>
      <c r="J102" s="139"/>
      <c r="K102" s="139"/>
      <c r="L102" s="139"/>
      <c r="M102" s="139"/>
      <c r="N102" s="139"/>
      <c r="O102" s="140"/>
      <c r="P102" s="139"/>
      <c r="Q102" s="139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>
      <c r="A103" s="43"/>
      <c r="B103" s="43"/>
      <c r="C103" s="43"/>
      <c r="D103" s="138"/>
      <c r="E103" s="138"/>
      <c r="F103" s="139"/>
      <c r="G103" s="139"/>
      <c r="H103" s="139"/>
      <c r="I103" s="139"/>
      <c r="J103" s="139"/>
      <c r="K103" s="139"/>
      <c r="L103" s="139"/>
      <c r="M103" s="139"/>
      <c r="N103" s="139"/>
      <c r="O103" s="140"/>
      <c r="P103" s="139"/>
      <c r="Q103" s="139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>
      <c r="A104" s="43"/>
      <c r="B104" s="43"/>
      <c r="C104" s="43"/>
      <c r="D104" s="138"/>
      <c r="E104" s="138"/>
      <c r="F104" s="139"/>
      <c r="G104" s="139"/>
      <c r="H104" s="139"/>
      <c r="I104" s="139"/>
      <c r="J104" s="139"/>
      <c r="K104" s="139"/>
      <c r="L104" s="139"/>
      <c r="M104" s="139"/>
      <c r="N104" s="139"/>
      <c r="O104" s="140"/>
      <c r="P104" s="139"/>
      <c r="Q104" s="139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>
      <c r="A105" s="43"/>
      <c r="B105" s="43"/>
      <c r="C105" s="43"/>
      <c r="D105" s="138"/>
      <c r="E105" s="138"/>
      <c r="F105" s="139"/>
      <c r="G105" s="139"/>
      <c r="H105" s="139"/>
      <c r="I105" s="139"/>
      <c r="J105" s="139"/>
      <c r="K105" s="139"/>
      <c r="L105" s="139"/>
      <c r="M105" s="139"/>
      <c r="N105" s="139"/>
      <c r="O105" s="140"/>
      <c r="P105" s="139"/>
      <c r="Q105" s="139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>
      <c r="A106" s="43"/>
      <c r="B106" s="43"/>
      <c r="C106" s="43"/>
      <c r="D106" s="138"/>
      <c r="E106" s="138"/>
      <c r="F106" s="139"/>
      <c r="G106" s="139"/>
      <c r="H106" s="139"/>
      <c r="I106" s="139"/>
      <c r="J106" s="139"/>
      <c r="K106" s="139"/>
      <c r="L106" s="139"/>
      <c r="M106" s="139"/>
      <c r="N106" s="139"/>
      <c r="O106" s="140"/>
      <c r="P106" s="139"/>
      <c r="Q106" s="139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>
      <c r="A107" s="43"/>
      <c r="B107" s="43"/>
      <c r="C107" s="43"/>
      <c r="D107" s="138"/>
      <c r="E107" s="138"/>
      <c r="F107" s="139"/>
      <c r="G107" s="139"/>
      <c r="H107" s="139"/>
      <c r="I107" s="139"/>
      <c r="J107" s="139"/>
      <c r="K107" s="139"/>
      <c r="L107" s="139"/>
      <c r="M107" s="139"/>
      <c r="N107" s="139"/>
      <c r="O107" s="140"/>
      <c r="P107" s="139"/>
      <c r="Q107" s="139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>
      <c r="A108" s="43"/>
      <c r="B108" s="43"/>
      <c r="C108" s="43"/>
      <c r="D108" s="138"/>
      <c r="E108" s="138"/>
      <c r="F108" s="139"/>
      <c r="G108" s="139"/>
      <c r="H108" s="139"/>
      <c r="I108" s="139"/>
      <c r="J108" s="139"/>
      <c r="K108" s="139"/>
      <c r="L108" s="139"/>
      <c r="M108" s="139"/>
      <c r="N108" s="139"/>
      <c r="O108" s="140"/>
      <c r="P108" s="139"/>
      <c r="Q108" s="139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>
      <c r="A109" s="43"/>
      <c r="B109" s="43"/>
      <c r="C109" s="43"/>
      <c r="D109" s="138"/>
      <c r="E109" s="138"/>
      <c r="F109" s="139"/>
      <c r="G109" s="139"/>
      <c r="H109" s="139"/>
      <c r="I109" s="139"/>
      <c r="J109" s="139"/>
      <c r="K109" s="139"/>
      <c r="L109" s="139"/>
      <c r="M109" s="139"/>
      <c r="N109" s="139"/>
      <c r="O109" s="140"/>
      <c r="P109" s="139"/>
      <c r="Q109" s="139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>
      <c r="A110" s="43"/>
      <c r="B110" s="43"/>
      <c r="C110" s="43"/>
      <c r="D110" s="138"/>
      <c r="E110" s="138"/>
      <c r="F110" s="139"/>
      <c r="G110" s="139"/>
      <c r="H110" s="139"/>
      <c r="I110" s="139"/>
      <c r="J110" s="139"/>
      <c r="K110" s="139"/>
      <c r="L110" s="139"/>
      <c r="M110" s="139"/>
      <c r="N110" s="139"/>
      <c r="O110" s="140"/>
      <c r="P110" s="139"/>
      <c r="Q110" s="139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>
      <c r="A111" s="43"/>
      <c r="B111" s="43"/>
      <c r="C111" s="43"/>
      <c r="D111" s="138"/>
      <c r="E111" s="138"/>
      <c r="F111" s="139"/>
      <c r="G111" s="139"/>
      <c r="H111" s="139"/>
      <c r="I111" s="139"/>
      <c r="J111" s="139"/>
      <c r="K111" s="139"/>
      <c r="L111" s="139"/>
      <c r="M111" s="139"/>
      <c r="N111" s="139"/>
      <c r="O111" s="140"/>
      <c r="P111" s="139"/>
      <c r="Q111" s="139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>
      <c r="A112" s="43"/>
      <c r="B112" s="43"/>
      <c r="C112" s="43"/>
      <c r="D112" s="138"/>
      <c r="E112" s="138"/>
      <c r="F112" s="139"/>
      <c r="G112" s="139"/>
      <c r="H112" s="139"/>
      <c r="I112" s="139"/>
      <c r="J112" s="139"/>
      <c r="K112" s="139"/>
      <c r="L112" s="139"/>
      <c r="M112" s="139"/>
      <c r="N112" s="139"/>
      <c r="O112" s="140"/>
      <c r="P112" s="139"/>
      <c r="Q112" s="139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>
      <c r="A113" s="43"/>
      <c r="B113" s="43"/>
      <c r="C113" s="43"/>
      <c r="D113" s="138"/>
      <c r="E113" s="138"/>
      <c r="F113" s="139"/>
      <c r="G113" s="139"/>
      <c r="H113" s="139"/>
      <c r="I113" s="139"/>
      <c r="J113" s="139"/>
      <c r="K113" s="139"/>
      <c r="L113" s="139"/>
      <c r="M113" s="139"/>
      <c r="N113" s="139"/>
      <c r="O113" s="140"/>
      <c r="P113" s="139"/>
      <c r="Q113" s="139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>
      <c r="A114" s="43"/>
      <c r="B114" s="43"/>
      <c r="C114" s="43"/>
      <c r="D114" s="138"/>
      <c r="E114" s="138"/>
      <c r="F114" s="139"/>
      <c r="G114" s="139"/>
      <c r="H114" s="139"/>
      <c r="I114" s="139"/>
      <c r="J114" s="139"/>
      <c r="K114" s="139"/>
      <c r="L114" s="139"/>
      <c r="M114" s="139"/>
      <c r="N114" s="139"/>
      <c r="O114" s="140"/>
      <c r="P114" s="139"/>
      <c r="Q114" s="139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>
      <c r="A115" s="43"/>
      <c r="B115" s="43"/>
      <c r="C115" s="43"/>
      <c r="D115" s="138"/>
      <c r="E115" s="138"/>
      <c r="F115" s="139"/>
      <c r="G115" s="139"/>
      <c r="H115" s="139"/>
      <c r="I115" s="139"/>
      <c r="J115" s="139"/>
      <c r="K115" s="139"/>
      <c r="L115" s="139"/>
      <c r="M115" s="139"/>
      <c r="N115" s="139"/>
      <c r="O115" s="140"/>
      <c r="P115" s="139"/>
      <c r="Q115" s="139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>
      <c r="A116" s="43"/>
      <c r="B116" s="43"/>
      <c r="C116" s="43"/>
      <c r="D116" s="138"/>
      <c r="E116" s="138"/>
      <c r="F116" s="139"/>
      <c r="G116" s="139"/>
      <c r="H116" s="139"/>
      <c r="I116" s="139"/>
      <c r="J116" s="139"/>
      <c r="K116" s="139"/>
      <c r="L116" s="139"/>
      <c r="M116" s="139"/>
      <c r="N116" s="139"/>
      <c r="O116" s="140"/>
      <c r="P116" s="139"/>
      <c r="Q116" s="139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>
      <c r="A117" s="43"/>
      <c r="B117" s="43"/>
      <c r="C117" s="43"/>
      <c r="D117" s="138"/>
      <c r="E117" s="138"/>
      <c r="F117" s="139"/>
      <c r="G117" s="139"/>
      <c r="H117" s="139"/>
      <c r="I117" s="139"/>
      <c r="J117" s="139"/>
      <c r="K117" s="139"/>
      <c r="L117" s="139"/>
      <c r="M117" s="139"/>
      <c r="N117" s="139"/>
      <c r="O117" s="140"/>
      <c r="P117" s="139"/>
      <c r="Q117" s="139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>
      <c r="A118" s="43"/>
      <c r="B118" s="43"/>
      <c r="C118" s="43"/>
      <c r="D118" s="138"/>
      <c r="E118" s="138"/>
      <c r="F118" s="139"/>
      <c r="G118" s="139"/>
      <c r="H118" s="139"/>
      <c r="I118" s="139"/>
      <c r="J118" s="139"/>
      <c r="K118" s="139"/>
      <c r="L118" s="139"/>
      <c r="M118" s="139"/>
      <c r="N118" s="139"/>
      <c r="O118" s="140"/>
      <c r="P118" s="139"/>
      <c r="Q118" s="139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>
      <c r="A119" s="43"/>
      <c r="B119" s="43"/>
      <c r="C119" s="43"/>
      <c r="D119" s="138"/>
      <c r="E119" s="138"/>
      <c r="F119" s="139"/>
      <c r="G119" s="139"/>
      <c r="H119" s="139"/>
      <c r="I119" s="139"/>
      <c r="J119" s="139"/>
      <c r="K119" s="139"/>
      <c r="L119" s="139"/>
      <c r="M119" s="139"/>
      <c r="N119" s="139"/>
      <c r="O119" s="140"/>
      <c r="P119" s="139"/>
      <c r="Q119" s="139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>
      <c r="A120" s="43"/>
      <c r="B120" s="43"/>
      <c r="C120" s="43"/>
      <c r="D120" s="138"/>
      <c r="E120" s="138"/>
      <c r="F120" s="139"/>
      <c r="G120" s="139"/>
      <c r="H120" s="139"/>
      <c r="I120" s="139"/>
      <c r="J120" s="139"/>
      <c r="K120" s="139"/>
      <c r="L120" s="139"/>
      <c r="M120" s="139"/>
      <c r="N120" s="139"/>
      <c r="O120" s="140"/>
      <c r="P120" s="139"/>
      <c r="Q120" s="139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>
      <c r="A121" s="43"/>
      <c r="B121" s="43"/>
      <c r="C121" s="43"/>
      <c r="D121" s="138"/>
      <c r="E121" s="138"/>
      <c r="F121" s="139"/>
      <c r="G121" s="139"/>
      <c r="H121" s="139"/>
      <c r="I121" s="139"/>
      <c r="J121" s="139"/>
      <c r="K121" s="139"/>
      <c r="L121" s="139"/>
      <c r="M121" s="139"/>
      <c r="N121" s="139"/>
      <c r="O121" s="140"/>
      <c r="P121" s="139"/>
      <c r="Q121" s="139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>
      <c r="A122" s="43"/>
      <c r="B122" s="43"/>
      <c r="C122" s="43"/>
      <c r="D122" s="138"/>
      <c r="E122" s="138"/>
      <c r="F122" s="139"/>
      <c r="G122" s="139"/>
      <c r="H122" s="139"/>
      <c r="I122" s="139"/>
      <c r="J122" s="139"/>
      <c r="K122" s="139"/>
      <c r="L122" s="139"/>
      <c r="M122" s="139"/>
      <c r="N122" s="139"/>
      <c r="O122" s="140"/>
      <c r="P122" s="139"/>
      <c r="Q122" s="139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>
      <c r="A123" s="43"/>
      <c r="B123" s="43"/>
      <c r="C123" s="43"/>
      <c r="D123" s="138"/>
      <c r="E123" s="138"/>
      <c r="F123" s="139"/>
      <c r="G123" s="139"/>
      <c r="H123" s="139"/>
      <c r="I123" s="139"/>
      <c r="J123" s="139"/>
      <c r="K123" s="139"/>
      <c r="L123" s="139"/>
      <c r="M123" s="139"/>
      <c r="N123" s="139"/>
      <c r="O123" s="140"/>
      <c r="P123" s="139"/>
      <c r="Q123" s="139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>
      <c r="A124" s="43"/>
      <c r="B124" s="43"/>
      <c r="C124" s="43"/>
      <c r="D124" s="138"/>
      <c r="E124" s="138"/>
      <c r="F124" s="139"/>
      <c r="G124" s="139"/>
      <c r="H124" s="139"/>
      <c r="I124" s="139"/>
      <c r="J124" s="139"/>
      <c r="K124" s="139"/>
      <c r="L124" s="139"/>
      <c r="M124" s="139"/>
      <c r="N124" s="139"/>
      <c r="O124" s="140"/>
      <c r="P124" s="139"/>
      <c r="Q124" s="139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>
      <c r="A125" s="43"/>
      <c r="B125" s="43"/>
      <c r="C125" s="43"/>
      <c r="D125" s="138"/>
      <c r="E125" s="138"/>
      <c r="F125" s="139"/>
      <c r="G125" s="139"/>
      <c r="H125" s="139"/>
      <c r="I125" s="139"/>
      <c r="J125" s="139"/>
      <c r="K125" s="139"/>
      <c r="L125" s="139"/>
      <c r="M125" s="139"/>
      <c r="N125" s="139"/>
      <c r="O125" s="140"/>
      <c r="P125" s="139"/>
      <c r="Q125" s="139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>
      <c r="A126" s="43"/>
      <c r="B126" s="43"/>
      <c r="C126" s="43"/>
      <c r="D126" s="138"/>
      <c r="E126" s="138"/>
      <c r="F126" s="139"/>
      <c r="G126" s="139"/>
      <c r="H126" s="139"/>
      <c r="I126" s="139"/>
      <c r="J126" s="139"/>
      <c r="K126" s="139"/>
      <c r="L126" s="139"/>
      <c r="M126" s="139"/>
      <c r="N126" s="139"/>
      <c r="O126" s="140"/>
      <c r="P126" s="139"/>
      <c r="Q126" s="139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>
      <c r="A127" s="43"/>
      <c r="B127" s="43"/>
      <c r="C127" s="43"/>
      <c r="D127" s="138"/>
      <c r="E127" s="138"/>
      <c r="F127" s="139"/>
      <c r="G127" s="139"/>
      <c r="H127" s="139"/>
      <c r="I127" s="139"/>
      <c r="J127" s="139"/>
      <c r="K127" s="139"/>
      <c r="L127" s="139"/>
      <c r="M127" s="139"/>
      <c r="N127" s="139"/>
      <c r="O127" s="140"/>
      <c r="P127" s="139"/>
      <c r="Q127" s="139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>
      <c r="A128" s="43"/>
      <c r="B128" s="43"/>
      <c r="C128" s="43"/>
      <c r="D128" s="138"/>
      <c r="E128" s="138"/>
      <c r="F128" s="139"/>
      <c r="G128" s="139"/>
      <c r="H128" s="139"/>
      <c r="I128" s="139"/>
      <c r="J128" s="139"/>
      <c r="K128" s="139"/>
      <c r="L128" s="139"/>
      <c r="M128" s="139"/>
      <c r="N128" s="139"/>
      <c r="O128" s="140"/>
      <c r="P128" s="139"/>
      <c r="Q128" s="139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>
      <c r="A129" s="43"/>
      <c r="B129" s="43"/>
      <c r="C129" s="43"/>
      <c r="D129" s="138"/>
      <c r="E129" s="138"/>
      <c r="F129" s="139"/>
      <c r="G129" s="139"/>
      <c r="H129" s="139"/>
      <c r="I129" s="139"/>
      <c r="J129" s="139"/>
      <c r="K129" s="139"/>
      <c r="L129" s="139"/>
      <c r="M129" s="139"/>
      <c r="N129" s="139"/>
      <c r="O129" s="140"/>
      <c r="P129" s="139"/>
      <c r="Q129" s="139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>
      <c r="A130" s="43"/>
      <c r="B130" s="43"/>
      <c r="C130" s="43"/>
      <c r="D130" s="138"/>
      <c r="E130" s="138"/>
      <c r="F130" s="139"/>
      <c r="G130" s="139"/>
      <c r="H130" s="139"/>
      <c r="I130" s="139"/>
      <c r="J130" s="139"/>
      <c r="K130" s="139"/>
      <c r="L130" s="139"/>
      <c r="M130" s="139"/>
      <c r="N130" s="139"/>
      <c r="O130" s="140"/>
      <c r="P130" s="139"/>
      <c r="Q130" s="139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>
      <c r="A131" s="43"/>
      <c r="B131" s="43"/>
      <c r="C131" s="43"/>
      <c r="D131" s="138"/>
      <c r="E131" s="138"/>
      <c r="F131" s="139"/>
      <c r="G131" s="139"/>
      <c r="H131" s="139"/>
      <c r="I131" s="139"/>
      <c r="J131" s="139"/>
      <c r="K131" s="139"/>
      <c r="L131" s="139"/>
      <c r="M131" s="139"/>
      <c r="N131" s="139"/>
      <c r="O131" s="140"/>
      <c r="P131" s="139"/>
      <c r="Q131" s="139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>
      <c r="A132" s="43"/>
      <c r="B132" s="43"/>
      <c r="C132" s="43"/>
      <c r="D132" s="138"/>
      <c r="E132" s="138"/>
      <c r="F132" s="139"/>
      <c r="G132" s="139"/>
      <c r="H132" s="139"/>
      <c r="I132" s="139"/>
      <c r="J132" s="139"/>
      <c r="K132" s="139"/>
      <c r="L132" s="139"/>
      <c r="M132" s="139"/>
      <c r="N132" s="139"/>
      <c r="O132" s="140"/>
      <c r="P132" s="139"/>
      <c r="Q132" s="139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>
      <c r="A133" s="43"/>
      <c r="B133" s="43"/>
      <c r="C133" s="43"/>
      <c r="D133" s="138"/>
      <c r="E133" s="138"/>
      <c r="F133" s="139"/>
      <c r="G133" s="139"/>
      <c r="H133" s="139"/>
      <c r="I133" s="139"/>
      <c r="J133" s="139"/>
      <c r="K133" s="139"/>
      <c r="L133" s="139"/>
      <c r="M133" s="139"/>
      <c r="N133" s="139"/>
      <c r="O133" s="140"/>
      <c r="P133" s="139"/>
      <c r="Q133" s="139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>
      <c r="A134" s="43"/>
      <c r="B134" s="43"/>
      <c r="C134" s="43"/>
      <c r="D134" s="138"/>
      <c r="E134" s="138"/>
      <c r="F134" s="139"/>
      <c r="G134" s="139"/>
      <c r="H134" s="139"/>
      <c r="I134" s="139"/>
      <c r="J134" s="139"/>
      <c r="K134" s="139"/>
      <c r="L134" s="139"/>
      <c r="M134" s="139"/>
      <c r="N134" s="139"/>
      <c r="O134" s="140"/>
      <c r="P134" s="139"/>
      <c r="Q134" s="139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>
      <c r="A135" s="43"/>
      <c r="B135" s="43"/>
      <c r="C135" s="43"/>
      <c r="D135" s="138"/>
      <c r="E135" s="138"/>
      <c r="F135" s="139"/>
      <c r="G135" s="139"/>
      <c r="H135" s="139"/>
      <c r="I135" s="139"/>
      <c r="J135" s="139"/>
      <c r="K135" s="139"/>
      <c r="L135" s="139"/>
      <c r="M135" s="139"/>
      <c r="N135" s="139"/>
      <c r="O135" s="140"/>
      <c r="P135" s="139"/>
      <c r="Q135" s="139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>
      <c r="A136" s="43"/>
      <c r="B136" s="43"/>
      <c r="C136" s="43"/>
      <c r="D136" s="138"/>
      <c r="E136" s="138"/>
      <c r="F136" s="139"/>
      <c r="G136" s="139"/>
      <c r="H136" s="139"/>
      <c r="I136" s="139"/>
      <c r="J136" s="139"/>
      <c r="K136" s="139"/>
      <c r="L136" s="139"/>
      <c r="M136" s="139"/>
      <c r="N136" s="139"/>
      <c r="O136" s="140"/>
      <c r="P136" s="139"/>
      <c r="Q136" s="139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>
      <c r="A137" s="43"/>
      <c r="B137" s="43"/>
      <c r="C137" s="43"/>
      <c r="D137" s="138"/>
      <c r="E137" s="138"/>
      <c r="F137" s="139"/>
      <c r="G137" s="139"/>
      <c r="H137" s="139"/>
      <c r="I137" s="139"/>
      <c r="J137" s="139"/>
      <c r="K137" s="139"/>
      <c r="L137" s="139"/>
      <c r="M137" s="139"/>
      <c r="N137" s="139"/>
      <c r="O137" s="140"/>
      <c r="P137" s="139"/>
      <c r="Q137" s="139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>
      <c r="A138" s="43"/>
      <c r="B138" s="43"/>
      <c r="C138" s="43"/>
      <c r="D138" s="138"/>
      <c r="E138" s="138"/>
      <c r="F138" s="139"/>
      <c r="G138" s="139"/>
      <c r="H138" s="139"/>
      <c r="I138" s="139"/>
      <c r="J138" s="139"/>
      <c r="K138" s="139"/>
      <c r="L138" s="139"/>
      <c r="M138" s="139"/>
      <c r="N138" s="139"/>
      <c r="O138" s="140"/>
      <c r="P138" s="139"/>
      <c r="Q138" s="139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>
      <c r="A139" s="43"/>
      <c r="B139" s="43"/>
      <c r="C139" s="43"/>
      <c r="D139" s="138"/>
      <c r="E139" s="138"/>
      <c r="F139" s="139"/>
      <c r="G139" s="139"/>
      <c r="H139" s="139"/>
      <c r="I139" s="139"/>
      <c r="J139" s="139"/>
      <c r="K139" s="139"/>
      <c r="L139" s="139"/>
      <c r="M139" s="139"/>
      <c r="N139" s="139"/>
      <c r="O139" s="140"/>
      <c r="P139" s="139"/>
      <c r="Q139" s="139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>
      <c r="A140" s="43"/>
      <c r="B140" s="43"/>
      <c r="C140" s="43"/>
      <c r="D140" s="138"/>
      <c r="E140" s="138"/>
      <c r="F140" s="139"/>
      <c r="G140" s="139"/>
      <c r="H140" s="139"/>
      <c r="I140" s="139"/>
      <c r="J140" s="139"/>
      <c r="K140" s="139"/>
      <c r="L140" s="139"/>
      <c r="M140" s="139"/>
      <c r="N140" s="139"/>
      <c r="O140" s="140"/>
      <c r="P140" s="139"/>
      <c r="Q140" s="139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>
      <c r="A141" s="43"/>
      <c r="B141" s="43"/>
      <c r="C141" s="43"/>
      <c r="D141" s="138"/>
      <c r="E141" s="138"/>
      <c r="F141" s="139"/>
      <c r="G141" s="139"/>
      <c r="H141" s="139"/>
      <c r="I141" s="139"/>
      <c r="J141" s="139"/>
      <c r="K141" s="139"/>
      <c r="L141" s="139"/>
      <c r="M141" s="139"/>
      <c r="N141" s="139"/>
      <c r="O141" s="140"/>
      <c r="P141" s="139"/>
      <c r="Q141" s="139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>
      <c r="A142" s="43"/>
      <c r="B142" s="43"/>
      <c r="C142" s="43"/>
      <c r="D142" s="138"/>
      <c r="E142" s="138"/>
      <c r="F142" s="139"/>
      <c r="G142" s="139"/>
      <c r="H142" s="139"/>
      <c r="I142" s="139"/>
      <c r="J142" s="139"/>
      <c r="K142" s="139"/>
      <c r="L142" s="139"/>
      <c r="M142" s="139"/>
      <c r="N142" s="139"/>
      <c r="O142" s="140"/>
      <c r="P142" s="139"/>
      <c r="Q142" s="139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>
      <c r="A143" s="43"/>
      <c r="B143" s="43"/>
      <c r="C143" s="43"/>
      <c r="D143" s="138"/>
      <c r="E143" s="138"/>
      <c r="F143" s="139"/>
      <c r="G143" s="139"/>
      <c r="H143" s="139"/>
      <c r="I143" s="139"/>
      <c r="J143" s="139"/>
      <c r="K143" s="139"/>
      <c r="L143" s="139"/>
      <c r="M143" s="139"/>
      <c r="N143" s="139"/>
      <c r="O143" s="140"/>
      <c r="P143" s="139"/>
      <c r="Q143" s="139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>
      <c r="A144" s="43"/>
      <c r="B144" s="43"/>
      <c r="C144" s="43"/>
      <c r="D144" s="138"/>
      <c r="E144" s="138"/>
      <c r="F144" s="139"/>
      <c r="G144" s="139"/>
      <c r="H144" s="139"/>
      <c r="I144" s="139"/>
      <c r="J144" s="139"/>
      <c r="K144" s="139"/>
      <c r="L144" s="139"/>
      <c r="M144" s="139"/>
      <c r="N144" s="139"/>
      <c r="O144" s="140"/>
      <c r="P144" s="139"/>
      <c r="Q144" s="139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>
      <c r="A145" s="43"/>
      <c r="B145" s="43"/>
      <c r="C145" s="43"/>
      <c r="D145" s="138"/>
      <c r="E145" s="138"/>
      <c r="F145" s="139"/>
      <c r="G145" s="139"/>
      <c r="H145" s="139"/>
      <c r="I145" s="139"/>
      <c r="J145" s="139"/>
      <c r="K145" s="139"/>
      <c r="L145" s="139"/>
      <c r="M145" s="139"/>
      <c r="N145" s="139"/>
      <c r="O145" s="140"/>
      <c r="P145" s="139"/>
      <c r="Q145" s="139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>
      <c r="A146" s="43"/>
      <c r="B146" s="43"/>
      <c r="C146" s="43"/>
      <c r="D146" s="138"/>
      <c r="E146" s="138"/>
      <c r="F146" s="139"/>
      <c r="G146" s="139"/>
      <c r="H146" s="139"/>
      <c r="I146" s="139"/>
      <c r="J146" s="139"/>
      <c r="K146" s="139"/>
      <c r="L146" s="139"/>
      <c r="M146" s="139"/>
      <c r="N146" s="139"/>
      <c r="O146" s="140"/>
      <c r="P146" s="139"/>
      <c r="Q146" s="139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>
      <c r="A147" s="43"/>
      <c r="B147" s="43"/>
      <c r="C147" s="43"/>
      <c r="D147" s="138"/>
      <c r="E147" s="138"/>
      <c r="F147" s="139"/>
      <c r="G147" s="139"/>
      <c r="H147" s="139"/>
      <c r="I147" s="139"/>
      <c r="J147" s="139"/>
      <c r="K147" s="139"/>
      <c r="L147" s="139"/>
      <c r="M147" s="139"/>
      <c r="N147" s="139"/>
      <c r="O147" s="140"/>
      <c r="P147" s="139"/>
      <c r="Q147" s="139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>
      <c r="A148" s="43"/>
      <c r="B148" s="43"/>
      <c r="C148" s="43"/>
      <c r="D148" s="138"/>
      <c r="E148" s="138"/>
      <c r="F148" s="139"/>
      <c r="G148" s="139"/>
      <c r="H148" s="139"/>
      <c r="I148" s="139"/>
      <c r="J148" s="139"/>
      <c r="K148" s="139"/>
      <c r="L148" s="139"/>
      <c r="M148" s="139"/>
      <c r="N148" s="139"/>
      <c r="O148" s="140"/>
      <c r="P148" s="139"/>
      <c r="Q148" s="139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>
      <c r="A149" s="43"/>
      <c r="B149" s="43"/>
      <c r="C149" s="43"/>
      <c r="D149" s="138"/>
      <c r="E149" s="138"/>
      <c r="F149" s="139"/>
      <c r="G149" s="139"/>
      <c r="H149" s="139"/>
      <c r="I149" s="139"/>
      <c r="J149" s="139"/>
      <c r="K149" s="139"/>
      <c r="L149" s="139"/>
      <c r="M149" s="139"/>
      <c r="N149" s="139"/>
      <c r="O149" s="140"/>
      <c r="P149" s="139"/>
      <c r="Q149" s="139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>
      <c r="A150" s="43"/>
      <c r="B150" s="43"/>
      <c r="C150" s="43"/>
      <c r="D150" s="138"/>
      <c r="E150" s="138"/>
      <c r="F150" s="139"/>
      <c r="G150" s="139"/>
      <c r="H150" s="139"/>
      <c r="I150" s="139"/>
      <c r="J150" s="139"/>
      <c r="K150" s="139"/>
      <c r="L150" s="139"/>
      <c r="M150" s="139"/>
      <c r="N150" s="139"/>
      <c r="O150" s="140"/>
      <c r="P150" s="139"/>
      <c r="Q150" s="139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>
      <c r="A151" s="43"/>
      <c r="B151" s="43"/>
      <c r="C151" s="43"/>
      <c r="D151" s="138"/>
      <c r="E151" s="138"/>
      <c r="F151" s="139"/>
      <c r="G151" s="139"/>
      <c r="H151" s="139"/>
      <c r="I151" s="139"/>
      <c r="J151" s="139"/>
      <c r="K151" s="139"/>
      <c r="L151" s="139"/>
      <c r="M151" s="139"/>
      <c r="N151" s="139"/>
      <c r="O151" s="140"/>
      <c r="P151" s="139"/>
      <c r="Q151" s="139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>
      <c r="A152" s="43"/>
      <c r="B152" s="43"/>
      <c r="C152" s="43"/>
      <c r="D152" s="138"/>
      <c r="E152" s="138"/>
      <c r="F152" s="139"/>
      <c r="G152" s="139"/>
      <c r="H152" s="139"/>
      <c r="I152" s="139"/>
      <c r="J152" s="139"/>
      <c r="K152" s="139"/>
      <c r="L152" s="139"/>
      <c r="M152" s="139"/>
      <c r="N152" s="139"/>
      <c r="O152" s="140"/>
      <c r="P152" s="139"/>
      <c r="Q152" s="139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>
      <c r="A153" s="43"/>
      <c r="B153" s="43"/>
      <c r="C153" s="43"/>
      <c r="D153" s="138"/>
      <c r="E153" s="138"/>
      <c r="F153" s="139"/>
      <c r="G153" s="139"/>
      <c r="H153" s="139"/>
      <c r="I153" s="139"/>
      <c r="J153" s="139"/>
      <c r="K153" s="139"/>
      <c r="L153" s="139"/>
      <c r="M153" s="139"/>
      <c r="N153" s="139"/>
      <c r="O153" s="140"/>
      <c r="P153" s="139"/>
      <c r="Q153" s="139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>
      <c r="A154" s="43"/>
      <c r="B154" s="43"/>
      <c r="C154" s="43"/>
      <c r="D154" s="138"/>
      <c r="E154" s="138"/>
      <c r="F154" s="139"/>
      <c r="G154" s="139"/>
      <c r="H154" s="139"/>
      <c r="I154" s="139"/>
      <c r="J154" s="139"/>
      <c r="K154" s="139"/>
      <c r="L154" s="139"/>
      <c r="M154" s="139"/>
      <c r="N154" s="139"/>
      <c r="O154" s="140"/>
      <c r="P154" s="139"/>
      <c r="Q154" s="139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>
      <c r="A155" s="43"/>
      <c r="B155" s="43"/>
      <c r="C155" s="43"/>
      <c r="D155" s="138"/>
      <c r="E155" s="138"/>
      <c r="F155" s="139"/>
      <c r="G155" s="139"/>
      <c r="H155" s="139"/>
      <c r="I155" s="139"/>
      <c r="J155" s="139"/>
      <c r="K155" s="139"/>
      <c r="L155" s="139"/>
      <c r="M155" s="139"/>
      <c r="N155" s="139"/>
      <c r="O155" s="140"/>
      <c r="P155" s="139"/>
      <c r="Q155" s="139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>
      <c r="A156" s="43"/>
      <c r="B156" s="43"/>
      <c r="C156" s="43"/>
      <c r="D156" s="138"/>
      <c r="E156" s="138"/>
      <c r="F156" s="139"/>
      <c r="G156" s="139"/>
      <c r="H156" s="139"/>
      <c r="I156" s="139"/>
      <c r="J156" s="139"/>
      <c r="K156" s="139"/>
      <c r="L156" s="139"/>
      <c r="M156" s="139"/>
      <c r="N156" s="139"/>
      <c r="O156" s="140"/>
      <c r="P156" s="139"/>
      <c r="Q156" s="139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>
      <c r="A157" s="43"/>
      <c r="B157" s="43"/>
      <c r="C157" s="43"/>
      <c r="D157" s="138"/>
      <c r="E157" s="138"/>
      <c r="F157" s="139"/>
      <c r="G157" s="139"/>
      <c r="H157" s="139"/>
      <c r="I157" s="139"/>
      <c r="J157" s="139"/>
      <c r="K157" s="139"/>
      <c r="L157" s="139"/>
      <c r="M157" s="139"/>
      <c r="N157" s="139"/>
      <c r="O157" s="140"/>
      <c r="P157" s="139"/>
      <c r="Q157" s="139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>
      <c r="A158" s="43"/>
      <c r="B158" s="43"/>
      <c r="C158" s="43"/>
      <c r="D158" s="138"/>
      <c r="E158" s="138"/>
      <c r="F158" s="139"/>
      <c r="G158" s="139"/>
      <c r="H158" s="139"/>
      <c r="I158" s="139"/>
      <c r="J158" s="139"/>
      <c r="K158" s="139"/>
      <c r="L158" s="139"/>
      <c r="M158" s="139"/>
      <c r="N158" s="139"/>
      <c r="O158" s="140"/>
      <c r="P158" s="139"/>
      <c r="Q158" s="139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>
      <c r="A159" s="43"/>
      <c r="B159" s="43"/>
      <c r="C159" s="43"/>
      <c r="D159" s="138"/>
      <c r="E159" s="138"/>
      <c r="F159" s="139"/>
      <c r="G159" s="139"/>
      <c r="H159" s="139"/>
      <c r="I159" s="139"/>
      <c r="J159" s="139"/>
      <c r="K159" s="139"/>
      <c r="L159" s="139"/>
      <c r="M159" s="139"/>
      <c r="N159" s="139"/>
      <c r="O159" s="140"/>
      <c r="P159" s="139"/>
      <c r="Q159" s="139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>
      <c r="A160" s="43"/>
      <c r="B160" s="43"/>
      <c r="C160" s="43"/>
      <c r="D160" s="138"/>
      <c r="E160" s="138"/>
      <c r="F160" s="139"/>
      <c r="G160" s="139"/>
      <c r="H160" s="139"/>
      <c r="I160" s="139"/>
      <c r="J160" s="139"/>
      <c r="K160" s="139"/>
      <c r="L160" s="139"/>
      <c r="M160" s="139"/>
      <c r="N160" s="139"/>
      <c r="O160" s="140"/>
      <c r="P160" s="139"/>
      <c r="Q160" s="139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>
      <c r="A161" s="43"/>
      <c r="B161" s="43"/>
      <c r="C161" s="43"/>
      <c r="D161" s="138"/>
      <c r="E161" s="138"/>
      <c r="F161" s="139"/>
      <c r="G161" s="139"/>
      <c r="H161" s="139"/>
      <c r="I161" s="139"/>
      <c r="J161" s="139"/>
      <c r="K161" s="139"/>
      <c r="L161" s="139"/>
      <c r="M161" s="139"/>
      <c r="N161" s="139"/>
      <c r="O161" s="140"/>
      <c r="P161" s="139"/>
      <c r="Q161" s="139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>
      <c r="A162" s="141"/>
      <c r="B162" s="141"/>
      <c r="C162" s="43"/>
      <c r="D162" s="138"/>
      <c r="E162" s="138"/>
      <c r="F162" s="139"/>
      <c r="G162" s="139"/>
      <c r="H162" s="139"/>
      <c r="I162" s="139"/>
      <c r="J162" s="139"/>
      <c r="K162" s="139"/>
      <c r="L162" s="139"/>
      <c r="M162" s="139"/>
      <c r="N162" s="139"/>
      <c r="O162" s="140"/>
      <c r="P162" s="139"/>
      <c r="Q162" s="139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>
      <c r="A163" s="141"/>
      <c r="B163" s="141"/>
      <c r="C163" s="43"/>
      <c r="D163" s="138"/>
      <c r="E163" s="138"/>
      <c r="F163" s="139"/>
      <c r="G163" s="139"/>
      <c r="H163" s="139"/>
      <c r="I163" s="139"/>
      <c r="J163" s="139"/>
      <c r="K163" s="139"/>
      <c r="L163" s="139"/>
      <c r="M163" s="139"/>
      <c r="N163" s="139"/>
      <c r="O163" s="140"/>
      <c r="P163" s="139"/>
      <c r="Q163" s="139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>
      <c r="A164" s="141"/>
      <c r="B164" s="141"/>
      <c r="C164" s="43"/>
      <c r="D164" s="138"/>
      <c r="E164" s="138"/>
      <c r="F164" s="139"/>
      <c r="G164" s="139"/>
      <c r="H164" s="139"/>
      <c r="I164" s="139"/>
      <c r="J164" s="139"/>
      <c r="K164" s="139"/>
      <c r="L164" s="139"/>
      <c r="M164" s="139"/>
      <c r="N164" s="139"/>
      <c r="O164" s="140"/>
      <c r="P164" s="139"/>
      <c r="Q164" s="139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>
      <c r="A165" s="141"/>
      <c r="B165" s="141"/>
      <c r="C165" s="43"/>
      <c r="D165" s="138"/>
      <c r="E165" s="138"/>
      <c r="F165" s="139"/>
      <c r="G165" s="139"/>
      <c r="H165" s="139"/>
      <c r="I165" s="139"/>
      <c r="J165" s="139"/>
      <c r="K165" s="139"/>
      <c r="L165" s="139"/>
      <c r="M165" s="139"/>
      <c r="N165" s="139"/>
      <c r="O165" s="140"/>
      <c r="P165" s="139"/>
      <c r="Q165" s="139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>
      <c r="A166" s="141"/>
      <c r="B166" s="141"/>
      <c r="C166" s="43"/>
      <c r="D166" s="138"/>
      <c r="E166" s="138"/>
      <c r="F166" s="139"/>
      <c r="G166" s="139"/>
      <c r="H166" s="139"/>
      <c r="I166" s="139"/>
      <c r="J166" s="139"/>
      <c r="K166" s="139"/>
      <c r="L166" s="139"/>
      <c r="M166" s="139"/>
      <c r="N166" s="139"/>
      <c r="O166" s="140"/>
      <c r="P166" s="139"/>
      <c r="Q166" s="139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>
      <c r="A167" s="141"/>
      <c r="B167" s="141"/>
      <c r="C167" s="43"/>
      <c r="D167" s="138"/>
      <c r="E167" s="138"/>
      <c r="F167" s="139"/>
      <c r="G167" s="139"/>
      <c r="H167" s="139"/>
      <c r="I167" s="139"/>
      <c r="J167" s="139"/>
      <c r="K167" s="139"/>
      <c r="L167" s="139"/>
      <c r="M167" s="139"/>
      <c r="N167" s="139"/>
      <c r="O167" s="140"/>
      <c r="P167" s="139"/>
      <c r="Q167" s="139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>
      <c r="A168" s="141"/>
      <c r="B168" s="141"/>
      <c r="C168" s="43"/>
      <c r="D168" s="138"/>
      <c r="E168" s="138"/>
      <c r="F168" s="139"/>
      <c r="G168" s="139"/>
      <c r="H168" s="139"/>
      <c r="I168" s="139"/>
      <c r="J168" s="139"/>
      <c r="K168" s="139"/>
      <c r="L168" s="139"/>
      <c r="M168" s="139"/>
      <c r="N168" s="139"/>
      <c r="O168" s="140"/>
      <c r="P168" s="139"/>
      <c r="Q168" s="139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>
      <c r="A169" s="141"/>
      <c r="B169" s="141"/>
      <c r="C169" s="43"/>
      <c r="D169" s="138"/>
      <c r="E169" s="138"/>
      <c r="F169" s="139"/>
      <c r="G169" s="139"/>
      <c r="H169" s="139"/>
      <c r="I169" s="139"/>
      <c r="J169" s="139"/>
      <c r="K169" s="139"/>
      <c r="L169" s="139"/>
      <c r="M169" s="139"/>
      <c r="N169" s="139"/>
      <c r="O169" s="140"/>
      <c r="P169" s="139"/>
      <c r="Q169" s="139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>
      <c r="A170" s="141"/>
      <c r="B170" s="141"/>
      <c r="C170" s="43"/>
      <c r="D170" s="138"/>
      <c r="E170" s="138"/>
      <c r="F170" s="139"/>
      <c r="G170" s="139"/>
      <c r="H170" s="139"/>
      <c r="I170" s="139"/>
      <c r="J170" s="139"/>
      <c r="K170" s="139"/>
      <c r="L170" s="139"/>
      <c r="M170" s="139"/>
      <c r="N170" s="139"/>
      <c r="O170" s="140"/>
      <c r="P170" s="139"/>
      <c r="Q170" s="139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>
      <c r="A171" s="141"/>
      <c r="B171" s="141"/>
      <c r="C171" s="43"/>
      <c r="D171" s="138"/>
      <c r="E171" s="138"/>
      <c r="F171" s="139"/>
      <c r="G171" s="139"/>
      <c r="H171" s="139"/>
      <c r="I171" s="139"/>
      <c r="J171" s="139"/>
      <c r="K171" s="139"/>
      <c r="L171" s="139"/>
      <c r="M171" s="139"/>
      <c r="N171" s="139"/>
      <c r="O171" s="140"/>
      <c r="P171" s="139"/>
      <c r="Q171" s="139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>
      <c r="A172" s="141"/>
      <c r="B172" s="141"/>
      <c r="C172" s="43"/>
      <c r="D172" s="138"/>
      <c r="E172" s="138"/>
      <c r="F172" s="139"/>
      <c r="G172" s="139"/>
      <c r="H172" s="139"/>
      <c r="I172" s="139"/>
      <c r="J172" s="139"/>
      <c r="K172" s="139"/>
      <c r="L172" s="139"/>
      <c r="M172" s="139"/>
      <c r="N172" s="139"/>
      <c r="O172" s="140"/>
      <c r="P172" s="139"/>
      <c r="Q172" s="139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>
      <c r="A173" s="141"/>
      <c r="B173" s="141"/>
      <c r="C173" s="43"/>
      <c r="D173" s="138"/>
      <c r="E173" s="138"/>
      <c r="F173" s="139"/>
      <c r="G173" s="139"/>
      <c r="H173" s="139"/>
      <c r="I173" s="139"/>
      <c r="J173" s="139"/>
      <c r="K173" s="139"/>
      <c r="L173" s="139"/>
      <c r="M173" s="139"/>
      <c r="N173" s="139"/>
      <c r="O173" s="140"/>
      <c r="P173" s="139"/>
      <c r="Q173" s="139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>
      <c r="A174" s="141"/>
      <c r="B174" s="141"/>
      <c r="C174" s="43"/>
      <c r="D174" s="138"/>
      <c r="E174" s="138"/>
      <c r="F174" s="139"/>
      <c r="G174" s="139"/>
      <c r="H174" s="139"/>
      <c r="I174" s="139"/>
      <c r="J174" s="139"/>
      <c r="K174" s="139"/>
      <c r="L174" s="139"/>
      <c r="M174" s="139"/>
      <c r="N174" s="139"/>
      <c r="O174" s="140"/>
      <c r="P174" s="139"/>
      <c r="Q174" s="139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>
      <c r="A175" s="141"/>
      <c r="B175" s="141"/>
      <c r="C175" s="43"/>
      <c r="D175" s="138"/>
      <c r="E175" s="138"/>
      <c r="F175" s="139"/>
      <c r="G175" s="139"/>
      <c r="H175" s="139"/>
      <c r="I175" s="139"/>
      <c r="J175" s="139"/>
      <c r="K175" s="139"/>
      <c r="L175" s="139"/>
      <c r="M175" s="139"/>
      <c r="N175" s="139"/>
      <c r="O175" s="140"/>
      <c r="P175" s="139"/>
      <c r="Q175" s="139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>
      <c r="A176" s="141"/>
      <c r="B176" s="141"/>
      <c r="C176" s="43"/>
      <c r="D176" s="138"/>
      <c r="E176" s="138"/>
      <c r="F176" s="139"/>
      <c r="G176" s="139"/>
      <c r="H176" s="139"/>
      <c r="I176" s="139"/>
      <c r="J176" s="139"/>
      <c r="K176" s="139"/>
      <c r="L176" s="139"/>
      <c r="M176" s="139"/>
      <c r="N176" s="139"/>
      <c r="O176" s="140"/>
      <c r="P176" s="139"/>
      <c r="Q176" s="139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>
      <c r="A177" s="141"/>
      <c r="B177" s="141"/>
      <c r="C177" s="43"/>
      <c r="D177" s="138"/>
      <c r="E177" s="138"/>
      <c r="F177" s="139"/>
      <c r="G177" s="139"/>
      <c r="H177" s="139"/>
      <c r="I177" s="139"/>
      <c r="J177" s="139"/>
      <c r="K177" s="139"/>
      <c r="L177" s="139"/>
      <c r="M177" s="139"/>
      <c r="N177" s="139"/>
      <c r="O177" s="140"/>
      <c r="P177" s="139"/>
      <c r="Q177" s="139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>
      <c r="A178" s="141"/>
      <c r="B178" s="141"/>
      <c r="C178" s="43"/>
      <c r="D178" s="138"/>
      <c r="E178" s="138"/>
      <c r="F178" s="139"/>
      <c r="G178" s="139"/>
      <c r="H178" s="139"/>
      <c r="I178" s="139"/>
      <c r="J178" s="139"/>
      <c r="K178" s="139"/>
      <c r="L178" s="139"/>
      <c r="M178" s="139"/>
      <c r="N178" s="139"/>
      <c r="O178" s="140"/>
      <c r="P178" s="139"/>
      <c r="Q178" s="139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>
      <c r="A179" s="141"/>
      <c r="B179" s="141"/>
      <c r="C179" s="43"/>
      <c r="D179" s="138"/>
      <c r="E179" s="138"/>
      <c r="F179" s="139"/>
      <c r="G179" s="139"/>
      <c r="H179" s="139"/>
      <c r="I179" s="139"/>
      <c r="J179" s="139"/>
      <c r="K179" s="139"/>
      <c r="L179" s="139"/>
      <c r="M179" s="139"/>
      <c r="N179" s="139"/>
      <c r="O179" s="140"/>
      <c r="P179" s="139"/>
      <c r="Q179" s="139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>
      <c r="A180" s="141"/>
      <c r="B180" s="141"/>
      <c r="C180" s="43"/>
      <c r="D180" s="138"/>
      <c r="E180" s="138"/>
      <c r="F180" s="139"/>
      <c r="G180" s="139"/>
      <c r="H180" s="139"/>
      <c r="I180" s="139"/>
      <c r="J180" s="139"/>
      <c r="K180" s="139"/>
      <c r="L180" s="139"/>
      <c r="M180" s="139"/>
      <c r="N180" s="139"/>
      <c r="O180" s="140"/>
      <c r="P180" s="139"/>
      <c r="Q180" s="139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>
      <c r="A181" s="141"/>
      <c r="B181" s="141"/>
      <c r="C181" s="43"/>
      <c r="D181" s="138"/>
      <c r="E181" s="138"/>
      <c r="F181" s="139"/>
      <c r="G181" s="139"/>
      <c r="H181" s="139"/>
      <c r="I181" s="139"/>
      <c r="J181" s="139"/>
      <c r="K181" s="139"/>
      <c r="L181" s="139"/>
      <c r="M181" s="139"/>
      <c r="N181" s="139"/>
      <c r="O181" s="140"/>
      <c r="P181" s="139"/>
      <c r="Q181" s="139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>
      <c r="A182" s="141"/>
      <c r="B182" s="141"/>
      <c r="C182" s="43"/>
      <c r="D182" s="138"/>
      <c r="E182" s="138"/>
      <c r="F182" s="139"/>
      <c r="G182" s="139"/>
      <c r="H182" s="139"/>
      <c r="I182" s="139"/>
      <c r="J182" s="139"/>
      <c r="K182" s="139"/>
      <c r="L182" s="139"/>
      <c r="M182" s="139"/>
      <c r="N182" s="139"/>
      <c r="O182" s="140"/>
      <c r="P182" s="139"/>
      <c r="Q182" s="139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>
      <c r="A183" s="141"/>
      <c r="B183" s="141"/>
      <c r="C183" s="43"/>
      <c r="D183" s="138"/>
      <c r="E183" s="138"/>
      <c r="F183" s="139"/>
      <c r="G183" s="139"/>
      <c r="H183" s="139"/>
      <c r="I183" s="139"/>
      <c r="J183" s="139"/>
      <c r="K183" s="139"/>
      <c r="L183" s="139"/>
      <c r="M183" s="139"/>
      <c r="N183" s="139"/>
      <c r="O183" s="140"/>
      <c r="P183" s="139"/>
      <c r="Q183" s="139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>
      <c r="A184" s="141"/>
      <c r="B184" s="141"/>
      <c r="C184" s="43"/>
      <c r="D184" s="138"/>
      <c r="E184" s="138"/>
      <c r="F184" s="139"/>
      <c r="G184" s="139"/>
      <c r="H184" s="139"/>
      <c r="I184" s="139"/>
      <c r="J184" s="139"/>
      <c r="K184" s="139"/>
      <c r="L184" s="139"/>
      <c r="M184" s="139"/>
      <c r="N184" s="139"/>
      <c r="O184" s="140"/>
      <c r="P184" s="139"/>
      <c r="Q184" s="139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>
      <c r="A185" s="141"/>
      <c r="B185" s="141"/>
      <c r="C185" s="43"/>
      <c r="D185" s="138"/>
      <c r="E185" s="138"/>
      <c r="F185" s="139"/>
      <c r="G185" s="139"/>
      <c r="H185" s="139"/>
      <c r="I185" s="139"/>
      <c r="J185" s="139"/>
      <c r="K185" s="139"/>
      <c r="L185" s="139"/>
      <c r="M185" s="139"/>
      <c r="N185" s="139"/>
      <c r="O185" s="140"/>
      <c r="P185" s="139"/>
      <c r="Q185" s="139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1:35">
      <c r="A186" s="141"/>
      <c r="B186" s="141"/>
      <c r="C186" s="43"/>
      <c r="D186" s="138"/>
      <c r="E186" s="138"/>
      <c r="F186" s="139"/>
      <c r="G186" s="139"/>
      <c r="H186" s="139"/>
      <c r="I186" s="139"/>
      <c r="J186" s="139"/>
      <c r="K186" s="139"/>
      <c r="L186" s="139"/>
      <c r="M186" s="139"/>
      <c r="N186" s="139"/>
      <c r="O186" s="140"/>
      <c r="P186" s="139"/>
      <c r="Q186" s="139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>
      <c r="A187" s="141"/>
      <c r="B187" s="141"/>
      <c r="C187" s="43"/>
      <c r="D187" s="138"/>
      <c r="E187" s="138"/>
      <c r="F187" s="139"/>
      <c r="G187" s="139"/>
      <c r="H187" s="139"/>
      <c r="I187" s="139"/>
      <c r="J187" s="139"/>
      <c r="K187" s="139"/>
      <c r="L187" s="139"/>
      <c r="M187" s="139"/>
      <c r="N187" s="139"/>
      <c r="O187" s="140"/>
      <c r="P187" s="139"/>
      <c r="Q187" s="139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>
      <c r="A188" s="141"/>
      <c r="B188" s="141"/>
      <c r="C188" s="43"/>
      <c r="D188" s="138"/>
      <c r="E188" s="138"/>
      <c r="F188" s="139"/>
      <c r="G188" s="139"/>
      <c r="H188" s="139"/>
      <c r="I188" s="139"/>
      <c r="J188" s="139"/>
      <c r="K188" s="139"/>
      <c r="L188" s="139"/>
      <c r="M188" s="139"/>
      <c r="N188" s="139"/>
      <c r="O188" s="140"/>
      <c r="P188" s="139"/>
      <c r="Q188" s="139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>
      <c r="A189" s="141"/>
      <c r="B189" s="141"/>
      <c r="C189" s="43"/>
      <c r="D189" s="138"/>
      <c r="E189" s="138"/>
      <c r="F189" s="139"/>
      <c r="G189" s="139"/>
      <c r="H189" s="139"/>
      <c r="I189" s="139"/>
      <c r="J189" s="139"/>
      <c r="K189" s="139"/>
      <c r="L189" s="139"/>
      <c r="M189" s="139"/>
      <c r="N189" s="139"/>
      <c r="O189" s="140"/>
      <c r="P189" s="139"/>
      <c r="Q189" s="139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>
      <c r="A190" s="141"/>
      <c r="B190" s="141"/>
      <c r="C190" s="43"/>
      <c r="D190" s="138"/>
      <c r="E190" s="138"/>
      <c r="F190" s="139"/>
      <c r="G190" s="139"/>
      <c r="H190" s="139"/>
      <c r="I190" s="139"/>
      <c r="J190" s="139"/>
      <c r="K190" s="139"/>
      <c r="L190" s="139"/>
      <c r="M190" s="139"/>
      <c r="N190" s="139"/>
      <c r="O190" s="140"/>
      <c r="P190" s="139"/>
      <c r="Q190" s="139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>
      <c r="A191" s="141"/>
      <c r="B191" s="141"/>
      <c r="C191" s="43"/>
      <c r="D191" s="138"/>
      <c r="E191" s="138"/>
      <c r="F191" s="139"/>
      <c r="G191" s="139"/>
      <c r="H191" s="139"/>
      <c r="I191" s="139"/>
      <c r="J191" s="139"/>
      <c r="K191" s="139"/>
      <c r="L191" s="139"/>
      <c r="M191" s="139"/>
      <c r="N191" s="139"/>
      <c r="O191" s="140"/>
      <c r="P191" s="139"/>
      <c r="Q191" s="139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>
      <c r="A192" s="141"/>
      <c r="B192" s="141"/>
      <c r="C192" s="43"/>
      <c r="D192" s="138"/>
      <c r="E192" s="138"/>
      <c r="F192" s="139"/>
      <c r="G192" s="139"/>
      <c r="H192" s="139"/>
      <c r="I192" s="139"/>
      <c r="J192" s="139"/>
      <c r="K192" s="139"/>
      <c r="L192" s="139"/>
      <c r="M192" s="139"/>
      <c r="N192" s="139"/>
      <c r="O192" s="140"/>
      <c r="P192" s="139"/>
      <c r="Q192" s="139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>
      <c r="A193" s="141"/>
      <c r="B193" s="141"/>
      <c r="C193" s="43"/>
      <c r="D193" s="138"/>
      <c r="E193" s="138"/>
      <c r="F193" s="139"/>
      <c r="G193" s="139"/>
      <c r="H193" s="139"/>
      <c r="I193" s="139"/>
      <c r="J193" s="139"/>
      <c r="K193" s="139"/>
      <c r="L193" s="139"/>
      <c r="M193" s="139"/>
      <c r="N193" s="139"/>
      <c r="O193" s="140"/>
      <c r="P193" s="139"/>
      <c r="Q193" s="139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>
      <c r="A194" s="141"/>
      <c r="B194" s="141"/>
      <c r="C194" s="43"/>
      <c r="D194" s="138"/>
      <c r="E194" s="138"/>
      <c r="F194" s="139"/>
      <c r="G194" s="139"/>
      <c r="H194" s="139"/>
      <c r="I194" s="139"/>
      <c r="J194" s="139"/>
      <c r="K194" s="139"/>
      <c r="L194" s="139"/>
      <c r="M194" s="139"/>
      <c r="N194" s="139"/>
      <c r="O194" s="140"/>
      <c r="P194" s="139"/>
      <c r="Q194" s="139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>
      <c r="A195" s="141"/>
      <c r="B195" s="141"/>
      <c r="C195" s="43"/>
      <c r="D195" s="138"/>
      <c r="E195" s="138"/>
      <c r="F195" s="139"/>
      <c r="G195" s="139"/>
      <c r="H195" s="139"/>
      <c r="I195" s="139"/>
      <c r="J195" s="139"/>
      <c r="K195" s="139"/>
      <c r="L195" s="139"/>
      <c r="M195" s="139"/>
      <c r="N195" s="139"/>
      <c r="O195" s="140"/>
      <c r="P195" s="139"/>
      <c r="Q195" s="139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>
      <c r="A196" s="142"/>
      <c r="B196" s="142"/>
      <c r="C196" s="43"/>
      <c r="D196" s="138"/>
      <c r="E196" s="138"/>
      <c r="F196" s="139"/>
      <c r="G196" s="139"/>
      <c r="H196" s="139"/>
      <c r="I196" s="139"/>
      <c r="J196" s="139"/>
      <c r="K196" s="139"/>
      <c r="L196" s="139"/>
      <c r="M196" s="139"/>
      <c r="N196" s="139"/>
      <c r="O196" s="140"/>
      <c r="P196" s="139"/>
      <c r="Q196" s="139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>
      <c r="A197" s="142"/>
      <c r="B197" s="142"/>
      <c r="C197" s="43"/>
      <c r="D197" s="138"/>
      <c r="E197" s="138"/>
      <c r="F197" s="139"/>
      <c r="G197" s="139"/>
      <c r="H197" s="139"/>
      <c r="I197" s="139"/>
      <c r="J197" s="139"/>
      <c r="K197" s="139"/>
      <c r="L197" s="139"/>
      <c r="M197" s="139"/>
      <c r="N197" s="139"/>
      <c r="O197" s="140"/>
      <c r="P197" s="139"/>
      <c r="Q197" s="139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35">
      <c r="A198" s="142"/>
      <c r="B198" s="142"/>
      <c r="C198" s="43"/>
      <c r="D198" s="138"/>
      <c r="E198" s="138"/>
      <c r="F198" s="139"/>
      <c r="G198" s="139"/>
      <c r="H198" s="139"/>
      <c r="I198" s="139"/>
      <c r="J198" s="139"/>
      <c r="K198" s="139"/>
      <c r="L198" s="139"/>
      <c r="M198" s="139"/>
      <c r="N198" s="139"/>
      <c r="O198" s="140"/>
      <c r="P198" s="139"/>
      <c r="Q198" s="139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1:35">
      <c r="A199" s="142"/>
      <c r="B199" s="142"/>
      <c r="C199" s="43"/>
      <c r="D199" s="138"/>
      <c r="E199" s="138"/>
      <c r="F199" s="139"/>
      <c r="G199" s="139"/>
      <c r="H199" s="139"/>
      <c r="I199" s="139"/>
      <c r="J199" s="139"/>
      <c r="K199" s="139"/>
      <c r="L199" s="139"/>
      <c r="M199" s="139"/>
      <c r="N199" s="139"/>
      <c r="O199" s="140"/>
      <c r="P199" s="139"/>
      <c r="Q199" s="139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35">
      <c r="A200" s="142"/>
      <c r="B200" s="142"/>
      <c r="C200" s="43"/>
      <c r="D200" s="138"/>
      <c r="E200" s="138"/>
      <c r="F200" s="139"/>
      <c r="G200" s="139"/>
      <c r="H200" s="139"/>
      <c r="I200" s="139"/>
      <c r="J200" s="139"/>
      <c r="K200" s="139"/>
      <c r="L200" s="139"/>
      <c r="M200" s="139"/>
      <c r="N200" s="139"/>
      <c r="O200" s="140"/>
      <c r="P200" s="139"/>
      <c r="Q200" s="139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>
      <c r="A201" s="142"/>
      <c r="B201" s="142"/>
      <c r="C201" s="43"/>
      <c r="D201" s="138"/>
      <c r="E201" s="138"/>
      <c r="F201" s="139"/>
      <c r="G201" s="139"/>
      <c r="H201" s="139"/>
      <c r="I201" s="139"/>
      <c r="J201" s="139"/>
      <c r="K201" s="139"/>
      <c r="L201" s="139"/>
      <c r="M201" s="139"/>
      <c r="N201" s="139"/>
      <c r="O201" s="140"/>
      <c r="P201" s="139"/>
      <c r="Q201" s="139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1:35">
      <c r="A202" s="142"/>
      <c r="B202" s="142"/>
      <c r="C202" s="43"/>
      <c r="D202" s="138"/>
      <c r="E202" s="138"/>
      <c r="F202" s="139"/>
      <c r="G202" s="139"/>
      <c r="H202" s="139"/>
      <c r="I202" s="139"/>
      <c r="J202" s="139"/>
      <c r="K202" s="139"/>
      <c r="L202" s="139"/>
      <c r="M202" s="139"/>
      <c r="N202" s="139"/>
      <c r="O202" s="140"/>
      <c r="P202" s="139"/>
      <c r="Q202" s="139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>
      <c r="A203" s="142"/>
      <c r="B203" s="142"/>
      <c r="C203" s="43"/>
      <c r="D203" s="138"/>
      <c r="E203" s="138"/>
      <c r="F203" s="139"/>
      <c r="G203" s="139"/>
      <c r="H203" s="139"/>
      <c r="I203" s="139"/>
      <c r="J203" s="139"/>
      <c r="K203" s="139"/>
      <c r="L203" s="139"/>
      <c r="M203" s="139"/>
      <c r="N203" s="139"/>
      <c r="O203" s="140"/>
      <c r="P203" s="139"/>
      <c r="Q203" s="139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1:35">
      <c r="A204" s="142"/>
      <c r="B204" s="142"/>
      <c r="C204" s="43"/>
      <c r="D204" s="138"/>
      <c r="E204" s="138"/>
      <c r="F204" s="139"/>
      <c r="G204" s="139"/>
      <c r="H204" s="139"/>
      <c r="I204" s="139"/>
      <c r="J204" s="139"/>
      <c r="K204" s="139"/>
      <c r="L204" s="139"/>
      <c r="M204" s="139"/>
      <c r="N204" s="139"/>
      <c r="O204" s="140"/>
      <c r="P204" s="139"/>
      <c r="Q204" s="139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>
      <c r="A205" s="142"/>
      <c r="B205" s="142"/>
      <c r="C205" s="43"/>
      <c r="D205" s="138"/>
      <c r="E205" s="138"/>
      <c r="F205" s="139"/>
      <c r="G205" s="139"/>
      <c r="H205" s="139"/>
      <c r="I205" s="139"/>
      <c r="J205" s="139"/>
      <c r="K205" s="139"/>
      <c r="L205" s="139"/>
      <c r="M205" s="139"/>
      <c r="N205" s="139"/>
      <c r="O205" s="140"/>
      <c r="P205" s="139"/>
      <c r="Q205" s="139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>
      <c r="A206" s="142"/>
      <c r="B206" s="142"/>
      <c r="C206" s="43"/>
      <c r="D206" s="138"/>
      <c r="E206" s="138"/>
      <c r="F206" s="139"/>
      <c r="G206" s="139"/>
      <c r="H206" s="139"/>
      <c r="I206" s="139"/>
      <c r="J206" s="139"/>
      <c r="K206" s="139"/>
      <c r="L206" s="139"/>
      <c r="M206" s="139"/>
      <c r="N206" s="139"/>
      <c r="O206" s="140"/>
      <c r="P206" s="139"/>
      <c r="Q206" s="139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1:35">
      <c r="A207" s="142"/>
      <c r="B207" s="142"/>
      <c r="C207" s="43"/>
      <c r="D207" s="138"/>
      <c r="E207" s="138"/>
      <c r="F207" s="139"/>
      <c r="G207" s="139"/>
      <c r="H207" s="139"/>
      <c r="I207" s="139"/>
      <c r="J207" s="139"/>
      <c r="K207" s="139"/>
      <c r="L207" s="139"/>
      <c r="M207" s="139"/>
      <c r="N207" s="139"/>
      <c r="O207" s="140"/>
      <c r="P207" s="139"/>
      <c r="Q207" s="139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>
      <c r="A208" s="142"/>
      <c r="B208" s="142"/>
      <c r="C208" s="43"/>
      <c r="D208" s="138"/>
      <c r="E208" s="138"/>
      <c r="F208" s="139"/>
      <c r="G208" s="139"/>
      <c r="H208" s="139"/>
      <c r="I208" s="139"/>
      <c r="J208" s="139"/>
      <c r="K208" s="139"/>
      <c r="L208" s="139"/>
      <c r="M208" s="139"/>
      <c r="N208" s="139"/>
      <c r="O208" s="140"/>
      <c r="P208" s="139"/>
      <c r="Q208" s="139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>
      <c r="A209" s="142"/>
      <c r="B209" s="142"/>
      <c r="C209" s="43"/>
      <c r="D209" s="138"/>
      <c r="E209" s="138"/>
      <c r="F209" s="139"/>
      <c r="G209" s="139"/>
      <c r="H209" s="139"/>
      <c r="I209" s="139"/>
      <c r="J209" s="139"/>
      <c r="K209" s="139"/>
      <c r="L209" s="139"/>
      <c r="M209" s="139"/>
      <c r="N209" s="139"/>
      <c r="O209" s="140"/>
      <c r="P209" s="139"/>
      <c r="Q209" s="139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35">
      <c r="A210" s="142"/>
      <c r="B210" s="142"/>
      <c r="C210" s="43"/>
      <c r="D210" s="138"/>
      <c r="E210" s="138"/>
      <c r="F210" s="139"/>
      <c r="G210" s="139"/>
      <c r="H210" s="139"/>
      <c r="I210" s="139"/>
      <c r="J210" s="139"/>
      <c r="K210" s="139"/>
      <c r="L210" s="139"/>
      <c r="M210" s="139"/>
      <c r="N210" s="139"/>
      <c r="O210" s="140"/>
      <c r="P210" s="139"/>
      <c r="Q210" s="139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>
      <c r="A211" s="142"/>
      <c r="B211" s="142"/>
      <c r="C211" s="43"/>
      <c r="D211" s="138"/>
      <c r="E211" s="138"/>
      <c r="F211" s="139"/>
      <c r="G211" s="139"/>
      <c r="H211" s="139"/>
      <c r="I211" s="139"/>
      <c r="J211" s="139"/>
      <c r="K211" s="139"/>
      <c r="L211" s="139"/>
      <c r="M211" s="139"/>
      <c r="N211" s="139"/>
      <c r="O211" s="140"/>
      <c r="P211" s="139"/>
      <c r="Q211" s="139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1:35">
      <c r="A212" s="142"/>
      <c r="B212" s="142"/>
      <c r="C212" s="43"/>
      <c r="D212" s="138"/>
      <c r="E212" s="138"/>
      <c r="F212" s="139"/>
      <c r="G212" s="139"/>
      <c r="H212" s="139"/>
      <c r="I212" s="139"/>
      <c r="J212" s="139"/>
      <c r="K212" s="139"/>
      <c r="L212" s="139"/>
      <c r="M212" s="139"/>
      <c r="N212" s="139"/>
      <c r="O212" s="140"/>
      <c r="P212" s="139"/>
      <c r="Q212" s="139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1:35">
      <c r="A213" s="142"/>
      <c r="B213" s="142"/>
      <c r="C213" s="43"/>
      <c r="D213" s="138"/>
      <c r="E213" s="138"/>
      <c r="F213" s="139"/>
      <c r="G213" s="139"/>
      <c r="H213" s="139"/>
      <c r="I213" s="139"/>
      <c r="J213" s="139"/>
      <c r="K213" s="139"/>
      <c r="L213" s="139"/>
      <c r="M213" s="139"/>
      <c r="N213" s="139"/>
      <c r="O213" s="140"/>
      <c r="P213" s="139"/>
      <c r="Q213" s="139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1:35">
      <c r="A214" s="142"/>
      <c r="B214" s="142"/>
      <c r="C214" s="43"/>
      <c r="D214" s="138"/>
      <c r="E214" s="138"/>
      <c r="F214" s="139"/>
      <c r="G214" s="139"/>
      <c r="H214" s="139"/>
      <c r="I214" s="139"/>
      <c r="J214" s="139"/>
      <c r="K214" s="139"/>
      <c r="L214" s="139"/>
      <c r="M214" s="139"/>
      <c r="N214" s="139"/>
      <c r="O214" s="140"/>
      <c r="P214" s="139"/>
      <c r="Q214" s="139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>
      <c r="A215" s="142"/>
      <c r="B215" s="142"/>
      <c r="C215" s="43"/>
      <c r="D215" s="138"/>
      <c r="E215" s="138"/>
      <c r="F215" s="139"/>
      <c r="G215" s="139"/>
      <c r="H215" s="139"/>
      <c r="I215" s="139"/>
      <c r="J215" s="139"/>
      <c r="K215" s="139"/>
      <c r="L215" s="139"/>
      <c r="M215" s="139"/>
      <c r="N215" s="139"/>
      <c r="O215" s="140"/>
      <c r="P215" s="139"/>
      <c r="Q215" s="139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>
      <c r="A216" s="142"/>
      <c r="B216" s="142"/>
      <c r="C216" s="43"/>
      <c r="D216" s="138"/>
      <c r="E216" s="138"/>
      <c r="F216" s="139"/>
      <c r="G216" s="139"/>
      <c r="H216" s="139"/>
      <c r="I216" s="139"/>
      <c r="J216" s="139"/>
      <c r="K216" s="139"/>
      <c r="L216" s="139"/>
      <c r="M216" s="139"/>
      <c r="N216" s="139"/>
      <c r="O216" s="140"/>
      <c r="P216" s="139"/>
      <c r="Q216" s="139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>
      <c r="A217" s="142"/>
      <c r="B217" s="142"/>
      <c r="C217" s="43"/>
      <c r="D217" s="138"/>
      <c r="E217" s="138"/>
      <c r="F217" s="139"/>
      <c r="G217" s="139"/>
      <c r="H217" s="139"/>
      <c r="I217" s="139"/>
      <c r="J217" s="139"/>
      <c r="K217" s="139"/>
      <c r="L217" s="139"/>
      <c r="M217" s="139"/>
      <c r="N217" s="139"/>
      <c r="O217" s="140"/>
      <c r="P217" s="139"/>
      <c r="Q217" s="139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>
      <c r="A218" s="142"/>
      <c r="B218" s="142"/>
      <c r="C218" s="43"/>
      <c r="D218" s="138"/>
      <c r="E218" s="138"/>
      <c r="F218" s="139"/>
      <c r="G218" s="139"/>
      <c r="H218" s="139"/>
      <c r="I218" s="139"/>
      <c r="J218" s="139"/>
      <c r="K218" s="139"/>
      <c r="L218" s="139"/>
      <c r="M218" s="139"/>
      <c r="N218" s="139"/>
      <c r="O218" s="140"/>
      <c r="P218" s="139"/>
      <c r="Q218" s="139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>
      <c r="A219" s="142"/>
      <c r="B219" s="142"/>
      <c r="C219" s="43"/>
      <c r="D219" s="138"/>
      <c r="E219" s="138"/>
      <c r="F219" s="139"/>
      <c r="G219" s="139"/>
      <c r="H219" s="139"/>
      <c r="I219" s="139"/>
      <c r="J219" s="139"/>
      <c r="K219" s="139"/>
      <c r="L219" s="139"/>
      <c r="M219" s="139"/>
      <c r="N219" s="139"/>
      <c r="O219" s="140"/>
      <c r="P219" s="139"/>
      <c r="Q219" s="139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>
      <c r="A220" s="142"/>
      <c r="B220" s="142"/>
      <c r="C220" s="43"/>
      <c r="D220" s="138"/>
      <c r="E220" s="138"/>
      <c r="F220" s="139"/>
      <c r="G220" s="139"/>
      <c r="H220" s="139"/>
      <c r="I220" s="139"/>
      <c r="J220" s="139"/>
      <c r="K220" s="139"/>
      <c r="L220" s="139"/>
      <c r="M220" s="139"/>
      <c r="N220" s="139"/>
      <c r="O220" s="140"/>
      <c r="P220" s="139"/>
      <c r="Q220" s="139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>
      <c r="A221" s="142"/>
      <c r="B221" s="142"/>
      <c r="C221" s="43"/>
      <c r="D221" s="138"/>
      <c r="E221" s="138"/>
      <c r="F221" s="139"/>
      <c r="G221" s="139"/>
      <c r="H221" s="139"/>
      <c r="I221" s="139"/>
      <c r="J221" s="139"/>
      <c r="K221" s="139"/>
      <c r="L221" s="139"/>
      <c r="M221" s="139"/>
      <c r="N221" s="139"/>
      <c r="O221" s="140"/>
      <c r="P221" s="139"/>
      <c r="Q221" s="139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>
      <c r="A222" s="142"/>
      <c r="B222" s="142"/>
      <c r="C222" s="43"/>
      <c r="D222" s="138"/>
      <c r="E222" s="138"/>
      <c r="F222" s="139"/>
      <c r="G222" s="139"/>
      <c r="H222" s="139"/>
      <c r="I222" s="139"/>
      <c r="J222" s="139"/>
      <c r="K222" s="139"/>
      <c r="L222" s="139"/>
      <c r="M222" s="139"/>
      <c r="N222" s="139"/>
      <c r="O222" s="140"/>
      <c r="P222" s="139"/>
      <c r="Q222" s="139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>
      <c r="A223" s="142"/>
      <c r="B223" s="142"/>
      <c r="C223" s="43"/>
      <c r="D223" s="138"/>
      <c r="E223" s="138"/>
      <c r="F223" s="139"/>
      <c r="G223" s="139"/>
      <c r="H223" s="139"/>
      <c r="I223" s="139"/>
      <c r="J223" s="139"/>
      <c r="K223" s="139"/>
      <c r="L223" s="139"/>
      <c r="M223" s="139"/>
      <c r="N223" s="139"/>
      <c r="O223" s="140"/>
      <c r="P223" s="139"/>
      <c r="Q223" s="139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>
      <c r="A224" s="142"/>
      <c r="B224" s="142"/>
      <c r="C224" s="142"/>
      <c r="D224" s="138"/>
      <c r="E224" s="138"/>
      <c r="F224" s="139"/>
      <c r="G224" s="139"/>
      <c r="H224" s="139"/>
      <c r="I224" s="139"/>
      <c r="J224" s="139"/>
      <c r="K224" s="139"/>
      <c r="L224" s="139"/>
      <c r="M224" s="139"/>
      <c r="N224" s="139"/>
      <c r="O224" s="140"/>
      <c r="P224" s="139"/>
      <c r="Q224" s="139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>
      <c r="A225" s="142"/>
      <c r="B225" s="142"/>
      <c r="C225" s="142"/>
      <c r="D225" s="138"/>
      <c r="E225" s="138"/>
      <c r="F225" s="139"/>
      <c r="G225" s="139"/>
      <c r="H225" s="139"/>
      <c r="I225" s="139"/>
      <c r="J225" s="139"/>
      <c r="K225" s="139"/>
      <c r="L225" s="139"/>
      <c r="M225" s="139"/>
      <c r="N225" s="139"/>
      <c r="O225" s="140"/>
      <c r="P225" s="139"/>
      <c r="Q225" s="139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>
      <c r="A226" s="142"/>
      <c r="B226" s="142"/>
      <c r="C226" s="142"/>
      <c r="D226" s="138"/>
      <c r="E226" s="138"/>
      <c r="F226" s="139"/>
      <c r="G226" s="139"/>
      <c r="H226" s="139"/>
      <c r="I226" s="139"/>
      <c r="J226" s="139"/>
      <c r="K226" s="139"/>
      <c r="L226" s="139"/>
      <c r="M226" s="139"/>
      <c r="N226" s="139"/>
      <c r="O226" s="140"/>
      <c r="P226" s="139"/>
      <c r="Q226" s="139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>
      <c r="A227" s="142"/>
      <c r="B227" s="142"/>
      <c r="C227" s="142"/>
      <c r="D227" s="138"/>
      <c r="E227" s="138"/>
      <c r="F227" s="139"/>
      <c r="G227" s="139"/>
      <c r="H227" s="139"/>
      <c r="I227" s="139"/>
      <c r="J227" s="139"/>
      <c r="K227" s="139"/>
      <c r="L227" s="139"/>
      <c r="M227" s="139"/>
      <c r="N227" s="139"/>
      <c r="O227" s="140"/>
      <c r="P227" s="139"/>
      <c r="Q227" s="139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>
      <c r="A228" s="142"/>
      <c r="B228" s="142"/>
      <c r="C228" s="142"/>
      <c r="D228" s="138"/>
      <c r="E228" s="138"/>
      <c r="F228" s="139"/>
      <c r="G228" s="139"/>
      <c r="H228" s="139"/>
      <c r="I228" s="139"/>
      <c r="J228" s="139"/>
      <c r="K228" s="139"/>
      <c r="L228" s="139"/>
      <c r="M228" s="139"/>
      <c r="N228" s="139"/>
      <c r="O228" s="140"/>
      <c r="P228" s="139"/>
      <c r="Q228" s="139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>
      <c r="A229" s="142"/>
      <c r="B229" s="142"/>
      <c r="C229" s="142"/>
      <c r="D229" s="138"/>
      <c r="E229" s="138"/>
      <c r="F229" s="139"/>
      <c r="G229" s="139"/>
      <c r="H229" s="139"/>
      <c r="I229" s="139"/>
      <c r="J229" s="139"/>
      <c r="K229" s="139"/>
      <c r="L229" s="139"/>
      <c r="M229" s="139"/>
      <c r="N229" s="139"/>
      <c r="O229" s="140"/>
      <c r="P229" s="139"/>
      <c r="Q229" s="139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>
      <c r="A230" s="142"/>
      <c r="B230" s="142"/>
      <c r="C230" s="142"/>
      <c r="D230" s="138"/>
      <c r="E230" s="138"/>
      <c r="F230" s="139"/>
      <c r="G230" s="139"/>
      <c r="H230" s="139"/>
      <c r="I230" s="139"/>
      <c r="J230" s="139"/>
      <c r="K230" s="139"/>
      <c r="L230" s="139"/>
      <c r="M230" s="139"/>
      <c r="N230" s="139"/>
      <c r="O230" s="140"/>
      <c r="P230" s="139"/>
      <c r="Q230" s="139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>
      <c r="A231" s="142"/>
      <c r="B231" s="142"/>
      <c r="C231" s="142"/>
      <c r="D231" s="138"/>
      <c r="E231" s="138"/>
      <c r="F231" s="139"/>
      <c r="G231" s="139"/>
      <c r="H231" s="139"/>
      <c r="I231" s="139"/>
      <c r="J231" s="139"/>
      <c r="K231" s="139"/>
      <c r="L231" s="139"/>
      <c r="M231" s="139"/>
      <c r="N231" s="139"/>
      <c r="O231" s="140"/>
      <c r="P231" s="139"/>
      <c r="Q231" s="139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>
      <c r="A232" s="142"/>
      <c r="B232" s="142"/>
      <c r="C232" s="142"/>
      <c r="D232" s="138"/>
      <c r="E232" s="138"/>
      <c r="F232" s="139"/>
      <c r="G232" s="139"/>
      <c r="H232" s="139"/>
      <c r="I232" s="139"/>
      <c r="J232" s="139"/>
      <c r="K232" s="139"/>
      <c r="L232" s="139"/>
      <c r="M232" s="139"/>
      <c r="N232" s="139"/>
      <c r="O232" s="140"/>
      <c r="P232" s="139"/>
      <c r="Q232" s="139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>
      <c r="A233" s="142"/>
      <c r="B233" s="142"/>
      <c r="C233" s="142"/>
      <c r="D233" s="138"/>
      <c r="E233" s="138"/>
      <c r="F233" s="139"/>
      <c r="G233" s="139"/>
      <c r="H233" s="139"/>
      <c r="I233" s="139"/>
      <c r="J233" s="139"/>
      <c r="K233" s="139"/>
      <c r="L233" s="139"/>
      <c r="M233" s="139"/>
      <c r="N233" s="139"/>
      <c r="O233" s="140"/>
      <c r="P233" s="139"/>
      <c r="Q233" s="139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1:35">
      <c r="A234" s="142"/>
      <c r="B234" s="142"/>
      <c r="C234" s="142"/>
      <c r="D234" s="138"/>
      <c r="E234" s="138"/>
      <c r="F234" s="139"/>
      <c r="G234" s="139"/>
      <c r="H234" s="139"/>
      <c r="I234" s="139"/>
      <c r="J234" s="139"/>
      <c r="K234" s="139"/>
      <c r="L234" s="139"/>
      <c r="M234" s="139"/>
      <c r="N234" s="139"/>
      <c r="O234" s="140"/>
      <c r="P234" s="139"/>
      <c r="Q234" s="139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1:35">
      <c r="A235" s="142"/>
      <c r="B235" s="142"/>
      <c r="C235" s="142"/>
      <c r="D235" s="138"/>
      <c r="E235" s="138"/>
      <c r="F235" s="139"/>
      <c r="G235" s="139"/>
      <c r="H235" s="139"/>
      <c r="I235" s="139"/>
      <c r="J235" s="139"/>
      <c r="K235" s="139"/>
      <c r="L235" s="139"/>
      <c r="M235" s="139"/>
      <c r="N235" s="139"/>
      <c r="O235" s="140"/>
      <c r="P235" s="139"/>
      <c r="Q235" s="139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>
      <c r="A236" s="142"/>
      <c r="B236" s="142"/>
      <c r="C236" s="142"/>
      <c r="D236" s="138"/>
      <c r="E236" s="138"/>
      <c r="F236" s="139"/>
      <c r="G236" s="139"/>
      <c r="H236" s="139"/>
      <c r="I236" s="139"/>
      <c r="J236" s="139"/>
      <c r="K236" s="139"/>
      <c r="L236" s="139"/>
      <c r="M236" s="139"/>
      <c r="N236" s="139"/>
      <c r="O236" s="140"/>
      <c r="P236" s="139"/>
      <c r="Q236" s="139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>
      <c r="A237" s="142"/>
      <c r="B237" s="142"/>
      <c r="C237" s="142"/>
      <c r="D237" s="138"/>
      <c r="E237" s="138"/>
      <c r="F237" s="139"/>
      <c r="G237" s="139"/>
      <c r="H237" s="139"/>
      <c r="I237" s="139"/>
      <c r="J237" s="139"/>
      <c r="K237" s="139"/>
      <c r="L237" s="139"/>
      <c r="M237" s="139"/>
      <c r="N237" s="139"/>
      <c r="O237" s="140"/>
      <c r="P237" s="139"/>
      <c r="Q237" s="139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>
      <c r="A238" s="142"/>
      <c r="B238" s="142"/>
      <c r="C238" s="142"/>
      <c r="D238" s="138"/>
      <c r="E238" s="138"/>
      <c r="F238" s="139"/>
      <c r="G238" s="139"/>
      <c r="H238" s="139"/>
      <c r="I238" s="139"/>
      <c r="J238" s="139"/>
      <c r="K238" s="139"/>
      <c r="L238" s="139"/>
      <c r="M238" s="139"/>
      <c r="N238" s="139"/>
      <c r="O238" s="140"/>
      <c r="P238" s="139"/>
      <c r="Q238" s="139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1:35">
      <c r="A239" s="142"/>
      <c r="B239" s="142"/>
      <c r="C239" s="142"/>
      <c r="D239" s="138"/>
      <c r="E239" s="138"/>
      <c r="F239" s="139"/>
      <c r="G239" s="139"/>
      <c r="H239" s="139"/>
      <c r="I239" s="139"/>
      <c r="J239" s="139"/>
      <c r="K239" s="139"/>
      <c r="L239" s="139"/>
      <c r="M239" s="139"/>
      <c r="N239" s="139"/>
      <c r="O239" s="140"/>
      <c r="P239" s="139"/>
      <c r="Q239" s="139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35">
      <c r="A240" s="142"/>
      <c r="B240" s="142"/>
      <c r="C240" s="142"/>
      <c r="D240" s="138"/>
      <c r="E240" s="138"/>
      <c r="F240" s="139"/>
      <c r="G240" s="139"/>
      <c r="H240" s="139"/>
      <c r="I240" s="139"/>
      <c r="J240" s="139"/>
      <c r="K240" s="139"/>
      <c r="L240" s="139"/>
      <c r="M240" s="139"/>
      <c r="N240" s="139"/>
      <c r="O240" s="140"/>
      <c r="P240" s="139"/>
      <c r="Q240" s="139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1:35">
      <c r="A241" s="142"/>
      <c r="B241" s="142"/>
      <c r="C241" s="142"/>
      <c r="D241" s="138"/>
      <c r="E241" s="138"/>
      <c r="F241" s="139"/>
      <c r="G241" s="139"/>
      <c r="H241" s="139"/>
      <c r="I241" s="139"/>
      <c r="J241" s="139"/>
      <c r="K241" s="139"/>
      <c r="L241" s="139"/>
      <c r="M241" s="139"/>
      <c r="N241" s="139"/>
      <c r="O241" s="140"/>
      <c r="P241" s="139"/>
      <c r="Q241" s="139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</row>
    <row r="242" spans="1:35">
      <c r="A242" s="142"/>
      <c r="B242" s="142"/>
      <c r="C242" s="142"/>
      <c r="D242" s="138"/>
      <c r="E242" s="138"/>
      <c r="F242" s="139"/>
      <c r="G242" s="139"/>
      <c r="H242" s="139"/>
      <c r="I242" s="139"/>
      <c r="J242" s="139"/>
      <c r="K242" s="139"/>
      <c r="L242" s="139"/>
      <c r="M242" s="139"/>
      <c r="N242" s="139"/>
      <c r="O242" s="140"/>
      <c r="P242" s="139"/>
      <c r="Q242" s="139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</row>
    <row r="243" spans="1:35">
      <c r="A243" s="142"/>
      <c r="B243" s="142"/>
      <c r="C243" s="142"/>
      <c r="D243" s="138"/>
      <c r="E243" s="138"/>
      <c r="F243" s="139"/>
      <c r="G243" s="139"/>
      <c r="H243" s="139"/>
      <c r="I243" s="139"/>
      <c r="J243" s="139"/>
      <c r="K243" s="139"/>
      <c r="L243" s="139"/>
      <c r="M243" s="139"/>
      <c r="N243" s="139"/>
      <c r="O243" s="140"/>
      <c r="P243" s="139"/>
      <c r="Q243" s="139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</row>
    <row r="244" spans="1:35">
      <c r="A244" s="142"/>
      <c r="B244" s="142"/>
      <c r="C244" s="142"/>
      <c r="D244" s="138"/>
      <c r="E244" s="138"/>
      <c r="F244" s="139"/>
      <c r="G244" s="139"/>
      <c r="H244" s="139"/>
      <c r="I244" s="139"/>
      <c r="J244" s="139"/>
      <c r="K244" s="139"/>
      <c r="L244" s="139"/>
      <c r="M244" s="139"/>
      <c r="N244" s="139"/>
      <c r="O244" s="140"/>
      <c r="P244" s="139"/>
      <c r="Q244" s="139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1:35">
      <c r="A245" s="142"/>
      <c r="B245" s="142"/>
      <c r="C245" s="142"/>
      <c r="D245" s="138"/>
      <c r="E245" s="138"/>
      <c r="F245" s="139"/>
      <c r="G245" s="139"/>
      <c r="H245" s="139"/>
      <c r="I245" s="139"/>
      <c r="J245" s="139"/>
      <c r="K245" s="139"/>
      <c r="L245" s="139"/>
      <c r="M245" s="139"/>
      <c r="N245" s="139"/>
      <c r="O245" s="140"/>
      <c r="P245" s="139"/>
      <c r="Q245" s="139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1:35">
      <c r="A246" s="142"/>
      <c r="B246" s="142"/>
      <c r="C246" s="142"/>
      <c r="D246" s="138"/>
      <c r="E246" s="138"/>
      <c r="F246" s="139"/>
      <c r="G246" s="139"/>
      <c r="H246" s="139"/>
      <c r="I246" s="139"/>
      <c r="J246" s="139"/>
      <c r="K246" s="139"/>
      <c r="L246" s="139"/>
      <c r="M246" s="139"/>
      <c r="N246" s="139"/>
      <c r="O246" s="140"/>
      <c r="P246" s="139"/>
      <c r="Q246" s="139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1:35">
      <c r="A247" s="142"/>
      <c r="B247" s="142"/>
      <c r="C247" s="142"/>
      <c r="D247" s="138"/>
      <c r="E247" s="138"/>
      <c r="F247" s="139"/>
      <c r="G247" s="139"/>
      <c r="H247" s="139"/>
      <c r="I247" s="139"/>
      <c r="J247" s="139"/>
      <c r="K247" s="139"/>
      <c r="L247" s="139"/>
      <c r="M247" s="139"/>
      <c r="N247" s="139"/>
      <c r="O247" s="140"/>
      <c r="P247" s="139"/>
      <c r="Q247" s="139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35">
      <c r="A248" s="142"/>
      <c r="B248" s="142"/>
      <c r="C248" s="142"/>
      <c r="D248" s="138"/>
      <c r="E248" s="138"/>
      <c r="F248" s="139"/>
      <c r="G248" s="139"/>
      <c r="H248" s="139"/>
      <c r="I248" s="139"/>
      <c r="J248" s="139"/>
      <c r="K248" s="139"/>
      <c r="L248" s="139"/>
      <c r="M248" s="139"/>
      <c r="N248" s="139"/>
      <c r="O248" s="140"/>
      <c r="P248" s="139"/>
      <c r="Q248" s="139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>
      <c r="A249" s="142"/>
      <c r="B249" s="142"/>
      <c r="C249" s="142"/>
      <c r="D249" s="138"/>
      <c r="E249" s="138"/>
      <c r="F249" s="139"/>
      <c r="G249" s="139"/>
      <c r="H249" s="139"/>
      <c r="I249" s="139"/>
      <c r="J249" s="139"/>
      <c r="K249" s="139"/>
      <c r="L249" s="139"/>
      <c r="M249" s="139"/>
      <c r="N249" s="139"/>
      <c r="O249" s="140"/>
      <c r="P249" s="139"/>
      <c r="Q249" s="139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>
      <c r="A250" s="142"/>
      <c r="B250" s="142"/>
      <c r="C250" s="142"/>
      <c r="D250" s="138"/>
      <c r="E250" s="138"/>
      <c r="F250" s="139"/>
      <c r="G250" s="139"/>
      <c r="H250" s="139"/>
      <c r="I250" s="139"/>
      <c r="J250" s="139"/>
      <c r="K250" s="139"/>
      <c r="L250" s="139"/>
      <c r="M250" s="139"/>
      <c r="N250" s="139"/>
      <c r="O250" s="140"/>
      <c r="P250" s="139"/>
      <c r="Q250" s="139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>
      <c r="A251" s="142"/>
      <c r="B251" s="142"/>
      <c r="C251" s="142"/>
      <c r="D251" s="138"/>
      <c r="E251" s="138"/>
      <c r="F251" s="139"/>
      <c r="G251" s="139"/>
      <c r="H251" s="139"/>
      <c r="I251" s="139"/>
      <c r="J251" s="139"/>
      <c r="K251" s="139"/>
      <c r="L251" s="139"/>
      <c r="M251" s="139"/>
      <c r="N251" s="139"/>
      <c r="O251" s="140"/>
      <c r="P251" s="139"/>
      <c r="Q251" s="139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1:35">
      <c r="A252" s="142"/>
      <c r="B252" s="142"/>
      <c r="C252" s="142"/>
      <c r="D252" s="138"/>
      <c r="E252" s="138"/>
      <c r="F252" s="139"/>
      <c r="G252" s="139"/>
      <c r="H252" s="139"/>
      <c r="I252" s="139"/>
      <c r="J252" s="139"/>
      <c r="K252" s="139"/>
      <c r="L252" s="139"/>
      <c r="M252" s="139"/>
      <c r="N252" s="139"/>
      <c r="O252" s="140"/>
      <c r="P252" s="139"/>
      <c r="Q252" s="139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>
      <c r="A253" s="142"/>
      <c r="B253" s="142"/>
      <c r="C253" s="142"/>
      <c r="D253" s="138"/>
      <c r="E253" s="138"/>
      <c r="F253" s="139"/>
      <c r="G253" s="139"/>
      <c r="H253" s="139"/>
      <c r="I253" s="139"/>
      <c r="J253" s="139"/>
      <c r="K253" s="139"/>
      <c r="L253" s="139"/>
      <c r="M253" s="139"/>
      <c r="N253" s="139"/>
      <c r="O253" s="140"/>
      <c r="P253" s="139"/>
      <c r="Q253" s="139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1:35">
      <c r="A254" s="142"/>
      <c r="B254" s="142"/>
      <c r="C254" s="142"/>
      <c r="D254" s="138"/>
      <c r="E254" s="138"/>
      <c r="F254" s="139"/>
      <c r="G254" s="139"/>
      <c r="H254" s="139"/>
      <c r="I254" s="139"/>
      <c r="J254" s="139"/>
      <c r="K254" s="139"/>
      <c r="L254" s="139"/>
      <c r="M254" s="139"/>
      <c r="N254" s="139"/>
      <c r="O254" s="140"/>
      <c r="P254" s="139"/>
      <c r="Q254" s="139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>
      <c r="A255" s="142"/>
      <c r="B255" s="142"/>
      <c r="C255" s="142"/>
      <c r="D255" s="138"/>
      <c r="E255" s="138"/>
      <c r="F255" s="139"/>
      <c r="G255" s="139"/>
      <c r="H255" s="139"/>
      <c r="I255" s="139"/>
      <c r="J255" s="139"/>
      <c r="K255" s="139"/>
      <c r="L255" s="139"/>
      <c r="M255" s="139"/>
      <c r="N255" s="139"/>
      <c r="O255" s="140"/>
      <c r="P255" s="139"/>
      <c r="Q255" s="139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>
      <c r="A256" s="142"/>
      <c r="B256" s="142"/>
      <c r="C256" s="142"/>
      <c r="D256" s="138"/>
      <c r="E256" s="138"/>
      <c r="F256" s="139"/>
      <c r="G256" s="139"/>
      <c r="H256" s="139"/>
      <c r="I256" s="139"/>
      <c r="J256" s="139"/>
      <c r="K256" s="139"/>
      <c r="L256" s="139"/>
      <c r="M256" s="139"/>
      <c r="N256" s="139"/>
      <c r="O256" s="140"/>
      <c r="P256" s="139"/>
      <c r="Q256" s="139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1:35">
      <c r="A257" s="142"/>
      <c r="B257" s="142"/>
      <c r="C257" s="142"/>
      <c r="D257" s="138"/>
      <c r="E257" s="138"/>
      <c r="F257" s="139"/>
      <c r="G257" s="139"/>
      <c r="H257" s="139"/>
      <c r="I257" s="139"/>
      <c r="J257" s="139"/>
      <c r="K257" s="139"/>
      <c r="L257" s="139"/>
      <c r="M257" s="139"/>
      <c r="N257" s="139"/>
      <c r="O257" s="140"/>
      <c r="P257" s="139"/>
      <c r="Q257" s="139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>
      <c r="A258" s="142"/>
      <c r="B258" s="142"/>
      <c r="C258" s="142"/>
      <c r="D258" s="138"/>
      <c r="E258" s="138"/>
      <c r="F258" s="139"/>
      <c r="G258" s="139"/>
      <c r="H258" s="139"/>
      <c r="I258" s="139"/>
      <c r="J258" s="139"/>
      <c r="K258" s="139"/>
      <c r="L258" s="139"/>
      <c r="M258" s="139"/>
      <c r="N258" s="139"/>
      <c r="O258" s="140"/>
      <c r="P258" s="139"/>
      <c r="Q258" s="139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35">
      <c r="A259" s="142"/>
      <c r="B259" s="142"/>
      <c r="C259" s="142"/>
      <c r="D259" s="138"/>
      <c r="E259" s="138"/>
      <c r="F259" s="139"/>
      <c r="G259" s="139"/>
      <c r="H259" s="139"/>
      <c r="I259" s="139"/>
      <c r="J259" s="139"/>
      <c r="K259" s="139"/>
      <c r="L259" s="139"/>
      <c r="M259" s="139"/>
      <c r="N259" s="139"/>
      <c r="O259" s="140"/>
      <c r="P259" s="139"/>
      <c r="Q259" s="139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1:35">
      <c r="A260" s="142"/>
      <c r="B260" s="142"/>
      <c r="C260" s="142"/>
      <c r="D260" s="138"/>
      <c r="E260" s="138"/>
      <c r="F260" s="139"/>
      <c r="G260" s="139"/>
      <c r="H260" s="139"/>
      <c r="I260" s="139"/>
      <c r="J260" s="139"/>
      <c r="K260" s="139"/>
      <c r="L260" s="139"/>
      <c r="M260" s="139"/>
      <c r="N260" s="139"/>
      <c r="O260" s="140"/>
      <c r="P260" s="139"/>
      <c r="Q260" s="139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1:35">
      <c r="A261" s="142"/>
      <c r="B261" s="142"/>
      <c r="C261" s="142"/>
      <c r="D261" s="138"/>
      <c r="E261" s="138"/>
      <c r="F261" s="139"/>
      <c r="G261" s="139"/>
      <c r="H261" s="139"/>
      <c r="I261" s="139"/>
      <c r="J261" s="139"/>
      <c r="K261" s="139"/>
      <c r="L261" s="139"/>
      <c r="M261" s="139"/>
      <c r="N261" s="139"/>
      <c r="O261" s="140"/>
      <c r="P261" s="139"/>
      <c r="Q261" s="139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1:35">
      <c r="A262" s="142"/>
      <c r="B262" s="142"/>
      <c r="C262" s="142"/>
      <c r="D262" s="138"/>
      <c r="E262" s="138"/>
      <c r="F262" s="139"/>
      <c r="G262" s="139"/>
      <c r="H262" s="139"/>
      <c r="I262" s="139"/>
      <c r="J262" s="139"/>
      <c r="K262" s="139"/>
      <c r="L262" s="139"/>
      <c r="M262" s="139"/>
      <c r="N262" s="139"/>
      <c r="O262" s="140"/>
      <c r="P262" s="139"/>
      <c r="Q262" s="139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1:35">
      <c r="A263" s="142"/>
      <c r="B263" s="142"/>
      <c r="C263" s="142"/>
      <c r="D263" s="138"/>
      <c r="E263" s="138"/>
      <c r="F263" s="139"/>
      <c r="G263" s="139"/>
      <c r="H263" s="139"/>
      <c r="I263" s="139"/>
      <c r="J263" s="139"/>
      <c r="K263" s="139"/>
      <c r="L263" s="139"/>
      <c r="M263" s="139"/>
      <c r="N263" s="139"/>
      <c r="O263" s="140"/>
      <c r="P263" s="139"/>
      <c r="Q263" s="139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>
      <c r="A264" s="142"/>
      <c r="B264" s="142"/>
      <c r="C264" s="142"/>
      <c r="D264" s="138"/>
      <c r="E264" s="138"/>
      <c r="F264" s="139"/>
      <c r="G264" s="139"/>
      <c r="H264" s="139"/>
      <c r="I264" s="139"/>
      <c r="J264" s="139"/>
      <c r="K264" s="139"/>
      <c r="L264" s="139"/>
      <c r="M264" s="139"/>
      <c r="N264" s="139"/>
      <c r="O264" s="140"/>
      <c r="P264" s="139"/>
      <c r="Q264" s="139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>
      <c r="A265" s="142"/>
      <c r="B265" s="142"/>
      <c r="C265" s="142"/>
      <c r="D265" s="138"/>
      <c r="E265" s="138"/>
      <c r="F265" s="139"/>
      <c r="G265" s="139"/>
      <c r="H265" s="139"/>
      <c r="I265" s="139"/>
      <c r="J265" s="139"/>
      <c r="K265" s="139"/>
      <c r="L265" s="139"/>
      <c r="M265" s="139"/>
      <c r="N265" s="139"/>
      <c r="O265" s="140"/>
      <c r="P265" s="139"/>
      <c r="Q265" s="139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>
      <c r="A266" s="142"/>
      <c r="B266" s="142"/>
      <c r="C266" s="142"/>
      <c r="D266" s="138"/>
      <c r="E266" s="138"/>
      <c r="F266" s="139"/>
      <c r="G266" s="139"/>
      <c r="H266" s="139"/>
      <c r="I266" s="139"/>
      <c r="J266" s="139"/>
      <c r="K266" s="139"/>
      <c r="L266" s="139"/>
      <c r="M266" s="139"/>
      <c r="N266" s="139"/>
      <c r="O266" s="140"/>
      <c r="P266" s="139"/>
      <c r="Q266" s="139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>
      <c r="A267" s="142"/>
      <c r="B267" s="142"/>
      <c r="C267" s="142"/>
      <c r="D267" s="138"/>
      <c r="E267" s="138"/>
      <c r="F267" s="139"/>
      <c r="G267" s="139"/>
      <c r="H267" s="139"/>
      <c r="I267" s="139"/>
      <c r="J267" s="139"/>
      <c r="K267" s="139"/>
      <c r="L267" s="139"/>
      <c r="M267" s="139"/>
      <c r="N267" s="139"/>
      <c r="O267" s="140"/>
      <c r="P267" s="139"/>
      <c r="Q267" s="139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>
      <c r="A268" s="142"/>
      <c r="B268" s="142"/>
      <c r="C268" s="142"/>
      <c r="D268" s="138"/>
      <c r="E268" s="138"/>
      <c r="F268" s="139"/>
      <c r="G268" s="139"/>
      <c r="H268" s="139"/>
      <c r="I268" s="139"/>
      <c r="J268" s="139"/>
      <c r="K268" s="139"/>
      <c r="L268" s="139"/>
      <c r="M268" s="139"/>
      <c r="N268" s="139"/>
      <c r="O268" s="140"/>
      <c r="P268" s="139"/>
      <c r="Q268" s="139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1:35">
      <c r="A269" s="142"/>
      <c r="B269" s="142"/>
      <c r="C269" s="142"/>
      <c r="D269" s="138"/>
      <c r="E269" s="138"/>
      <c r="F269" s="139"/>
      <c r="G269" s="139"/>
      <c r="H269" s="139"/>
      <c r="I269" s="139"/>
      <c r="J269" s="139"/>
      <c r="K269" s="139"/>
      <c r="L269" s="139"/>
      <c r="M269" s="139"/>
      <c r="N269" s="139"/>
      <c r="O269" s="140"/>
      <c r="P269" s="139"/>
      <c r="Q269" s="139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35">
      <c r="A270" s="142"/>
      <c r="B270" s="142"/>
      <c r="C270" s="142"/>
      <c r="D270" s="138"/>
      <c r="E270" s="138"/>
      <c r="F270" s="139"/>
      <c r="G270" s="139"/>
      <c r="H270" s="139"/>
      <c r="I270" s="139"/>
      <c r="J270" s="139"/>
      <c r="K270" s="139"/>
      <c r="L270" s="139"/>
      <c r="M270" s="139"/>
      <c r="N270" s="139"/>
      <c r="O270" s="140"/>
      <c r="P270" s="139"/>
      <c r="Q270" s="139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</row>
    <row r="271" spans="1:35">
      <c r="A271" s="142"/>
      <c r="B271" s="142"/>
      <c r="C271" s="142"/>
      <c r="D271" s="138"/>
      <c r="E271" s="138"/>
      <c r="F271" s="139"/>
      <c r="G271" s="139"/>
      <c r="H271" s="139"/>
      <c r="I271" s="139"/>
      <c r="J271" s="139"/>
      <c r="K271" s="139"/>
      <c r="L271" s="139"/>
      <c r="M271" s="139"/>
      <c r="N271" s="139"/>
      <c r="O271" s="140"/>
      <c r="P271" s="139"/>
      <c r="Q271" s="139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</row>
    <row r="272" spans="1:35">
      <c r="A272" s="142"/>
      <c r="B272" s="142"/>
      <c r="C272" s="142"/>
      <c r="D272" s="138"/>
      <c r="E272" s="138"/>
      <c r="F272" s="139"/>
      <c r="G272" s="139"/>
      <c r="H272" s="139"/>
      <c r="I272" s="139"/>
      <c r="J272" s="139"/>
      <c r="K272" s="139"/>
      <c r="L272" s="139"/>
      <c r="M272" s="139"/>
      <c r="N272" s="139"/>
      <c r="O272" s="140"/>
      <c r="P272" s="139"/>
      <c r="Q272" s="139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1:35">
      <c r="A273" s="142"/>
      <c r="B273" s="142"/>
      <c r="C273" s="142"/>
      <c r="D273" s="138"/>
      <c r="E273" s="138"/>
      <c r="F273" s="139"/>
      <c r="G273" s="139"/>
      <c r="H273" s="139"/>
      <c r="I273" s="139"/>
      <c r="J273" s="139"/>
      <c r="K273" s="139"/>
      <c r="L273" s="139"/>
      <c r="M273" s="139"/>
      <c r="N273" s="139"/>
      <c r="O273" s="140"/>
      <c r="P273" s="139"/>
      <c r="Q273" s="139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1:35">
      <c r="A274" s="142"/>
      <c r="B274" s="142"/>
      <c r="C274" s="142"/>
      <c r="D274" s="138"/>
      <c r="E274" s="138"/>
      <c r="F274" s="139"/>
      <c r="G274" s="139"/>
      <c r="H274" s="139"/>
      <c r="I274" s="139"/>
      <c r="J274" s="139"/>
      <c r="K274" s="139"/>
      <c r="L274" s="139"/>
      <c r="M274" s="139"/>
      <c r="N274" s="139"/>
      <c r="O274" s="140"/>
      <c r="P274" s="139"/>
      <c r="Q274" s="139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1:35">
      <c r="A275" s="142"/>
      <c r="B275" s="142"/>
      <c r="C275" s="142"/>
      <c r="D275" s="138"/>
      <c r="E275" s="138"/>
      <c r="F275" s="139"/>
      <c r="G275" s="139"/>
      <c r="H275" s="139"/>
      <c r="I275" s="139"/>
      <c r="J275" s="139"/>
      <c r="K275" s="139"/>
      <c r="L275" s="139"/>
      <c r="M275" s="139"/>
      <c r="N275" s="139"/>
      <c r="O275" s="140"/>
      <c r="P275" s="139"/>
      <c r="Q275" s="139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1:35">
      <c r="A276" s="142"/>
      <c r="B276" s="142"/>
      <c r="C276" s="142"/>
      <c r="D276" s="138"/>
      <c r="E276" s="138"/>
      <c r="F276" s="139"/>
      <c r="G276" s="139"/>
      <c r="H276" s="139"/>
      <c r="I276" s="139"/>
      <c r="J276" s="139"/>
      <c r="K276" s="139"/>
      <c r="L276" s="139"/>
      <c r="M276" s="139"/>
      <c r="N276" s="139"/>
      <c r="O276" s="140"/>
      <c r="P276" s="139"/>
      <c r="Q276" s="139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1:35">
      <c r="A277" s="142"/>
      <c r="B277" s="142"/>
      <c r="C277" s="142"/>
      <c r="D277" s="138"/>
      <c r="E277" s="138"/>
      <c r="F277" s="139"/>
      <c r="G277" s="139"/>
      <c r="H277" s="139"/>
      <c r="I277" s="139"/>
      <c r="J277" s="139"/>
      <c r="K277" s="139"/>
      <c r="L277" s="139"/>
      <c r="M277" s="139"/>
      <c r="N277" s="139"/>
      <c r="O277" s="140"/>
      <c r="P277" s="139"/>
      <c r="Q277" s="139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1:35">
      <c r="A278" s="142"/>
      <c r="B278" s="142"/>
      <c r="C278" s="142"/>
      <c r="D278" s="138"/>
      <c r="E278" s="138"/>
      <c r="F278" s="139"/>
      <c r="G278" s="139"/>
      <c r="H278" s="139"/>
      <c r="I278" s="139"/>
      <c r="J278" s="139"/>
      <c r="K278" s="139"/>
      <c r="L278" s="139"/>
      <c r="M278" s="139"/>
      <c r="N278" s="139"/>
      <c r="O278" s="140"/>
      <c r="P278" s="139"/>
      <c r="Q278" s="139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1:35">
      <c r="A279" s="142"/>
      <c r="B279" s="142"/>
      <c r="C279" s="142"/>
      <c r="D279" s="138"/>
      <c r="E279" s="138"/>
      <c r="F279" s="139"/>
      <c r="G279" s="139"/>
      <c r="H279" s="139"/>
      <c r="I279" s="139"/>
      <c r="J279" s="139"/>
      <c r="K279" s="139"/>
      <c r="L279" s="139"/>
      <c r="M279" s="139"/>
      <c r="N279" s="139"/>
      <c r="O279" s="140"/>
      <c r="P279" s="139"/>
      <c r="Q279" s="139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1:35">
      <c r="A280" s="142"/>
      <c r="B280" s="142"/>
      <c r="C280" s="142"/>
      <c r="D280" s="138"/>
      <c r="E280" s="138"/>
      <c r="F280" s="139"/>
      <c r="G280" s="139"/>
      <c r="H280" s="139"/>
      <c r="I280" s="139"/>
      <c r="J280" s="139"/>
      <c r="K280" s="139"/>
      <c r="L280" s="139"/>
      <c r="M280" s="139"/>
      <c r="N280" s="139"/>
      <c r="O280" s="140"/>
      <c r="P280" s="139"/>
      <c r="Q280" s="139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</row>
    <row r="281" spans="1:35">
      <c r="A281" s="142"/>
      <c r="B281" s="142"/>
      <c r="C281" s="142"/>
      <c r="D281" s="138"/>
      <c r="E281" s="138"/>
      <c r="F281" s="139"/>
      <c r="G281" s="139"/>
      <c r="H281" s="139"/>
      <c r="I281" s="139"/>
      <c r="J281" s="139"/>
      <c r="K281" s="139"/>
      <c r="L281" s="139"/>
      <c r="M281" s="139"/>
      <c r="N281" s="139"/>
      <c r="O281" s="140"/>
      <c r="P281" s="139"/>
      <c r="Q281" s="139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</row>
    <row r="282" spans="1:35">
      <c r="A282" s="142"/>
      <c r="B282" s="142"/>
      <c r="C282" s="142"/>
      <c r="D282" s="138"/>
      <c r="E282" s="138"/>
      <c r="F282" s="139"/>
      <c r="G282" s="139"/>
      <c r="H282" s="139"/>
      <c r="I282" s="139"/>
      <c r="J282" s="139"/>
      <c r="K282" s="139"/>
      <c r="L282" s="139"/>
      <c r="M282" s="139"/>
      <c r="N282" s="139"/>
      <c r="O282" s="140"/>
      <c r="P282" s="139"/>
      <c r="Q282" s="139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</row>
    <row r="283" spans="1:35">
      <c r="A283" s="142"/>
      <c r="B283" s="142"/>
      <c r="C283" s="142"/>
      <c r="D283" s="138"/>
      <c r="E283" s="138"/>
      <c r="F283" s="139"/>
      <c r="G283" s="139"/>
      <c r="H283" s="139"/>
      <c r="I283" s="139"/>
      <c r="J283" s="139"/>
      <c r="K283" s="139"/>
      <c r="L283" s="139"/>
      <c r="M283" s="139"/>
      <c r="N283" s="139"/>
      <c r="O283" s="140"/>
      <c r="P283" s="139"/>
      <c r="Q283" s="139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</row>
    <row r="284" spans="1:35">
      <c r="A284" s="142"/>
      <c r="B284" s="142"/>
      <c r="C284" s="142"/>
      <c r="D284" s="138"/>
      <c r="E284" s="138"/>
      <c r="F284" s="139"/>
      <c r="G284" s="139"/>
      <c r="H284" s="139"/>
      <c r="I284" s="139"/>
      <c r="J284" s="139"/>
      <c r="K284" s="139"/>
      <c r="L284" s="139"/>
      <c r="M284" s="139"/>
      <c r="N284" s="139"/>
      <c r="O284" s="140"/>
      <c r="P284" s="139"/>
      <c r="Q284" s="139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1:35">
      <c r="A285" s="142"/>
      <c r="B285" s="142"/>
      <c r="C285" s="142"/>
      <c r="D285" s="138"/>
      <c r="E285" s="138"/>
      <c r="F285" s="139"/>
      <c r="G285" s="139"/>
      <c r="H285" s="139"/>
      <c r="I285" s="139"/>
      <c r="J285" s="139"/>
      <c r="K285" s="139"/>
      <c r="L285" s="139"/>
      <c r="M285" s="139"/>
      <c r="N285" s="139"/>
      <c r="O285" s="140"/>
      <c r="P285" s="139"/>
      <c r="Q285" s="139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</row>
    <row r="286" spans="1:35">
      <c r="A286" s="142"/>
      <c r="B286" s="142"/>
      <c r="C286" s="142"/>
      <c r="D286" s="138"/>
      <c r="E286" s="138"/>
      <c r="F286" s="139"/>
      <c r="G286" s="139"/>
      <c r="H286" s="139"/>
      <c r="I286" s="139"/>
      <c r="J286" s="139"/>
      <c r="K286" s="139"/>
      <c r="L286" s="139"/>
      <c r="M286" s="139"/>
      <c r="N286" s="139"/>
      <c r="O286" s="140"/>
      <c r="P286" s="139"/>
      <c r="Q286" s="139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1:35">
      <c r="A287" s="142"/>
      <c r="B287" s="142"/>
      <c r="C287" s="142"/>
      <c r="D287" s="138"/>
      <c r="E287" s="138"/>
      <c r="F287" s="139"/>
      <c r="G287" s="139"/>
      <c r="H287" s="139"/>
      <c r="I287" s="139"/>
      <c r="J287" s="139"/>
      <c r="K287" s="139"/>
      <c r="L287" s="139"/>
      <c r="M287" s="139"/>
      <c r="N287" s="139"/>
      <c r="O287" s="140"/>
      <c r="P287" s="139"/>
      <c r="Q287" s="139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1:35">
      <c r="A288" s="142"/>
      <c r="B288" s="142"/>
      <c r="C288" s="142"/>
      <c r="D288" s="138"/>
      <c r="E288" s="138"/>
      <c r="F288" s="139"/>
      <c r="G288" s="139"/>
      <c r="H288" s="139"/>
      <c r="I288" s="139"/>
      <c r="J288" s="139"/>
      <c r="K288" s="139"/>
      <c r="L288" s="139"/>
      <c r="M288" s="139"/>
      <c r="N288" s="139"/>
      <c r="O288" s="140"/>
      <c r="P288" s="139"/>
      <c r="Q288" s="139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1:35">
      <c r="A289" s="142"/>
      <c r="B289" s="142"/>
      <c r="C289" s="142"/>
      <c r="D289" s="138"/>
      <c r="E289" s="138"/>
      <c r="F289" s="139"/>
      <c r="G289" s="139"/>
      <c r="H289" s="139"/>
      <c r="I289" s="139"/>
      <c r="J289" s="139"/>
      <c r="K289" s="139"/>
      <c r="L289" s="139"/>
      <c r="M289" s="139"/>
      <c r="N289" s="139"/>
      <c r="O289" s="140"/>
      <c r="P289" s="139"/>
      <c r="Q289" s="139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1:35">
      <c r="A290" s="142"/>
      <c r="B290" s="142"/>
      <c r="C290" s="142"/>
      <c r="D290" s="138"/>
      <c r="E290" s="138"/>
      <c r="F290" s="139"/>
      <c r="G290" s="139"/>
      <c r="H290" s="139"/>
      <c r="I290" s="139"/>
      <c r="J290" s="139"/>
      <c r="K290" s="139"/>
      <c r="L290" s="139"/>
      <c r="M290" s="139"/>
      <c r="N290" s="139"/>
      <c r="O290" s="140"/>
      <c r="P290" s="139"/>
      <c r="Q290" s="139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1:35">
      <c r="A291" s="142"/>
      <c r="B291" s="142"/>
      <c r="C291" s="142"/>
      <c r="D291" s="138"/>
      <c r="E291" s="138"/>
      <c r="F291" s="139"/>
      <c r="G291" s="139"/>
      <c r="H291" s="139"/>
      <c r="I291" s="139"/>
      <c r="J291" s="139"/>
      <c r="K291" s="139"/>
      <c r="L291" s="139"/>
      <c r="M291" s="139"/>
      <c r="N291" s="139"/>
      <c r="O291" s="140"/>
      <c r="P291" s="139"/>
      <c r="Q291" s="139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1:35">
      <c r="A292" s="142"/>
      <c r="B292" s="142"/>
      <c r="C292" s="142"/>
      <c r="D292" s="138"/>
      <c r="E292" s="138"/>
      <c r="F292" s="139"/>
      <c r="G292" s="139"/>
      <c r="H292" s="139"/>
      <c r="I292" s="139"/>
      <c r="J292" s="139"/>
      <c r="K292" s="139"/>
      <c r="L292" s="139"/>
      <c r="M292" s="139"/>
      <c r="N292" s="139"/>
      <c r="O292" s="140"/>
      <c r="P292" s="139"/>
      <c r="Q292" s="139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1:35">
      <c r="A293" s="142"/>
      <c r="B293" s="142"/>
      <c r="C293" s="142"/>
      <c r="D293" s="138"/>
      <c r="E293" s="138"/>
      <c r="F293" s="139"/>
      <c r="G293" s="139"/>
      <c r="H293" s="139"/>
      <c r="I293" s="139"/>
      <c r="J293" s="139"/>
      <c r="K293" s="139"/>
      <c r="L293" s="139"/>
      <c r="M293" s="139"/>
      <c r="N293" s="139"/>
      <c r="O293" s="140"/>
      <c r="P293" s="139"/>
      <c r="Q293" s="139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1:35">
      <c r="A294" s="142"/>
      <c r="B294" s="142"/>
      <c r="C294" s="142"/>
      <c r="D294" s="138"/>
      <c r="E294" s="138"/>
      <c r="F294" s="139"/>
      <c r="G294" s="139"/>
      <c r="H294" s="139"/>
      <c r="I294" s="139"/>
      <c r="J294" s="139"/>
      <c r="K294" s="139"/>
      <c r="L294" s="139"/>
      <c r="M294" s="139"/>
      <c r="N294" s="139"/>
      <c r="O294" s="140"/>
      <c r="P294" s="139"/>
      <c r="Q294" s="139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1:35">
      <c r="A295" s="142"/>
      <c r="B295" s="142"/>
      <c r="C295" s="142"/>
      <c r="D295" s="138"/>
      <c r="E295" s="138"/>
      <c r="F295" s="139"/>
      <c r="G295" s="139"/>
      <c r="H295" s="139"/>
      <c r="I295" s="139"/>
      <c r="J295" s="139"/>
      <c r="K295" s="139"/>
      <c r="L295" s="139"/>
      <c r="M295" s="139"/>
      <c r="N295" s="139"/>
      <c r="O295" s="140"/>
      <c r="P295" s="139"/>
      <c r="Q295" s="139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1:35">
      <c r="A296" s="142"/>
      <c r="B296" s="142"/>
      <c r="C296" s="142"/>
      <c r="D296" s="138"/>
      <c r="E296" s="138"/>
      <c r="F296" s="139"/>
      <c r="G296" s="139"/>
      <c r="H296" s="139"/>
      <c r="I296" s="139"/>
      <c r="J296" s="139"/>
      <c r="K296" s="139"/>
      <c r="L296" s="139"/>
      <c r="M296" s="139"/>
      <c r="N296" s="139"/>
      <c r="O296" s="140"/>
      <c r="P296" s="139"/>
      <c r="Q296" s="139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1:35">
      <c r="A297" s="142"/>
      <c r="B297" s="142"/>
      <c r="C297" s="142"/>
      <c r="D297" s="138"/>
      <c r="E297" s="138"/>
      <c r="F297" s="139"/>
      <c r="G297" s="139"/>
      <c r="H297" s="139"/>
      <c r="I297" s="139"/>
      <c r="J297" s="139"/>
      <c r="K297" s="139"/>
      <c r="L297" s="139"/>
      <c r="M297" s="139"/>
      <c r="N297" s="139"/>
      <c r="O297" s="140"/>
      <c r="P297" s="139"/>
      <c r="Q297" s="139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>
      <c r="A298" s="142"/>
      <c r="B298" s="142"/>
      <c r="C298" s="142"/>
      <c r="D298" s="138"/>
      <c r="E298" s="138"/>
      <c r="F298" s="139"/>
      <c r="G298" s="139"/>
      <c r="H298" s="139"/>
      <c r="I298" s="139"/>
      <c r="J298" s="139"/>
      <c r="K298" s="139"/>
      <c r="L298" s="139"/>
      <c r="M298" s="139"/>
      <c r="N298" s="139"/>
      <c r="O298" s="140"/>
      <c r="P298" s="139"/>
      <c r="Q298" s="139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1:35">
      <c r="A299" s="142"/>
      <c r="B299" s="142"/>
      <c r="C299" s="142"/>
      <c r="D299" s="138"/>
      <c r="E299" s="138"/>
      <c r="F299" s="139"/>
      <c r="G299" s="139"/>
      <c r="H299" s="139"/>
      <c r="I299" s="139"/>
      <c r="J299" s="139"/>
      <c r="K299" s="139"/>
      <c r="L299" s="139"/>
      <c r="M299" s="139"/>
      <c r="N299" s="139"/>
      <c r="O299" s="140"/>
      <c r="P299" s="139"/>
      <c r="Q299" s="139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35">
      <c r="A300" s="142"/>
      <c r="B300" s="142"/>
      <c r="C300" s="142"/>
      <c r="D300" s="138"/>
      <c r="E300" s="138"/>
      <c r="F300" s="139"/>
      <c r="G300" s="139"/>
      <c r="H300" s="139"/>
      <c r="I300" s="139"/>
      <c r="J300" s="139"/>
      <c r="K300" s="139"/>
      <c r="L300" s="139"/>
      <c r="M300" s="139"/>
      <c r="N300" s="139"/>
      <c r="O300" s="140"/>
      <c r="P300" s="139"/>
      <c r="Q300" s="139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1:35">
      <c r="A301" s="142"/>
      <c r="B301" s="142"/>
      <c r="C301" s="142"/>
      <c r="D301" s="138"/>
      <c r="E301" s="138"/>
      <c r="F301" s="139"/>
      <c r="G301" s="139"/>
      <c r="H301" s="139"/>
      <c r="I301" s="139"/>
      <c r="J301" s="139"/>
      <c r="K301" s="139"/>
      <c r="L301" s="139"/>
      <c r="M301" s="139"/>
      <c r="N301" s="139"/>
      <c r="O301" s="140"/>
      <c r="P301" s="139"/>
      <c r="Q301" s="139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1:35">
      <c r="A302" s="142"/>
      <c r="B302" s="142"/>
      <c r="C302" s="142"/>
      <c r="D302" s="138"/>
      <c r="E302" s="138"/>
      <c r="F302" s="139"/>
      <c r="G302" s="139"/>
      <c r="H302" s="139"/>
      <c r="I302" s="139"/>
      <c r="J302" s="139"/>
      <c r="K302" s="139"/>
      <c r="L302" s="139"/>
      <c r="M302" s="139"/>
      <c r="N302" s="139"/>
      <c r="O302" s="140"/>
      <c r="P302" s="139"/>
      <c r="Q302" s="139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</row>
    <row r="303" spans="1:35">
      <c r="A303" s="142"/>
      <c r="B303" s="142"/>
      <c r="C303" s="142"/>
      <c r="D303" s="138"/>
      <c r="E303" s="138"/>
      <c r="F303" s="139"/>
      <c r="G303" s="139"/>
      <c r="H303" s="139"/>
      <c r="I303" s="139"/>
      <c r="J303" s="139"/>
      <c r="K303" s="139"/>
      <c r="L303" s="139"/>
      <c r="M303" s="139"/>
      <c r="N303" s="139"/>
      <c r="O303" s="140"/>
      <c r="P303" s="139"/>
      <c r="Q303" s="139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</row>
    <row r="304" spans="1:35">
      <c r="A304" s="142"/>
      <c r="B304" s="142"/>
      <c r="C304" s="142"/>
      <c r="D304" s="138"/>
      <c r="E304" s="138"/>
      <c r="F304" s="139"/>
      <c r="G304" s="139"/>
      <c r="H304" s="139"/>
      <c r="I304" s="139"/>
      <c r="J304" s="139"/>
      <c r="K304" s="139"/>
      <c r="L304" s="139"/>
      <c r="M304" s="139"/>
      <c r="N304" s="139"/>
      <c r="O304" s="140"/>
      <c r="P304" s="139"/>
      <c r="Q304" s="139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1:35">
      <c r="A305" s="142"/>
      <c r="B305" s="142"/>
      <c r="C305" s="142"/>
      <c r="D305" s="138"/>
      <c r="E305" s="138"/>
      <c r="F305" s="139"/>
      <c r="G305" s="139"/>
      <c r="H305" s="139"/>
      <c r="I305" s="139"/>
      <c r="J305" s="139"/>
      <c r="K305" s="139"/>
      <c r="L305" s="139"/>
      <c r="M305" s="139"/>
      <c r="N305" s="139"/>
      <c r="O305" s="140"/>
      <c r="P305" s="139"/>
      <c r="Q305" s="139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</row>
    <row r="306" spans="1:35">
      <c r="A306" s="142"/>
      <c r="B306" s="142"/>
      <c r="C306" s="142"/>
      <c r="D306" s="138"/>
      <c r="E306" s="138"/>
      <c r="F306" s="139"/>
      <c r="G306" s="139"/>
      <c r="H306" s="139"/>
      <c r="I306" s="139"/>
      <c r="J306" s="139"/>
      <c r="K306" s="139"/>
      <c r="L306" s="139"/>
      <c r="M306" s="139"/>
      <c r="N306" s="139"/>
      <c r="O306" s="140"/>
      <c r="P306" s="139"/>
      <c r="Q306" s="139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>
      <c r="A307" s="142"/>
      <c r="B307" s="142"/>
      <c r="C307" s="142"/>
      <c r="D307" s="138"/>
      <c r="E307" s="138"/>
      <c r="F307" s="139"/>
      <c r="G307" s="139"/>
      <c r="H307" s="139"/>
      <c r="I307" s="139"/>
      <c r="J307" s="139"/>
      <c r="K307" s="139"/>
      <c r="L307" s="139"/>
      <c r="M307" s="139"/>
      <c r="N307" s="139"/>
      <c r="O307" s="140"/>
      <c r="P307" s="139"/>
      <c r="Q307" s="139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</row>
    <row r="308" spans="1:35">
      <c r="A308" s="142"/>
      <c r="B308" s="142"/>
      <c r="C308" s="142"/>
      <c r="D308" s="138"/>
      <c r="E308" s="138"/>
      <c r="F308" s="139"/>
      <c r="G308" s="139"/>
      <c r="H308" s="139"/>
      <c r="I308" s="139"/>
      <c r="J308" s="139"/>
      <c r="K308" s="139"/>
      <c r="L308" s="139"/>
      <c r="M308" s="139"/>
      <c r="N308" s="139"/>
      <c r="O308" s="140"/>
      <c r="P308" s="139"/>
      <c r="Q308" s="139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</row>
    <row r="309" spans="1:35">
      <c r="A309" s="142"/>
      <c r="B309" s="142"/>
      <c r="C309" s="142"/>
      <c r="D309" s="138"/>
      <c r="E309" s="138"/>
      <c r="F309" s="139"/>
      <c r="G309" s="139"/>
      <c r="H309" s="139"/>
      <c r="I309" s="139"/>
      <c r="J309" s="139"/>
      <c r="K309" s="139"/>
      <c r="L309" s="139"/>
      <c r="M309" s="139"/>
      <c r="N309" s="139"/>
      <c r="O309" s="140"/>
      <c r="P309" s="139"/>
      <c r="Q309" s="139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</row>
    <row r="310" spans="1:35">
      <c r="A310" s="142"/>
      <c r="B310" s="142"/>
      <c r="C310" s="142"/>
      <c r="D310" s="138"/>
      <c r="E310" s="138"/>
      <c r="F310" s="139"/>
      <c r="G310" s="139"/>
      <c r="H310" s="139"/>
      <c r="I310" s="139"/>
      <c r="J310" s="139"/>
      <c r="K310" s="139"/>
      <c r="L310" s="139"/>
      <c r="M310" s="139"/>
      <c r="N310" s="139"/>
      <c r="O310" s="140"/>
      <c r="P310" s="139"/>
      <c r="Q310" s="139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</row>
    <row r="311" spans="1:35">
      <c r="A311" s="142"/>
      <c r="B311" s="142"/>
      <c r="C311" s="142"/>
      <c r="D311" s="138"/>
      <c r="E311" s="138"/>
      <c r="F311" s="139"/>
      <c r="G311" s="139"/>
      <c r="H311" s="139"/>
      <c r="I311" s="139"/>
      <c r="J311" s="139"/>
      <c r="K311" s="139"/>
      <c r="L311" s="139"/>
      <c r="M311" s="139"/>
      <c r="N311" s="139"/>
      <c r="O311" s="140"/>
      <c r="P311" s="139"/>
      <c r="Q311" s="139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</row>
    <row r="312" spans="1:35">
      <c r="A312" s="142"/>
      <c r="B312" s="142"/>
      <c r="C312" s="142"/>
      <c r="D312" s="138"/>
      <c r="E312" s="138"/>
      <c r="F312" s="139"/>
      <c r="G312" s="139"/>
      <c r="H312" s="139"/>
      <c r="I312" s="139"/>
      <c r="J312" s="139"/>
      <c r="K312" s="139"/>
      <c r="L312" s="139"/>
      <c r="M312" s="139"/>
      <c r="N312" s="139"/>
      <c r="O312" s="140"/>
      <c r="P312" s="139"/>
      <c r="Q312" s="139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</row>
    <row r="313" spans="1:35">
      <c r="A313" s="142"/>
      <c r="B313" s="142"/>
      <c r="C313" s="142"/>
      <c r="D313" s="138"/>
      <c r="E313" s="138"/>
      <c r="F313" s="139"/>
      <c r="G313" s="139"/>
      <c r="H313" s="139"/>
      <c r="I313" s="139"/>
      <c r="J313" s="139"/>
      <c r="K313" s="139"/>
      <c r="L313" s="139"/>
      <c r="M313" s="139"/>
      <c r="N313" s="139"/>
      <c r="O313" s="140"/>
      <c r="P313" s="139"/>
      <c r="Q313" s="139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</row>
    <row r="314" spans="1:35">
      <c r="A314" s="142"/>
      <c r="B314" s="142"/>
      <c r="C314" s="142"/>
      <c r="D314" s="138"/>
      <c r="E314" s="138"/>
      <c r="F314" s="139"/>
      <c r="G314" s="139"/>
      <c r="H314" s="139"/>
      <c r="I314" s="139"/>
      <c r="J314" s="139"/>
      <c r="K314" s="139"/>
      <c r="L314" s="139"/>
      <c r="M314" s="139"/>
      <c r="N314" s="139"/>
      <c r="O314" s="140"/>
      <c r="P314" s="139"/>
      <c r="Q314" s="139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1:35">
      <c r="A315" s="142"/>
      <c r="B315" s="142"/>
      <c r="C315" s="142"/>
      <c r="D315" s="138"/>
      <c r="E315" s="138"/>
      <c r="F315" s="139"/>
      <c r="G315" s="139"/>
      <c r="H315" s="139"/>
      <c r="I315" s="139"/>
      <c r="J315" s="139"/>
      <c r="K315" s="139"/>
      <c r="L315" s="139"/>
      <c r="M315" s="139"/>
      <c r="N315" s="139"/>
      <c r="O315" s="140"/>
      <c r="P315" s="139"/>
      <c r="Q315" s="139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</row>
    <row r="316" spans="1:35">
      <c r="A316" s="142"/>
      <c r="B316" s="142"/>
      <c r="C316" s="142"/>
      <c r="D316" s="138"/>
      <c r="E316" s="138"/>
      <c r="F316" s="139"/>
      <c r="G316" s="139"/>
      <c r="H316" s="139"/>
      <c r="I316" s="139"/>
      <c r="J316" s="139"/>
      <c r="K316" s="139"/>
      <c r="L316" s="139"/>
      <c r="M316" s="139"/>
      <c r="N316" s="139"/>
      <c r="O316" s="140"/>
      <c r="P316" s="139"/>
      <c r="Q316" s="139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</row>
    <row r="317" spans="1:35">
      <c r="A317" s="142"/>
      <c r="B317" s="142"/>
      <c r="C317" s="142"/>
      <c r="D317" s="138"/>
      <c r="E317" s="138"/>
      <c r="F317" s="139"/>
      <c r="G317" s="139"/>
      <c r="H317" s="139"/>
      <c r="I317" s="139"/>
      <c r="J317" s="139"/>
      <c r="K317" s="139"/>
      <c r="L317" s="139"/>
      <c r="M317" s="139"/>
      <c r="N317" s="139"/>
      <c r="O317" s="140"/>
      <c r="P317" s="139"/>
      <c r="Q317" s="139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</row>
    <row r="318" spans="1:35">
      <c r="A318" s="142"/>
      <c r="B318" s="142"/>
      <c r="C318" s="142"/>
      <c r="D318" s="138"/>
      <c r="E318" s="138"/>
      <c r="F318" s="139"/>
      <c r="G318" s="139"/>
      <c r="H318" s="139"/>
      <c r="I318" s="139"/>
      <c r="J318" s="139"/>
      <c r="K318" s="139"/>
      <c r="L318" s="139"/>
      <c r="M318" s="139"/>
      <c r="N318" s="139"/>
      <c r="O318" s="140"/>
      <c r="P318" s="139"/>
      <c r="Q318" s="139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1:35">
      <c r="A319" s="142"/>
      <c r="B319" s="142"/>
      <c r="C319" s="142"/>
      <c r="D319" s="138"/>
      <c r="E319" s="138"/>
      <c r="F319" s="139"/>
      <c r="G319" s="139"/>
      <c r="H319" s="139"/>
      <c r="I319" s="139"/>
      <c r="J319" s="139"/>
      <c r="K319" s="139"/>
      <c r="L319" s="139"/>
      <c r="M319" s="139"/>
      <c r="N319" s="139"/>
      <c r="O319" s="140"/>
      <c r="P319" s="139"/>
      <c r="Q319" s="139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  <row r="320" spans="1:35">
      <c r="A320" s="142"/>
      <c r="B320" s="142"/>
      <c r="C320" s="142"/>
      <c r="D320" s="138"/>
      <c r="E320" s="138"/>
      <c r="F320" s="139"/>
      <c r="G320" s="139"/>
      <c r="H320" s="139"/>
      <c r="I320" s="139"/>
      <c r="J320" s="139"/>
      <c r="K320" s="139"/>
      <c r="L320" s="139"/>
      <c r="M320" s="139"/>
      <c r="N320" s="139"/>
      <c r="O320" s="140"/>
      <c r="P320" s="139"/>
      <c r="Q320" s="139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</row>
    <row r="321" spans="1:35">
      <c r="A321" s="142"/>
      <c r="B321" s="142"/>
      <c r="C321" s="142"/>
      <c r="D321" s="138"/>
      <c r="E321" s="138"/>
      <c r="F321" s="139"/>
      <c r="G321" s="139"/>
      <c r="H321" s="139"/>
      <c r="I321" s="139"/>
      <c r="J321" s="139"/>
      <c r="K321" s="139"/>
      <c r="L321" s="139"/>
      <c r="M321" s="139"/>
      <c r="N321" s="139"/>
      <c r="O321" s="140"/>
      <c r="P321" s="139"/>
      <c r="Q321" s="139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</row>
    <row r="322" spans="1:35">
      <c r="A322" s="142"/>
      <c r="B322" s="142"/>
      <c r="C322" s="142"/>
      <c r="D322" s="138"/>
      <c r="E322" s="138"/>
      <c r="F322" s="139"/>
      <c r="G322" s="139"/>
      <c r="H322" s="139"/>
      <c r="I322" s="139"/>
      <c r="J322" s="139"/>
      <c r="K322" s="139"/>
      <c r="L322" s="139"/>
      <c r="M322" s="139"/>
      <c r="N322" s="139"/>
      <c r="O322" s="140"/>
      <c r="P322" s="139"/>
      <c r="Q322" s="139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</row>
    <row r="323" spans="1:35">
      <c r="A323" s="142"/>
      <c r="B323" s="142"/>
      <c r="C323" s="142"/>
      <c r="D323" s="138"/>
      <c r="E323" s="138"/>
      <c r="F323" s="139"/>
      <c r="G323" s="139"/>
      <c r="H323" s="139"/>
      <c r="I323" s="139"/>
      <c r="J323" s="139"/>
      <c r="K323" s="139"/>
      <c r="L323" s="139"/>
      <c r="M323" s="139"/>
      <c r="N323" s="139"/>
      <c r="O323" s="140"/>
      <c r="P323" s="139"/>
      <c r="Q323" s="139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</row>
    <row r="324" spans="1:35">
      <c r="A324" s="142"/>
      <c r="B324" s="142"/>
      <c r="C324" s="142"/>
      <c r="D324" s="138"/>
      <c r="E324" s="138"/>
      <c r="F324" s="139"/>
      <c r="G324" s="139"/>
      <c r="H324" s="139"/>
      <c r="I324" s="139"/>
      <c r="J324" s="139"/>
      <c r="K324" s="139"/>
      <c r="L324" s="139"/>
      <c r="M324" s="139"/>
      <c r="N324" s="139"/>
      <c r="O324" s="140"/>
      <c r="P324" s="139"/>
      <c r="Q324" s="139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5">
      <c r="A325" s="142"/>
      <c r="B325" s="142"/>
      <c r="C325" s="142"/>
      <c r="D325" s="138"/>
      <c r="E325" s="138"/>
      <c r="F325" s="139"/>
      <c r="G325" s="139"/>
      <c r="H325" s="139"/>
      <c r="I325" s="139"/>
      <c r="J325" s="139"/>
      <c r="K325" s="139"/>
      <c r="L325" s="139"/>
      <c r="M325" s="139"/>
      <c r="N325" s="139"/>
      <c r="O325" s="140"/>
      <c r="P325" s="139"/>
      <c r="Q325" s="139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1:35">
      <c r="A326" s="142"/>
      <c r="B326" s="142"/>
      <c r="C326" s="142"/>
      <c r="D326" s="138"/>
      <c r="E326" s="138"/>
      <c r="F326" s="139"/>
      <c r="G326" s="139"/>
      <c r="H326" s="139"/>
      <c r="I326" s="139"/>
      <c r="J326" s="139"/>
      <c r="K326" s="139"/>
      <c r="L326" s="139"/>
      <c r="M326" s="139"/>
      <c r="N326" s="139"/>
      <c r="O326" s="140"/>
      <c r="P326" s="139"/>
      <c r="Q326" s="139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>
      <c r="A327" s="142"/>
      <c r="B327" s="142"/>
      <c r="C327" s="142"/>
      <c r="D327" s="138"/>
      <c r="E327" s="138"/>
      <c r="F327" s="139"/>
      <c r="G327" s="139"/>
      <c r="H327" s="139"/>
      <c r="I327" s="139"/>
      <c r="J327" s="139"/>
      <c r="K327" s="139"/>
      <c r="L327" s="139"/>
      <c r="M327" s="139"/>
      <c r="N327" s="139"/>
      <c r="O327" s="140"/>
      <c r="P327" s="139"/>
      <c r="Q327" s="139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1:35">
      <c r="A328" s="142"/>
      <c r="B328" s="142"/>
      <c r="C328" s="142"/>
      <c r="D328" s="138"/>
      <c r="E328" s="138"/>
      <c r="F328" s="139"/>
      <c r="G328" s="139"/>
      <c r="H328" s="139"/>
      <c r="I328" s="139"/>
      <c r="J328" s="139"/>
      <c r="K328" s="139"/>
      <c r="L328" s="139"/>
      <c r="M328" s="139"/>
      <c r="N328" s="139"/>
      <c r="O328" s="140"/>
      <c r="P328" s="139"/>
      <c r="Q328" s="139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1:35">
      <c r="A329" s="142"/>
      <c r="B329" s="142"/>
      <c r="C329" s="142"/>
      <c r="D329" s="138"/>
      <c r="E329" s="138"/>
      <c r="F329" s="139"/>
      <c r="G329" s="139"/>
      <c r="H329" s="139"/>
      <c r="I329" s="139"/>
      <c r="J329" s="139"/>
      <c r="K329" s="139"/>
      <c r="L329" s="139"/>
      <c r="M329" s="139"/>
      <c r="N329" s="139"/>
      <c r="O329" s="140"/>
      <c r="P329" s="139"/>
      <c r="Q329" s="139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35">
      <c r="A330" s="142"/>
      <c r="B330" s="142"/>
      <c r="C330" s="142"/>
      <c r="D330" s="138"/>
      <c r="E330" s="138"/>
      <c r="F330" s="139"/>
      <c r="G330" s="139"/>
      <c r="H330" s="139"/>
      <c r="I330" s="139"/>
      <c r="J330" s="139"/>
      <c r="K330" s="139"/>
      <c r="L330" s="139"/>
      <c r="M330" s="139"/>
      <c r="N330" s="139"/>
      <c r="O330" s="140"/>
      <c r="P330" s="139"/>
      <c r="Q330" s="139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</row>
    <row r="331" spans="1:35">
      <c r="A331" s="142"/>
      <c r="B331" s="142"/>
      <c r="C331" s="142"/>
      <c r="D331" s="138"/>
      <c r="E331" s="138"/>
      <c r="F331" s="139"/>
      <c r="G331" s="139"/>
      <c r="H331" s="139"/>
      <c r="I331" s="139"/>
      <c r="J331" s="139"/>
      <c r="K331" s="139"/>
      <c r="L331" s="139"/>
      <c r="M331" s="139"/>
      <c r="N331" s="139"/>
      <c r="O331" s="140"/>
      <c r="P331" s="139"/>
      <c r="Q331" s="139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1:35">
      <c r="A332" s="142"/>
      <c r="B332" s="142"/>
      <c r="C332" s="142"/>
      <c r="D332" s="138"/>
      <c r="E332" s="138"/>
      <c r="F332" s="139"/>
      <c r="G332" s="139"/>
      <c r="H332" s="139"/>
      <c r="I332" s="139"/>
      <c r="J332" s="139"/>
      <c r="K332" s="139"/>
      <c r="L332" s="139"/>
      <c r="M332" s="139"/>
      <c r="N332" s="139"/>
      <c r="O332" s="140"/>
      <c r="P332" s="139"/>
      <c r="Q332" s="139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>
      <c r="A333" s="142"/>
      <c r="B333" s="142"/>
      <c r="C333" s="142"/>
      <c r="D333" s="138"/>
      <c r="E333" s="138"/>
      <c r="F333" s="139"/>
      <c r="G333" s="139"/>
      <c r="H333" s="139"/>
      <c r="I333" s="139"/>
      <c r="J333" s="139"/>
      <c r="K333" s="139"/>
      <c r="L333" s="139"/>
      <c r="M333" s="139"/>
      <c r="N333" s="139"/>
      <c r="O333" s="140"/>
      <c r="P333" s="139"/>
      <c r="Q333" s="139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1:35">
      <c r="A334" s="142"/>
      <c r="B334" s="142"/>
      <c r="C334" s="142"/>
      <c r="D334" s="138"/>
      <c r="E334" s="138"/>
      <c r="F334" s="139"/>
      <c r="G334" s="139"/>
      <c r="H334" s="139"/>
      <c r="I334" s="139"/>
      <c r="J334" s="139"/>
      <c r="K334" s="139"/>
      <c r="L334" s="139"/>
      <c r="M334" s="139"/>
      <c r="N334" s="139"/>
      <c r="O334" s="140"/>
      <c r="P334" s="139"/>
      <c r="Q334" s="139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</row>
    <row r="335" spans="1:35">
      <c r="C335" s="142"/>
      <c r="D335" s="138"/>
      <c r="E335" s="138"/>
      <c r="F335" s="139"/>
      <c r="G335" s="139"/>
      <c r="H335" s="139"/>
      <c r="I335" s="139"/>
      <c r="J335" s="139"/>
      <c r="K335" s="139"/>
      <c r="L335" s="139"/>
      <c r="M335" s="139"/>
      <c r="N335" s="139"/>
      <c r="O335" s="140"/>
      <c r="P335" s="139"/>
      <c r="Q335" s="139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</row>
    <row r="336" spans="1:35">
      <c r="C336" s="142"/>
      <c r="D336" s="138"/>
      <c r="E336" s="138"/>
      <c r="F336" s="139"/>
      <c r="G336" s="139"/>
      <c r="H336" s="139"/>
      <c r="I336" s="139"/>
      <c r="J336" s="139"/>
      <c r="K336" s="139"/>
      <c r="L336" s="139"/>
      <c r="M336" s="139"/>
      <c r="N336" s="139"/>
      <c r="O336" s="140"/>
      <c r="P336" s="139"/>
      <c r="Q336" s="139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</row>
    <row r="337" spans="3:35">
      <c r="C337" s="142"/>
      <c r="D337" s="138"/>
      <c r="E337" s="138"/>
      <c r="F337" s="139"/>
      <c r="G337" s="139"/>
      <c r="H337" s="139"/>
      <c r="I337" s="139"/>
      <c r="J337" s="139"/>
      <c r="K337" s="139"/>
      <c r="L337" s="139"/>
      <c r="M337" s="139"/>
      <c r="N337" s="139"/>
      <c r="O337" s="140"/>
      <c r="P337" s="139"/>
      <c r="Q337" s="139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</row>
    <row r="338" spans="3:35">
      <c r="C338" s="142"/>
      <c r="D338" s="138"/>
      <c r="E338" s="138"/>
      <c r="F338" s="139"/>
      <c r="G338" s="139"/>
      <c r="H338" s="139"/>
      <c r="I338" s="139"/>
      <c r="J338" s="139"/>
      <c r="K338" s="139"/>
      <c r="L338" s="139"/>
      <c r="M338" s="139"/>
      <c r="N338" s="139"/>
      <c r="O338" s="140"/>
      <c r="P338" s="139"/>
      <c r="Q338" s="139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3:35">
      <c r="C339" s="142"/>
      <c r="D339" s="138"/>
      <c r="E339" s="138"/>
      <c r="F339" s="139"/>
      <c r="G339" s="139"/>
      <c r="H339" s="139"/>
      <c r="I339" s="139"/>
      <c r="J339" s="139"/>
      <c r="K339" s="139"/>
      <c r="L339" s="139"/>
      <c r="M339" s="139"/>
      <c r="N339" s="139"/>
      <c r="O339" s="140"/>
      <c r="P339" s="139"/>
      <c r="Q339" s="139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</row>
    <row r="340" spans="3:35">
      <c r="C340" s="142"/>
      <c r="D340" s="138"/>
      <c r="E340" s="138"/>
      <c r="F340" s="139"/>
      <c r="G340" s="139"/>
      <c r="H340" s="139"/>
      <c r="I340" s="139"/>
      <c r="J340" s="139"/>
      <c r="K340" s="139"/>
      <c r="L340" s="139"/>
      <c r="M340" s="139"/>
      <c r="N340" s="139"/>
      <c r="O340" s="140"/>
      <c r="P340" s="139"/>
      <c r="Q340" s="139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3:35">
      <c r="C341" s="142"/>
      <c r="D341" s="138"/>
      <c r="E341" s="138"/>
      <c r="F341" s="139"/>
      <c r="G341" s="139"/>
      <c r="H341" s="139"/>
      <c r="I341" s="139"/>
      <c r="J341" s="139"/>
      <c r="K341" s="139"/>
      <c r="L341" s="139"/>
      <c r="M341" s="139"/>
      <c r="N341" s="139"/>
      <c r="O341" s="140"/>
      <c r="P341" s="139"/>
      <c r="Q341" s="139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3:35">
      <c r="C342" s="142"/>
      <c r="D342" s="138"/>
      <c r="E342" s="138"/>
      <c r="F342" s="139"/>
      <c r="G342" s="139"/>
      <c r="H342" s="139"/>
      <c r="I342" s="139"/>
      <c r="J342" s="139"/>
      <c r="K342" s="139"/>
      <c r="L342" s="139"/>
      <c r="M342" s="139"/>
      <c r="N342" s="139"/>
      <c r="O342" s="140"/>
      <c r="P342" s="139"/>
      <c r="Q342" s="139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3:35">
      <c r="C343" s="142"/>
      <c r="D343" s="138"/>
      <c r="E343" s="138"/>
      <c r="F343" s="139"/>
      <c r="G343" s="139"/>
      <c r="H343" s="139"/>
      <c r="I343" s="139"/>
      <c r="J343" s="139"/>
      <c r="K343" s="139"/>
      <c r="L343" s="139"/>
      <c r="M343" s="139"/>
      <c r="N343" s="139"/>
      <c r="O343" s="140"/>
      <c r="P343" s="139"/>
      <c r="Q343" s="139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3:35">
      <c r="C344" s="142"/>
      <c r="D344" s="138"/>
      <c r="E344" s="138"/>
      <c r="F344" s="139"/>
      <c r="G344" s="139"/>
      <c r="H344" s="139"/>
      <c r="I344" s="139"/>
      <c r="J344" s="139"/>
      <c r="K344" s="139"/>
      <c r="L344" s="139"/>
      <c r="M344" s="139"/>
      <c r="N344" s="139"/>
      <c r="O344" s="140"/>
      <c r="P344" s="139"/>
      <c r="Q344" s="139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3:35">
      <c r="C345" s="142"/>
      <c r="D345" s="138"/>
      <c r="E345" s="138"/>
      <c r="F345" s="139"/>
      <c r="G345" s="139"/>
      <c r="H345" s="139"/>
      <c r="I345" s="139"/>
      <c r="J345" s="139"/>
      <c r="K345" s="139"/>
      <c r="L345" s="139"/>
      <c r="M345" s="139"/>
      <c r="N345" s="139"/>
      <c r="O345" s="140"/>
      <c r="P345" s="139"/>
      <c r="Q345" s="139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</row>
    <row r="346" spans="3:35">
      <c r="C346" s="142"/>
      <c r="D346" s="138"/>
      <c r="E346" s="138"/>
      <c r="F346" s="139"/>
      <c r="G346" s="139"/>
      <c r="H346" s="139"/>
      <c r="I346" s="139"/>
      <c r="J346" s="139"/>
      <c r="K346" s="139"/>
      <c r="L346" s="139"/>
      <c r="M346" s="139"/>
      <c r="N346" s="139"/>
      <c r="O346" s="140"/>
      <c r="P346" s="139"/>
      <c r="Q346" s="139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</row>
    <row r="347" spans="3:35">
      <c r="C347" s="142"/>
      <c r="D347" s="138"/>
      <c r="E347" s="138"/>
      <c r="F347" s="139"/>
      <c r="G347" s="139"/>
      <c r="H347" s="139"/>
      <c r="I347" s="139"/>
      <c r="J347" s="139"/>
      <c r="K347" s="139"/>
      <c r="L347" s="139"/>
      <c r="M347" s="139"/>
      <c r="N347" s="139"/>
      <c r="O347" s="140"/>
      <c r="P347" s="139"/>
      <c r="Q347" s="139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</row>
    <row r="348" spans="3:35">
      <c r="C348" s="142"/>
      <c r="D348" s="138"/>
      <c r="E348" s="138"/>
      <c r="F348" s="139"/>
      <c r="G348" s="139"/>
      <c r="H348" s="139"/>
      <c r="I348" s="139"/>
      <c r="J348" s="139"/>
      <c r="K348" s="139"/>
      <c r="L348" s="139"/>
      <c r="M348" s="139"/>
      <c r="N348" s="139"/>
      <c r="O348" s="140"/>
      <c r="P348" s="139"/>
      <c r="Q348" s="139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</row>
    <row r="349" spans="3:35">
      <c r="C349" s="142"/>
      <c r="D349" s="138"/>
      <c r="E349" s="138"/>
      <c r="F349" s="139"/>
      <c r="G349" s="139"/>
      <c r="H349" s="139"/>
      <c r="I349" s="139"/>
      <c r="J349" s="139"/>
      <c r="K349" s="139"/>
      <c r="L349" s="139"/>
      <c r="M349" s="139"/>
      <c r="N349" s="139"/>
      <c r="O349" s="140"/>
      <c r="P349" s="139"/>
      <c r="Q349" s="139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</row>
    <row r="350" spans="3:35">
      <c r="C350" s="142"/>
      <c r="D350" s="138"/>
      <c r="E350" s="138"/>
      <c r="F350" s="139"/>
      <c r="G350" s="139"/>
      <c r="H350" s="139"/>
      <c r="I350" s="139"/>
      <c r="J350" s="139"/>
      <c r="K350" s="139"/>
      <c r="L350" s="139"/>
      <c r="M350" s="139"/>
      <c r="N350" s="139"/>
      <c r="O350" s="140"/>
      <c r="P350" s="139"/>
      <c r="Q350" s="139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3:35">
      <c r="C351" s="142"/>
      <c r="D351" s="138"/>
      <c r="E351" s="138"/>
      <c r="F351" s="139"/>
      <c r="G351" s="139"/>
      <c r="H351" s="139"/>
      <c r="I351" s="139"/>
      <c r="J351" s="139"/>
      <c r="K351" s="139"/>
      <c r="L351" s="139"/>
      <c r="M351" s="139"/>
      <c r="N351" s="139"/>
      <c r="O351" s="140"/>
      <c r="P351" s="139"/>
      <c r="Q351" s="139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</row>
    <row r="352" spans="3:35">
      <c r="C352" s="142"/>
      <c r="D352" s="138"/>
      <c r="E352" s="138"/>
      <c r="F352" s="139"/>
      <c r="G352" s="139"/>
      <c r="H352" s="139"/>
      <c r="I352" s="139"/>
      <c r="J352" s="139"/>
      <c r="K352" s="139"/>
      <c r="L352" s="139"/>
      <c r="M352" s="139"/>
      <c r="N352" s="139"/>
      <c r="O352" s="140"/>
      <c r="P352" s="139"/>
      <c r="Q352" s="139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</row>
    <row r="353" spans="3:35">
      <c r="C353" s="142"/>
      <c r="D353" s="138"/>
      <c r="E353" s="138"/>
      <c r="F353" s="139"/>
      <c r="G353" s="139"/>
      <c r="H353" s="139"/>
      <c r="I353" s="139"/>
      <c r="J353" s="139"/>
      <c r="K353" s="139"/>
      <c r="L353" s="139"/>
      <c r="M353" s="139"/>
      <c r="N353" s="139"/>
      <c r="O353" s="140"/>
      <c r="P353" s="139"/>
      <c r="Q353" s="139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</row>
    <row r="354" spans="3:35">
      <c r="C354" s="142"/>
      <c r="D354" s="138"/>
      <c r="E354" s="138"/>
      <c r="F354" s="139"/>
      <c r="G354" s="139"/>
      <c r="H354" s="139"/>
      <c r="I354" s="139"/>
      <c r="J354" s="139"/>
      <c r="K354" s="139"/>
      <c r="L354" s="139"/>
      <c r="M354" s="139"/>
      <c r="N354" s="139"/>
      <c r="O354" s="140"/>
      <c r="P354" s="139"/>
      <c r="Q354" s="139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</row>
    <row r="355" spans="3:35">
      <c r="C355" s="142"/>
      <c r="D355" s="138"/>
      <c r="E355" s="138"/>
      <c r="F355" s="139"/>
      <c r="G355" s="139"/>
      <c r="H355" s="139"/>
      <c r="I355" s="139"/>
      <c r="J355" s="139"/>
      <c r="K355" s="139"/>
      <c r="L355" s="139"/>
      <c r="M355" s="139"/>
      <c r="N355" s="139"/>
      <c r="O355" s="140"/>
      <c r="P355" s="139"/>
      <c r="Q355" s="139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</row>
    <row r="356" spans="3:35">
      <c r="C356" s="142"/>
      <c r="D356" s="138"/>
      <c r="E356" s="138"/>
      <c r="F356" s="139"/>
      <c r="G356" s="139"/>
      <c r="H356" s="139"/>
      <c r="I356" s="139"/>
      <c r="J356" s="139"/>
      <c r="K356" s="139"/>
      <c r="L356" s="139"/>
      <c r="M356" s="139"/>
      <c r="N356" s="139"/>
      <c r="O356" s="140"/>
      <c r="P356" s="139"/>
      <c r="Q356" s="139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3:35">
      <c r="C357" s="142"/>
      <c r="D357" s="138"/>
      <c r="E357" s="138"/>
      <c r="F357" s="139"/>
      <c r="G357" s="139"/>
      <c r="H357" s="139"/>
      <c r="I357" s="139"/>
      <c r="J357" s="139"/>
      <c r="K357" s="139"/>
      <c r="L357" s="139"/>
      <c r="M357" s="139"/>
      <c r="N357" s="139"/>
      <c r="O357" s="140"/>
      <c r="P357" s="139"/>
      <c r="Q357" s="139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</row>
    <row r="358" spans="3:35">
      <c r="C358" s="142"/>
      <c r="D358" s="138"/>
      <c r="E358" s="138"/>
      <c r="F358" s="139"/>
      <c r="G358" s="139"/>
      <c r="H358" s="139"/>
      <c r="I358" s="139"/>
      <c r="J358" s="139"/>
      <c r="K358" s="139"/>
      <c r="L358" s="139"/>
      <c r="M358" s="139"/>
      <c r="N358" s="139"/>
      <c r="O358" s="140"/>
      <c r="P358" s="139"/>
      <c r="Q358" s="139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</row>
    <row r="359" spans="3:35">
      <c r="C359" s="142"/>
      <c r="D359" s="138"/>
      <c r="E359" s="138"/>
      <c r="F359" s="139"/>
      <c r="G359" s="139"/>
      <c r="H359" s="139"/>
      <c r="I359" s="139"/>
      <c r="J359" s="139"/>
      <c r="K359" s="139"/>
      <c r="L359" s="139"/>
      <c r="M359" s="139"/>
      <c r="N359" s="139"/>
      <c r="O359" s="140"/>
      <c r="P359" s="139"/>
      <c r="Q359" s="139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3:35">
      <c r="C360" s="142"/>
      <c r="D360" s="138"/>
      <c r="E360" s="138"/>
      <c r="F360" s="139"/>
      <c r="G360" s="139"/>
      <c r="H360" s="139"/>
      <c r="I360" s="139"/>
      <c r="J360" s="139"/>
      <c r="K360" s="139"/>
      <c r="L360" s="139"/>
      <c r="M360" s="139"/>
      <c r="N360" s="139"/>
      <c r="O360" s="140"/>
      <c r="P360" s="139"/>
      <c r="Q360" s="139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</row>
    <row r="361" spans="3:35">
      <c r="C361" s="142"/>
      <c r="D361" s="138"/>
      <c r="E361" s="138"/>
      <c r="F361" s="139"/>
      <c r="G361" s="139"/>
      <c r="H361" s="139"/>
      <c r="I361" s="139"/>
      <c r="J361" s="139"/>
      <c r="K361" s="139"/>
      <c r="L361" s="139"/>
      <c r="M361" s="139"/>
      <c r="N361" s="139"/>
      <c r="O361" s="140"/>
      <c r="P361" s="139"/>
      <c r="Q361" s="139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3:35">
      <c r="C362" s="142"/>
      <c r="D362" s="138"/>
      <c r="E362" s="138"/>
      <c r="F362" s="139"/>
      <c r="G362" s="139"/>
      <c r="H362" s="139"/>
      <c r="I362" s="139"/>
      <c r="J362" s="139"/>
      <c r="K362" s="139"/>
      <c r="L362" s="139"/>
      <c r="M362" s="139"/>
      <c r="N362" s="139"/>
      <c r="O362" s="140"/>
      <c r="P362" s="139"/>
      <c r="Q362" s="139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</row>
    <row r="363" spans="3:35">
      <c r="C363" s="142"/>
      <c r="D363" s="138"/>
      <c r="E363" s="138"/>
      <c r="F363" s="139"/>
      <c r="G363" s="139"/>
      <c r="H363" s="139"/>
      <c r="I363" s="139"/>
      <c r="J363" s="139"/>
      <c r="K363" s="139"/>
      <c r="L363" s="139"/>
      <c r="M363" s="139"/>
      <c r="N363" s="139"/>
      <c r="O363" s="140"/>
      <c r="P363" s="139"/>
      <c r="Q363" s="139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</row>
    <row r="364" spans="3:35">
      <c r="C364" s="142"/>
      <c r="D364" s="138"/>
      <c r="E364" s="138"/>
      <c r="F364" s="139"/>
      <c r="G364" s="139"/>
      <c r="H364" s="139"/>
      <c r="I364" s="139"/>
      <c r="J364" s="139"/>
      <c r="K364" s="139"/>
      <c r="L364" s="139"/>
      <c r="M364" s="139"/>
      <c r="N364" s="139"/>
      <c r="O364" s="140"/>
      <c r="P364" s="139"/>
      <c r="Q364" s="139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</row>
    <row r="365" spans="3:35">
      <c r="C365" s="142"/>
      <c r="D365" s="138"/>
      <c r="E365" s="138"/>
      <c r="F365" s="139"/>
      <c r="G365" s="139"/>
      <c r="H365" s="139"/>
      <c r="I365" s="139"/>
      <c r="J365" s="139"/>
      <c r="K365" s="139"/>
      <c r="L365" s="139"/>
      <c r="M365" s="139"/>
      <c r="N365" s="139"/>
      <c r="O365" s="140"/>
      <c r="P365" s="139"/>
      <c r="Q365" s="139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</row>
    <row r="366" spans="3:35">
      <c r="C366" s="142"/>
      <c r="D366" s="138"/>
      <c r="E366" s="138"/>
      <c r="F366" s="139"/>
      <c r="G366" s="139"/>
      <c r="H366" s="139"/>
      <c r="I366" s="139"/>
      <c r="J366" s="139"/>
      <c r="K366" s="139"/>
      <c r="L366" s="139"/>
      <c r="M366" s="139"/>
      <c r="N366" s="139"/>
      <c r="O366" s="140"/>
      <c r="P366" s="139"/>
      <c r="Q366" s="139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</row>
    <row r="367" spans="3:35">
      <c r="C367" s="142"/>
      <c r="D367" s="138"/>
      <c r="E367" s="138"/>
      <c r="F367" s="139"/>
      <c r="G367" s="139"/>
      <c r="H367" s="139"/>
      <c r="I367" s="139"/>
      <c r="J367" s="139"/>
      <c r="K367" s="139"/>
      <c r="L367" s="139"/>
      <c r="M367" s="139"/>
      <c r="N367" s="139"/>
      <c r="O367" s="140"/>
      <c r="P367" s="139"/>
      <c r="Q367" s="139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</row>
    <row r="368" spans="3:35">
      <c r="C368" s="142"/>
      <c r="D368" s="138"/>
      <c r="E368" s="138"/>
      <c r="F368" s="139"/>
      <c r="G368" s="139"/>
      <c r="H368" s="139"/>
      <c r="I368" s="139"/>
      <c r="J368" s="139"/>
      <c r="K368" s="139"/>
      <c r="L368" s="139"/>
      <c r="M368" s="139"/>
      <c r="N368" s="139"/>
      <c r="O368" s="140"/>
      <c r="P368" s="139"/>
      <c r="Q368" s="139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</row>
    <row r="369" spans="3:35">
      <c r="C369" s="142"/>
      <c r="D369" s="138"/>
      <c r="E369" s="138"/>
      <c r="F369" s="139"/>
      <c r="G369" s="139"/>
      <c r="H369" s="139"/>
      <c r="I369" s="139"/>
      <c r="J369" s="139"/>
      <c r="K369" s="139"/>
      <c r="L369" s="139"/>
      <c r="M369" s="139"/>
      <c r="N369" s="139"/>
      <c r="O369" s="140"/>
      <c r="P369" s="139"/>
      <c r="Q369" s="139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</row>
    <row r="370" spans="3:35">
      <c r="C370" s="142"/>
      <c r="D370" s="138"/>
      <c r="E370" s="138"/>
      <c r="F370" s="139"/>
      <c r="G370" s="139"/>
      <c r="H370" s="139"/>
      <c r="I370" s="139"/>
      <c r="J370" s="139"/>
      <c r="K370" s="139"/>
      <c r="L370" s="139"/>
      <c r="M370" s="139"/>
      <c r="N370" s="139"/>
      <c r="O370" s="140"/>
      <c r="P370" s="139"/>
      <c r="Q370" s="139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</row>
    <row r="371" spans="3:35">
      <c r="C371" s="142"/>
      <c r="D371" s="138"/>
      <c r="E371" s="138"/>
      <c r="F371" s="139"/>
      <c r="G371" s="139"/>
      <c r="H371" s="139"/>
      <c r="I371" s="139"/>
      <c r="J371" s="139"/>
      <c r="K371" s="139"/>
      <c r="L371" s="139"/>
      <c r="M371" s="139"/>
      <c r="N371" s="139"/>
      <c r="O371" s="140"/>
      <c r="P371" s="139"/>
      <c r="Q371" s="139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</row>
    <row r="372" spans="3:35">
      <c r="C372" s="142"/>
      <c r="D372" s="138"/>
      <c r="E372" s="138"/>
      <c r="F372" s="139"/>
      <c r="G372" s="139"/>
      <c r="H372" s="139"/>
      <c r="I372" s="139"/>
      <c r="J372" s="139"/>
      <c r="K372" s="139"/>
      <c r="L372" s="139"/>
      <c r="M372" s="139"/>
      <c r="N372" s="139"/>
      <c r="O372" s="140"/>
      <c r="P372" s="139"/>
      <c r="Q372" s="139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</row>
    <row r="373" spans="3:35">
      <c r="C373" s="142"/>
      <c r="D373" s="138"/>
      <c r="E373" s="138"/>
      <c r="F373" s="139"/>
      <c r="G373" s="139"/>
      <c r="H373" s="139"/>
      <c r="I373" s="139"/>
      <c r="J373" s="139"/>
      <c r="K373" s="139"/>
      <c r="L373" s="139"/>
      <c r="M373" s="139"/>
      <c r="N373" s="139"/>
      <c r="O373" s="140"/>
      <c r="P373" s="139"/>
      <c r="Q373" s="139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</row>
    <row r="374" spans="3:35">
      <c r="C374" s="142"/>
      <c r="D374" s="138"/>
      <c r="E374" s="138"/>
      <c r="F374" s="139"/>
      <c r="G374" s="139"/>
      <c r="H374" s="139"/>
      <c r="I374" s="139"/>
      <c r="J374" s="139"/>
      <c r="K374" s="139"/>
      <c r="L374" s="139"/>
      <c r="M374" s="139"/>
      <c r="N374" s="139"/>
      <c r="O374" s="140"/>
      <c r="P374" s="139"/>
      <c r="Q374" s="139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3:35">
      <c r="C375" s="142"/>
      <c r="D375" s="138"/>
      <c r="E375" s="138"/>
      <c r="F375" s="139"/>
      <c r="G375" s="139"/>
      <c r="H375" s="139"/>
      <c r="I375" s="139"/>
      <c r="J375" s="139"/>
      <c r="K375" s="139"/>
      <c r="L375" s="139"/>
      <c r="M375" s="139"/>
      <c r="N375" s="139"/>
      <c r="O375" s="140"/>
      <c r="P375" s="139"/>
      <c r="Q375" s="139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</row>
    <row r="376" spans="3:35">
      <c r="C376" s="142"/>
      <c r="D376" s="138"/>
      <c r="E376" s="138"/>
      <c r="F376" s="139"/>
      <c r="G376" s="139"/>
      <c r="H376" s="139"/>
      <c r="I376" s="139"/>
      <c r="J376" s="139"/>
      <c r="K376" s="139"/>
      <c r="L376" s="139"/>
      <c r="M376" s="139"/>
      <c r="N376" s="139"/>
      <c r="O376" s="140"/>
      <c r="P376" s="139"/>
      <c r="Q376" s="139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</row>
    <row r="377" spans="3:35">
      <c r="C377" s="142"/>
      <c r="D377" s="138"/>
      <c r="E377" s="138"/>
      <c r="F377" s="139"/>
      <c r="G377" s="139"/>
      <c r="H377" s="139"/>
      <c r="I377" s="139"/>
      <c r="J377" s="139"/>
      <c r="K377" s="139"/>
      <c r="L377" s="139"/>
      <c r="M377" s="139"/>
      <c r="N377" s="139"/>
      <c r="O377" s="140"/>
      <c r="P377" s="139"/>
      <c r="Q377" s="139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</row>
    <row r="378" spans="3:35">
      <c r="C378" s="142"/>
      <c r="D378" s="138"/>
      <c r="E378" s="138"/>
      <c r="F378" s="139"/>
      <c r="G378" s="139"/>
      <c r="H378" s="139"/>
      <c r="I378" s="139"/>
      <c r="J378" s="139"/>
      <c r="K378" s="139"/>
      <c r="L378" s="139"/>
      <c r="M378" s="139"/>
      <c r="N378" s="139"/>
      <c r="O378" s="140"/>
      <c r="P378" s="139"/>
      <c r="Q378" s="139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</row>
    <row r="379" spans="3:35">
      <c r="C379" s="142"/>
      <c r="D379" s="138"/>
      <c r="E379" s="138"/>
      <c r="F379" s="139"/>
      <c r="G379" s="139"/>
      <c r="H379" s="139"/>
      <c r="I379" s="139"/>
      <c r="J379" s="139"/>
      <c r="K379" s="139"/>
      <c r="L379" s="139"/>
      <c r="M379" s="139"/>
      <c r="N379" s="139"/>
      <c r="O379" s="140"/>
      <c r="P379" s="139"/>
      <c r="Q379" s="139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</row>
    <row r="380" spans="3:35">
      <c r="C380" s="142"/>
      <c r="D380" s="138"/>
      <c r="E380" s="138"/>
      <c r="F380" s="139"/>
      <c r="G380" s="139"/>
      <c r="H380" s="139"/>
      <c r="I380" s="139"/>
      <c r="J380" s="139"/>
      <c r="K380" s="139"/>
      <c r="L380" s="139"/>
      <c r="M380" s="139"/>
      <c r="N380" s="139"/>
      <c r="O380" s="140"/>
      <c r="P380" s="139"/>
      <c r="Q380" s="139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</row>
    <row r="381" spans="3:35">
      <c r="C381" s="142"/>
      <c r="D381" s="138"/>
      <c r="E381" s="138"/>
      <c r="F381" s="139"/>
      <c r="G381" s="139"/>
      <c r="H381" s="139"/>
      <c r="I381" s="139"/>
      <c r="J381" s="139"/>
      <c r="K381" s="139"/>
      <c r="L381" s="139"/>
      <c r="M381" s="139"/>
      <c r="N381" s="139"/>
      <c r="O381" s="140"/>
      <c r="P381" s="139"/>
      <c r="Q381" s="139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</row>
    <row r="382" spans="3:35">
      <c r="C382" s="142"/>
      <c r="D382" s="138"/>
      <c r="E382" s="138"/>
      <c r="F382" s="139"/>
      <c r="G382" s="139"/>
      <c r="H382" s="139"/>
      <c r="I382" s="139"/>
      <c r="J382" s="139"/>
      <c r="K382" s="139"/>
      <c r="L382" s="139"/>
      <c r="M382" s="139"/>
      <c r="N382" s="139"/>
      <c r="O382" s="140"/>
      <c r="P382" s="139"/>
      <c r="Q382" s="139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</row>
    <row r="383" spans="3:35">
      <c r="C383" s="142"/>
      <c r="D383" s="138"/>
      <c r="E383" s="138"/>
      <c r="F383" s="139"/>
      <c r="G383" s="139"/>
      <c r="H383" s="139"/>
      <c r="I383" s="139"/>
      <c r="J383" s="139"/>
      <c r="K383" s="139"/>
      <c r="L383" s="139"/>
      <c r="M383" s="139"/>
      <c r="N383" s="139"/>
      <c r="O383" s="140"/>
      <c r="P383" s="139"/>
      <c r="Q383" s="139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</row>
    <row r="384" spans="3:35">
      <c r="C384" s="142"/>
      <c r="D384" s="138"/>
      <c r="E384" s="138"/>
      <c r="F384" s="139"/>
      <c r="G384" s="139"/>
      <c r="H384" s="139"/>
      <c r="I384" s="139"/>
      <c r="J384" s="139"/>
      <c r="K384" s="139"/>
      <c r="L384" s="139"/>
      <c r="M384" s="139"/>
      <c r="N384" s="139"/>
      <c r="O384" s="140"/>
      <c r="P384" s="139"/>
      <c r="Q384" s="139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</row>
    <row r="385" spans="3:35">
      <c r="C385" s="142"/>
      <c r="D385" s="138"/>
      <c r="E385" s="138"/>
      <c r="F385" s="139"/>
      <c r="G385" s="139"/>
      <c r="H385" s="139"/>
      <c r="I385" s="139"/>
      <c r="J385" s="139"/>
      <c r="K385" s="139"/>
      <c r="L385" s="139"/>
      <c r="M385" s="139"/>
      <c r="N385" s="139"/>
      <c r="O385" s="140"/>
      <c r="P385" s="139"/>
      <c r="Q385" s="139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</row>
    <row r="386" spans="3:35">
      <c r="C386" s="142"/>
      <c r="D386" s="138"/>
      <c r="E386" s="138"/>
      <c r="F386" s="139"/>
      <c r="G386" s="139"/>
      <c r="H386" s="139"/>
      <c r="I386" s="139"/>
      <c r="J386" s="139"/>
      <c r="K386" s="139"/>
      <c r="L386" s="139"/>
      <c r="M386" s="139"/>
      <c r="N386" s="139"/>
      <c r="O386" s="140"/>
      <c r="P386" s="139"/>
      <c r="Q386" s="139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</row>
    <row r="387" spans="3:35">
      <c r="C387" s="142"/>
      <c r="D387" s="138"/>
      <c r="E387" s="138"/>
      <c r="F387" s="139"/>
      <c r="G387" s="139"/>
      <c r="H387" s="139"/>
      <c r="I387" s="139"/>
      <c r="J387" s="139"/>
      <c r="K387" s="139"/>
      <c r="L387" s="139"/>
      <c r="M387" s="139"/>
      <c r="N387" s="139"/>
      <c r="O387" s="140"/>
      <c r="P387" s="139"/>
      <c r="Q387" s="139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</row>
    <row r="388" spans="3:35">
      <c r="C388" s="142"/>
      <c r="D388" s="138"/>
      <c r="E388" s="138"/>
      <c r="F388" s="139"/>
      <c r="G388" s="139"/>
      <c r="H388" s="139"/>
      <c r="I388" s="139"/>
      <c r="J388" s="139"/>
      <c r="K388" s="139"/>
      <c r="L388" s="139"/>
      <c r="M388" s="139"/>
      <c r="N388" s="139"/>
      <c r="O388" s="140"/>
      <c r="P388" s="139"/>
      <c r="Q388" s="139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</row>
    <row r="389" spans="3:35">
      <c r="C389" s="142"/>
      <c r="D389" s="138"/>
      <c r="E389" s="138"/>
      <c r="F389" s="139"/>
      <c r="G389" s="139"/>
      <c r="H389" s="139"/>
      <c r="I389" s="139"/>
      <c r="J389" s="139"/>
      <c r="K389" s="139"/>
      <c r="L389" s="139"/>
      <c r="M389" s="139"/>
      <c r="N389" s="139"/>
      <c r="O389" s="140"/>
      <c r="P389" s="139"/>
      <c r="Q389" s="139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</row>
    <row r="390" spans="3:35">
      <c r="C390" s="142"/>
      <c r="D390" s="138"/>
      <c r="E390" s="138"/>
      <c r="F390" s="139"/>
      <c r="G390" s="139"/>
      <c r="H390" s="139"/>
      <c r="I390" s="139"/>
      <c r="J390" s="139"/>
      <c r="K390" s="139"/>
      <c r="L390" s="139"/>
      <c r="M390" s="139"/>
      <c r="N390" s="139"/>
      <c r="O390" s="140"/>
      <c r="P390" s="139"/>
      <c r="Q390" s="139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</row>
    <row r="391" spans="3:35">
      <c r="C391" s="142"/>
      <c r="D391" s="138"/>
      <c r="E391" s="138"/>
      <c r="F391" s="139"/>
      <c r="G391" s="139"/>
      <c r="H391" s="139"/>
      <c r="I391" s="139"/>
      <c r="J391" s="139"/>
      <c r="K391" s="139"/>
      <c r="L391" s="139"/>
      <c r="M391" s="139"/>
      <c r="N391" s="139"/>
      <c r="O391" s="140"/>
      <c r="P391" s="139"/>
      <c r="Q391" s="139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</row>
    <row r="392" spans="3:35">
      <c r="C392" s="142"/>
      <c r="D392" s="138"/>
      <c r="E392" s="138"/>
      <c r="F392" s="139"/>
      <c r="G392" s="139"/>
      <c r="H392" s="139"/>
      <c r="I392" s="139"/>
      <c r="J392" s="139"/>
      <c r="K392" s="139"/>
      <c r="L392" s="139"/>
      <c r="M392" s="139"/>
      <c r="N392" s="139"/>
      <c r="O392" s="140"/>
      <c r="P392" s="139"/>
      <c r="Q392" s="139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</row>
    <row r="393" spans="3:35">
      <c r="C393" s="142"/>
      <c r="D393" s="138"/>
      <c r="E393" s="138"/>
      <c r="F393" s="139"/>
      <c r="G393" s="139"/>
      <c r="H393" s="139"/>
      <c r="I393" s="139"/>
      <c r="J393" s="139"/>
      <c r="K393" s="139"/>
      <c r="L393" s="139"/>
      <c r="M393" s="139"/>
      <c r="N393" s="139"/>
      <c r="O393" s="140"/>
      <c r="P393" s="139"/>
      <c r="Q393" s="139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</row>
    <row r="394" spans="3:35">
      <c r="C394" s="142"/>
      <c r="D394" s="138"/>
      <c r="E394" s="138"/>
      <c r="F394" s="139"/>
      <c r="G394" s="139"/>
      <c r="H394" s="139"/>
      <c r="I394" s="139"/>
      <c r="J394" s="139"/>
      <c r="K394" s="139"/>
      <c r="L394" s="139"/>
      <c r="M394" s="139"/>
      <c r="N394" s="139"/>
      <c r="O394" s="140"/>
      <c r="P394" s="139"/>
      <c r="Q394" s="139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</row>
    <row r="395" spans="3:35">
      <c r="C395" s="142"/>
      <c r="D395" s="138"/>
      <c r="E395" s="138"/>
      <c r="F395" s="139"/>
      <c r="G395" s="139"/>
      <c r="H395" s="139"/>
      <c r="I395" s="139"/>
      <c r="J395" s="139"/>
      <c r="K395" s="139"/>
      <c r="L395" s="139"/>
      <c r="M395" s="139"/>
      <c r="N395" s="139"/>
      <c r="O395" s="140"/>
      <c r="P395" s="139"/>
      <c r="Q395" s="139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</row>
    <row r="396" spans="3:35">
      <c r="C396" s="142"/>
      <c r="D396" s="138"/>
      <c r="E396" s="138"/>
      <c r="F396" s="139"/>
      <c r="G396" s="139"/>
      <c r="H396" s="139"/>
      <c r="I396" s="139"/>
      <c r="J396" s="139"/>
      <c r="K396" s="139"/>
      <c r="L396" s="139"/>
      <c r="M396" s="139"/>
      <c r="N396" s="139"/>
      <c r="O396" s="140"/>
      <c r="P396" s="139"/>
      <c r="Q396" s="139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</row>
    <row r="397" spans="3:35">
      <c r="C397" s="142"/>
      <c r="D397" s="138"/>
      <c r="E397" s="138"/>
      <c r="F397" s="139"/>
      <c r="G397" s="139"/>
      <c r="H397" s="139"/>
      <c r="I397" s="139"/>
      <c r="J397" s="139"/>
      <c r="K397" s="139"/>
      <c r="L397" s="139"/>
      <c r="M397" s="139"/>
      <c r="N397" s="139"/>
      <c r="O397" s="140"/>
      <c r="P397" s="139"/>
      <c r="Q397" s="139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</row>
    <row r="398" spans="3:35">
      <c r="C398" s="142"/>
      <c r="D398" s="138"/>
      <c r="E398" s="138"/>
      <c r="F398" s="139"/>
      <c r="G398" s="139"/>
      <c r="H398" s="139"/>
      <c r="I398" s="139"/>
      <c r="J398" s="139"/>
      <c r="K398" s="139"/>
      <c r="L398" s="139"/>
      <c r="M398" s="139"/>
      <c r="N398" s="139"/>
      <c r="O398" s="140"/>
      <c r="P398" s="139"/>
      <c r="Q398" s="139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</row>
    <row r="399" spans="3:35">
      <c r="C399" s="142"/>
      <c r="D399" s="138"/>
      <c r="E399" s="138"/>
      <c r="F399" s="139"/>
      <c r="G399" s="139"/>
      <c r="H399" s="139"/>
      <c r="I399" s="139"/>
      <c r="J399" s="139"/>
      <c r="K399" s="139"/>
      <c r="L399" s="139"/>
      <c r="M399" s="139"/>
      <c r="N399" s="139"/>
      <c r="O399" s="140"/>
      <c r="P399" s="139"/>
      <c r="Q399" s="139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</row>
    <row r="400" spans="3:35">
      <c r="C400" s="142"/>
      <c r="D400" s="138"/>
      <c r="E400" s="138"/>
      <c r="F400" s="139"/>
      <c r="G400" s="139"/>
      <c r="H400" s="139"/>
      <c r="I400" s="139"/>
      <c r="J400" s="139"/>
      <c r="K400" s="139"/>
      <c r="L400" s="139"/>
      <c r="M400" s="139"/>
      <c r="N400" s="139"/>
      <c r="O400" s="140"/>
      <c r="P400" s="139"/>
      <c r="Q400" s="139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</row>
    <row r="401" spans="3:35">
      <c r="C401" s="142"/>
      <c r="D401" s="138"/>
      <c r="E401" s="138"/>
      <c r="F401" s="139"/>
      <c r="G401" s="139"/>
      <c r="H401" s="139"/>
      <c r="I401" s="139"/>
      <c r="J401" s="139"/>
      <c r="K401" s="139"/>
      <c r="L401" s="139"/>
      <c r="M401" s="139"/>
      <c r="N401" s="139"/>
      <c r="O401" s="140"/>
      <c r="P401" s="139"/>
      <c r="Q401" s="139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</row>
    <row r="402" spans="3:35">
      <c r="C402" s="142"/>
      <c r="D402" s="138"/>
      <c r="E402" s="138"/>
      <c r="F402" s="139"/>
      <c r="G402" s="139"/>
      <c r="H402" s="139"/>
      <c r="I402" s="139"/>
      <c r="J402" s="139"/>
      <c r="K402" s="139"/>
      <c r="L402" s="139"/>
      <c r="M402" s="139"/>
      <c r="N402" s="139"/>
      <c r="O402" s="140"/>
      <c r="P402" s="139"/>
      <c r="Q402" s="139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</row>
    <row r="403" spans="3:35">
      <c r="C403" s="142"/>
      <c r="D403" s="138"/>
      <c r="E403" s="138"/>
      <c r="F403" s="139"/>
      <c r="G403" s="139"/>
      <c r="H403" s="139"/>
      <c r="I403" s="139"/>
      <c r="J403" s="139"/>
      <c r="K403" s="139"/>
      <c r="L403" s="139"/>
      <c r="M403" s="139"/>
      <c r="N403" s="139"/>
      <c r="O403" s="140"/>
      <c r="P403" s="139"/>
      <c r="Q403" s="139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</row>
    <row r="404" spans="3:35">
      <c r="C404" s="142"/>
      <c r="D404" s="138"/>
      <c r="E404" s="138"/>
      <c r="F404" s="139"/>
      <c r="G404" s="139"/>
      <c r="H404" s="139"/>
      <c r="I404" s="139"/>
      <c r="J404" s="139"/>
      <c r="K404" s="139"/>
      <c r="L404" s="139"/>
      <c r="M404" s="139"/>
      <c r="N404" s="139"/>
      <c r="O404" s="140"/>
      <c r="P404" s="139"/>
      <c r="Q404" s="139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</row>
    <row r="405" spans="3:35">
      <c r="C405" s="142"/>
      <c r="D405" s="138"/>
      <c r="E405" s="138"/>
      <c r="F405" s="139"/>
      <c r="G405" s="139"/>
      <c r="H405" s="139"/>
      <c r="I405" s="139"/>
      <c r="J405" s="139"/>
      <c r="K405" s="139"/>
      <c r="L405" s="139"/>
      <c r="M405" s="139"/>
      <c r="N405" s="139"/>
      <c r="O405" s="140"/>
      <c r="P405" s="139"/>
      <c r="Q405" s="139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</row>
    <row r="406" spans="3:35">
      <c r="C406" s="142"/>
      <c r="D406" s="138"/>
      <c r="E406" s="138"/>
      <c r="F406" s="139"/>
      <c r="G406" s="139"/>
      <c r="H406" s="139"/>
      <c r="I406" s="139"/>
      <c r="J406" s="139"/>
      <c r="K406" s="139"/>
      <c r="L406" s="139"/>
      <c r="M406" s="139"/>
      <c r="N406" s="139"/>
      <c r="O406" s="140"/>
      <c r="P406" s="139"/>
      <c r="Q406" s="139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</row>
    <row r="407" spans="3:35">
      <c r="C407" s="142"/>
      <c r="D407" s="138"/>
      <c r="E407" s="138"/>
      <c r="F407" s="139"/>
      <c r="G407" s="139"/>
      <c r="H407" s="139"/>
      <c r="I407" s="139"/>
      <c r="J407" s="139"/>
      <c r="K407" s="139"/>
      <c r="L407" s="139"/>
      <c r="M407" s="139"/>
      <c r="N407" s="139"/>
      <c r="O407" s="140"/>
      <c r="P407" s="139"/>
      <c r="Q407" s="139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</row>
    <row r="408" spans="3:35">
      <c r="C408" s="142"/>
      <c r="D408" s="138"/>
      <c r="E408" s="138"/>
      <c r="F408" s="139"/>
      <c r="G408" s="139"/>
      <c r="H408" s="139"/>
      <c r="I408" s="139"/>
      <c r="J408" s="139"/>
      <c r="K408" s="139"/>
      <c r="L408" s="139"/>
      <c r="M408" s="139"/>
      <c r="N408" s="139"/>
      <c r="O408" s="140"/>
      <c r="P408" s="139"/>
      <c r="Q408" s="139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</row>
    <row r="409" spans="3:35">
      <c r="C409" s="142"/>
      <c r="D409" s="138"/>
      <c r="E409" s="138"/>
      <c r="F409" s="139"/>
      <c r="G409" s="139"/>
      <c r="H409" s="139"/>
      <c r="I409" s="139"/>
      <c r="J409" s="139"/>
      <c r="K409" s="139"/>
      <c r="L409" s="139"/>
      <c r="M409" s="139"/>
      <c r="N409" s="139"/>
      <c r="O409" s="140"/>
      <c r="P409" s="139"/>
      <c r="Q409" s="139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</row>
    <row r="410" spans="3:35">
      <c r="C410" s="142"/>
      <c r="D410" s="138"/>
      <c r="E410" s="138"/>
      <c r="F410" s="139"/>
      <c r="G410" s="139"/>
      <c r="H410" s="139"/>
      <c r="I410" s="139"/>
      <c r="J410" s="139"/>
      <c r="K410" s="139"/>
      <c r="L410" s="139"/>
      <c r="M410" s="139"/>
      <c r="N410" s="139"/>
      <c r="O410" s="140"/>
      <c r="P410" s="139"/>
      <c r="Q410" s="139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</row>
    <row r="411" spans="3:35">
      <c r="C411" s="142"/>
      <c r="D411" s="138"/>
      <c r="E411" s="138"/>
      <c r="F411" s="139"/>
      <c r="G411" s="139"/>
      <c r="H411" s="139"/>
      <c r="I411" s="139"/>
      <c r="J411" s="139"/>
      <c r="K411" s="139"/>
      <c r="L411" s="139"/>
      <c r="M411" s="139"/>
      <c r="N411" s="139"/>
      <c r="O411" s="140"/>
      <c r="P411" s="139"/>
      <c r="Q411" s="139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</row>
    <row r="412" spans="3:35">
      <c r="C412" s="142"/>
      <c r="D412" s="138"/>
      <c r="E412" s="138"/>
      <c r="F412" s="139"/>
      <c r="G412" s="139"/>
      <c r="H412" s="139"/>
      <c r="I412" s="139"/>
      <c r="J412" s="139"/>
      <c r="K412" s="139"/>
      <c r="L412" s="139"/>
      <c r="M412" s="139"/>
      <c r="N412" s="139"/>
      <c r="O412" s="140"/>
      <c r="P412" s="139"/>
      <c r="Q412" s="139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</row>
    <row r="413" spans="3:35">
      <c r="C413" s="142"/>
      <c r="D413" s="138"/>
      <c r="E413" s="138"/>
      <c r="F413" s="139"/>
      <c r="G413" s="139"/>
      <c r="H413" s="139"/>
      <c r="I413" s="139"/>
      <c r="J413" s="139"/>
      <c r="K413" s="139"/>
      <c r="L413" s="139"/>
      <c r="M413" s="139"/>
      <c r="N413" s="139"/>
      <c r="O413" s="140"/>
      <c r="P413" s="139"/>
      <c r="Q413" s="139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</row>
    <row r="414" spans="3:35">
      <c r="C414" s="142"/>
      <c r="D414" s="138"/>
      <c r="E414" s="138"/>
      <c r="F414" s="139"/>
      <c r="G414" s="139"/>
      <c r="H414" s="139"/>
      <c r="I414" s="139"/>
      <c r="J414" s="139"/>
      <c r="K414" s="139"/>
      <c r="L414" s="139"/>
      <c r="M414" s="139"/>
      <c r="N414" s="139"/>
      <c r="O414" s="140"/>
      <c r="P414" s="139"/>
      <c r="Q414" s="139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</row>
    <row r="415" spans="3:35">
      <c r="C415" s="142"/>
      <c r="D415" s="138"/>
      <c r="E415" s="138"/>
      <c r="F415" s="139"/>
      <c r="G415" s="139"/>
      <c r="H415" s="139"/>
      <c r="I415" s="139"/>
      <c r="J415" s="139"/>
      <c r="K415" s="139"/>
      <c r="L415" s="139"/>
      <c r="M415" s="139"/>
      <c r="N415" s="139"/>
      <c r="O415" s="140"/>
      <c r="P415" s="139"/>
      <c r="Q415" s="139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</row>
    <row r="416" spans="3:35">
      <c r="C416" s="142"/>
      <c r="D416" s="138"/>
      <c r="E416" s="138"/>
      <c r="F416" s="139"/>
      <c r="G416" s="139"/>
      <c r="H416" s="139"/>
      <c r="I416" s="139"/>
      <c r="J416" s="139"/>
      <c r="K416" s="139"/>
      <c r="L416" s="139"/>
      <c r="M416" s="139"/>
      <c r="N416" s="139"/>
      <c r="O416" s="140"/>
      <c r="P416" s="139"/>
      <c r="Q416" s="139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</row>
    <row r="417" spans="3:35">
      <c r="C417" s="142"/>
      <c r="D417" s="138"/>
      <c r="E417" s="138"/>
      <c r="F417" s="139"/>
      <c r="G417" s="139"/>
      <c r="H417" s="139"/>
      <c r="I417" s="139"/>
      <c r="J417" s="139"/>
      <c r="K417" s="139"/>
      <c r="L417" s="139"/>
      <c r="M417" s="139"/>
      <c r="N417" s="139"/>
      <c r="O417" s="140"/>
      <c r="P417" s="139"/>
      <c r="Q417" s="139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</row>
    <row r="418" spans="3:35">
      <c r="C418" s="142"/>
      <c r="D418" s="138"/>
      <c r="E418" s="138"/>
      <c r="F418" s="139"/>
      <c r="G418" s="139"/>
      <c r="H418" s="139"/>
      <c r="I418" s="139"/>
      <c r="J418" s="139"/>
      <c r="K418" s="139"/>
      <c r="L418" s="139"/>
      <c r="M418" s="139"/>
      <c r="N418" s="139"/>
      <c r="O418" s="140"/>
      <c r="P418" s="139"/>
      <c r="Q418" s="139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</row>
    <row r="419" spans="3:35">
      <c r="C419" s="142"/>
      <c r="D419" s="138"/>
      <c r="E419" s="138"/>
      <c r="F419" s="139"/>
      <c r="G419" s="139"/>
      <c r="H419" s="139"/>
      <c r="I419" s="139"/>
      <c r="J419" s="139"/>
      <c r="K419" s="139"/>
      <c r="L419" s="139"/>
      <c r="M419" s="139"/>
      <c r="N419" s="139"/>
      <c r="O419" s="140"/>
      <c r="P419" s="139"/>
      <c r="Q419" s="139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</row>
    <row r="420" spans="3:35">
      <c r="C420" s="142"/>
      <c r="D420" s="138"/>
      <c r="E420" s="138"/>
      <c r="F420" s="139"/>
      <c r="G420" s="139"/>
      <c r="H420" s="139"/>
      <c r="I420" s="139"/>
      <c r="J420" s="139"/>
      <c r="K420" s="139"/>
      <c r="L420" s="139"/>
      <c r="M420" s="139"/>
      <c r="N420" s="139"/>
      <c r="O420" s="140"/>
      <c r="P420" s="139"/>
      <c r="Q420" s="139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</row>
    <row r="421" spans="3:35">
      <c r="C421" s="142"/>
      <c r="D421" s="138"/>
      <c r="E421" s="138"/>
      <c r="F421" s="139"/>
      <c r="G421" s="139"/>
      <c r="H421" s="139"/>
      <c r="I421" s="139"/>
      <c r="J421" s="139"/>
      <c r="K421" s="139"/>
      <c r="L421" s="139"/>
      <c r="M421" s="139"/>
      <c r="N421" s="139"/>
      <c r="O421" s="140"/>
      <c r="P421" s="139"/>
      <c r="Q421" s="139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</row>
    <row r="422" spans="3:35">
      <c r="C422" s="142"/>
      <c r="D422" s="138"/>
      <c r="E422" s="138"/>
      <c r="F422" s="139"/>
      <c r="G422" s="139"/>
      <c r="H422" s="139"/>
      <c r="I422" s="139"/>
      <c r="J422" s="139"/>
      <c r="K422" s="139"/>
      <c r="L422" s="139"/>
      <c r="M422" s="139"/>
      <c r="N422" s="139"/>
      <c r="O422" s="140"/>
      <c r="P422" s="139"/>
      <c r="Q422" s="139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</row>
    <row r="423" spans="3:35">
      <c r="C423" s="142"/>
      <c r="D423" s="138"/>
      <c r="E423" s="138"/>
      <c r="F423" s="139"/>
      <c r="G423" s="139"/>
      <c r="H423" s="139"/>
      <c r="I423" s="139"/>
      <c r="J423" s="139"/>
      <c r="K423" s="139"/>
      <c r="L423" s="139"/>
      <c r="M423" s="139"/>
      <c r="N423" s="139"/>
      <c r="O423" s="140"/>
      <c r="P423" s="139"/>
      <c r="Q423" s="139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</row>
    <row r="424" spans="3:35">
      <c r="C424" s="142"/>
      <c r="D424" s="138"/>
      <c r="E424" s="138"/>
      <c r="F424" s="139"/>
      <c r="G424" s="139"/>
      <c r="H424" s="139"/>
      <c r="I424" s="139"/>
      <c r="J424" s="139"/>
      <c r="K424" s="139"/>
      <c r="L424" s="139"/>
      <c r="M424" s="139"/>
      <c r="N424" s="139"/>
      <c r="O424" s="140"/>
      <c r="P424" s="139"/>
      <c r="Q424" s="139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</row>
    <row r="425" spans="3:35">
      <c r="C425" s="142"/>
      <c r="D425" s="138"/>
      <c r="E425" s="138"/>
      <c r="F425" s="139"/>
      <c r="G425" s="139"/>
      <c r="H425" s="139"/>
      <c r="I425" s="139"/>
      <c r="J425" s="139"/>
      <c r="K425" s="139"/>
      <c r="L425" s="139"/>
      <c r="M425" s="139"/>
      <c r="N425" s="139"/>
      <c r="O425" s="140"/>
      <c r="P425" s="139"/>
      <c r="Q425" s="139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</row>
    <row r="426" spans="3:35">
      <c r="C426" s="142"/>
      <c r="D426" s="138"/>
      <c r="E426" s="138"/>
      <c r="F426" s="139"/>
      <c r="G426" s="139"/>
      <c r="H426" s="139"/>
      <c r="I426" s="139"/>
      <c r="J426" s="139"/>
      <c r="K426" s="139"/>
      <c r="L426" s="139"/>
      <c r="M426" s="139"/>
      <c r="N426" s="139"/>
      <c r="O426" s="140"/>
      <c r="P426" s="139"/>
      <c r="Q426" s="139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</row>
    <row r="427" spans="3:35">
      <c r="C427" s="142"/>
      <c r="D427" s="138"/>
      <c r="E427" s="138"/>
      <c r="F427" s="139"/>
      <c r="G427" s="139"/>
      <c r="H427" s="139"/>
      <c r="I427" s="139"/>
      <c r="J427" s="139"/>
      <c r="K427" s="139"/>
      <c r="L427" s="139"/>
      <c r="M427" s="139"/>
      <c r="N427" s="139"/>
      <c r="O427" s="140"/>
      <c r="P427" s="139"/>
      <c r="Q427" s="139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</row>
    <row r="428" spans="3:35">
      <c r="C428" s="142"/>
      <c r="D428" s="138"/>
      <c r="E428" s="138"/>
      <c r="F428" s="139"/>
      <c r="G428" s="139"/>
      <c r="H428" s="139"/>
      <c r="I428" s="139"/>
      <c r="J428" s="139"/>
      <c r="K428" s="139"/>
      <c r="L428" s="139"/>
      <c r="M428" s="139"/>
      <c r="N428" s="139"/>
      <c r="O428" s="140"/>
      <c r="P428" s="139"/>
      <c r="Q428" s="139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</row>
    <row r="429" spans="3:35">
      <c r="C429" s="142"/>
      <c r="D429" s="138"/>
      <c r="E429" s="138"/>
      <c r="F429" s="139"/>
      <c r="G429" s="139"/>
      <c r="H429" s="139"/>
      <c r="I429" s="139"/>
      <c r="J429" s="139"/>
      <c r="K429" s="139"/>
      <c r="L429" s="139"/>
      <c r="M429" s="139"/>
      <c r="N429" s="139"/>
      <c r="O429" s="140"/>
      <c r="P429" s="139"/>
      <c r="Q429" s="139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</row>
    <row r="430" spans="3:35">
      <c r="C430" s="142"/>
      <c r="D430" s="138"/>
      <c r="E430" s="138"/>
      <c r="F430" s="139"/>
      <c r="G430" s="139"/>
      <c r="H430" s="139"/>
      <c r="I430" s="139"/>
      <c r="J430" s="139"/>
      <c r="K430" s="139"/>
      <c r="L430" s="139"/>
      <c r="M430" s="139"/>
      <c r="N430" s="139"/>
      <c r="O430" s="140"/>
      <c r="P430" s="139"/>
      <c r="Q430" s="139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</row>
    <row r="431" spans="3:35">
      <c r="C431" s="142"/>
      <c r="D431" s="138"/>
      <c r="E431" s="138"/>
      <c r="F431" s="139"/>
      <c r="G431" s="139"/>
      <c r="H431" s="139"/>
      <c r="I431" s="139"/>
      <c r="J431" s="139"/>
      <c r="K431" s="139"/>
      <c r="L431" s="139"/>
      <c r="M431" s="139"/>
      <c r="N431" s="139"/>
      <c r="O431" s="140"/>
      <c r="P431" s="139"/>
      <c r="Q431" s="139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</row>
    <row r="432" spans="3:35">
      <c r="C432" s="142"/>
      <c r="D432" s="138"/>
      <c r="E432" s="138"/>
      <c r="F432" s="139"/>
      <c r="G432" s="139"/>
      <c r="H432" s="139"/>
      <c r="I432" s="139"/>
      <c r="J432" s="139"/>
      <c r="K432" s="139"/>
      <c r="L432" s="139"/>
      <c r="M432" s="139"/>
      <c r="N432" s="139"/>
      <c r="O432" s="140"/>
      <c r="P432" s="139"/>
      <c r="Q432" s="139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</row>
    <row r="433" spans="3:35">
      <c r="C433" s="142"/>
      <c r="D433" s="138"/>
      <c r="E433" s="138"/>
      <c r="F433" s="139"/>
      <c r="G433" s="139"/>
      <c r="H433" s="139"/>
      <c r="I433" s="139"/>
      <c r="J433" s="139"/>
      <c r="K433" s="139"/>
      <c r="L433" s="139"/>
      <c r="M433" s="139"/>
      <c r="N433" s="139"/>
      <c r="O433" s="140"/>
      <c r="P433" s="139"/>
      <c r="Q433" s="139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</row>
    <row r="434" spans="3:35">
      <c r="C434" s="142"/>
      <c r="D434" s="138"/>
      <c r="E434" s="138"/>
      <c r="F434" s="139"/>
      <c r="G434" s="139"/>
      <c r="H434" s="139"/>
      <c r="I434" s="139"/>
      <c r="J434" s="139"/>
      <c r="K434" s="139"/>
      <c r="L434" s="139"/>
      <c r="M434" s="139"/>
      <c r="N434" s="139"/>
      <c r="O434" s="140"/>
      <c r="P434" s="139"/>
      <c r="Q434" s="139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</row>
    <row r="435" spans="3:35">
      <c r="C435" s="142"/>
      <c r="D435" s="138"/>
      <c r="E435" s="138"/>
      <c r="F435" s="139"/>
      <c r="G435" s="139"/>
      <c r="H435" s="139"/>
      <c r="I435" s="139"/>
      <c r="J435" s="139"/>
      <c r="K435" s="139"/>
      <c r="L435" s="139"/>
      <c r="M435" s="139"/>
      <c r="N435" s="139"/>
      <c r="O435" s="140"/>
      <c r="P435" s="139"/>
      <c r="Q435" s="139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</row>
    <row r="436" spans="3:35">
      <c r="C436" s="142"/>
      <c r="D436" s="138"/>
      <c r="E436" s="138"/>
      <c r="F436" s="139"/>
      <c r="G436" s="139"/>
      <c r="H436" s="139"/>
      <c r="I436" s="139"/>
      <c r="J436" s="139"/>
      <c r="K436" s="139"/>
      <c r="L436" s="139"/>
      <c r="M436" s="139"/>
      <c r="N436" s="139"/>
      <c r="O436" s="140"/>
      <c r="P436" s="139"/>
      <c r="Q436" s="139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</row>
    <row r="437" spans="3:35">
      <c r="C437" s="142"/>
      <c r="D437" s="138"/>
      <c r="E437" s="138"/>
      <c r="F437" s="139"/>
      <c r="G437" s="139"/>
      <c r="H437" s="139"/>
      <c r="I437" s="139"/>
      <c r="J437" s="139"/>
      <c r="K437" s="139"/>
      <c r="L437" s="139"/>
      <c r="M437" s="139"/>
      <c r="N437" s="139"/>
      <c r="O437" s="140"/>
      <c r="P437" s="139"/>
      <c r="Q437" s="139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</row>
    <row r="438" spans="3:35">
      <c r="C438" s="142"/>
      <c r="D438" s="138"/>
      <c r="E438" s="138"/>
      <c r="F438" s="139"/>
      <c r="G438" s="139"/>
      <c r="H438" s="139"/>
      <c r="I438" s="139"/>
      <c r="J438" s="139"/>
      <c r="K438" s="139"/>
      <c r="L438" s="139"/>
      <c r="M438" s="139"/>
      <c r="N438" s="139"/>
      <c r="O438" s="140"/>
      <c r="P438" s="139"/>
      <c r="Q438" s="139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</row>
    <row r="439" spans="3:35">
      <c r="C439" s="142"/>
      <c r="D439" s="138"/>
      <c r="E439" s="138"/>
      <c r="F439" s="139"/>
      <c r="G439" s="139"/>
      <c r="H439" s="139"/>
      <c r="I439" s="139"/>
      <c r="J439" s="139"/>
      <c r="K439" s="139"/>
      <c r="L439" s="139"/>
      <c r="M439" s="139"/>
      <c r="N439" s="139"/>
      <c r="O439" s="140"/>
      <c r="P439" s="139"/>
      <c r="Q439" s="139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</row>
    <row r="440" spans="3:35">
      <c r="C440" s="142"/>
      <c r="D440" s="138"/>
      <c r="E440" s="138"/>
      <c r="F440" s="139"/>
      <c r="G440" s="139"/>
      <c r="H440" s="139"/>
      <c r="I440" s="139"/>
      <c r="J440" s="139"/>
      <c r="K440" s="139"/>
      <c r="L440" s="139"/>
      <c r="M440" s="139"/>
      <c r="N440" s="139"/>
      <c r="O440" s="140"/>
      <c r="P440" s="139"/>
      <c r="Q440" s="139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</row>
    <row r="441" spans="3:35">
      <c r="C441" s="142"/>
      <c r="D441" s="138"/>
      <c r="E441" s="138"/>
      <c r="F441" s="139"/>
      <c r="G441" s="139"/>
      <c r="H441" s="139"/>
      <c r="I441" s="139"/>
      <c r="J441" s="139"/>
      <c r="K441" s="139"/>
      <c r="L441" s="139"/>
      <c r="M441" s="139"/>
      <c r="N441" s="139"/>
      <c r="O441" s="140"/>
      <c r="P441" s="139"/>
      <c r="Q441" s="139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</row>
    <row r="442" spans="3:35">
      <c r="C442" s="142"/>
      <c r="D442" s="138"/>
      <c r="E442" s="138"/>
      <c r="F442" s="139"/>
      <c r="G442" s="139"/>
      <c r="H442" s="139"/>
      <c r="I442" s="139"/>
      <c r="J442" s="139"/>
      <c r="K442" s="139"/>
      <c r="L442" s="139"/>
      <c r="M442" s="139"/>
      <c r="N442" s="139"/>
      <c r="O442" s="140"/>
      <c r="P442" s="139"/>
      <c r="Q442" s="139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</row>
    <row r="443" spans="3:35">
      <c r="C443" s="142"/>
      <c r="D443" s="138"/>
      <c r="E443" s="138"/>
      <c r="F443" s="139"/>
      <c r="G443" s="139"/>
      <c r="H443" s="139"/>
      <c r="I443" s="139"/>
      <c r="J443" s="139"/>
      <c r="K443" s="139"/>
      <c r="L443" s="139"/>
      <c r="M443" s="139"/>
      <c r="N443" s="139"/>
      <c r="O443" s="140"/>
      <c r="P443" s="139"/>
      <c r="Q443" s="139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</row>
    <row r="444" spans="3:35">
      <c r="C444" s="142"/>
      <c r="D444" s="138"/>
      <c r="E444" s="138"/>
      <c r="F444" s="139"/>
      <c r="G444" s="139"/>
      <c r="H444" s="139"/>
      <c r="I444" s="139"/>
      <c r="J444" s="139"/>
      <c r="K444" s="139"/>
      <c r="L444" s="139"/>
      <c r="M444" s="139"/>
      <c r="N444" s="139"/>
      <c r="O444" s="140"/>
      <c r="P444" s="139"/>
      <c r="Q444" s="139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</row>
    <row r="445" spans="3:35">
      <c r="C445" s="142"/>
      <c r="D445" s="138"/>
      <c r="E445" s="138"/>
      <c r="F445" s="139"/>
      <c r="G445" s="139"/>
      <c r="H445" s="139"/>
      <c r="I445" s="139"/>
      <c r="J445" s="139"/>
      <c r="K445" s="139"/>
      <c r="L445" s="139"/>
      <c r="M445" s="139"/>
      <c r="N445" s="139"/>
      <c r="O445" s="140"/>
      <c r="P445" s="139"/>
      <c r="Q445" s="139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</row>
    <row r="446" spans="3:35">
      <c r="C446" s="142"/>
      <c r="D446" s="138"/>
      <c r="E446" s="138"/>
      <c r="F446" s="139"/>
      <c r="G446" s="139"/>
      <c r="H446" s="139"/>
      <c r="I446" s="139"/>
      <c r="J446" s="139"/>
      <c r="K446" s="139"/>
      <c r="L446" s="139"/>
      <c r="M446" s="139"/>
      <c r="N446" s="139"/>
      <c r="O446" s="140"/>
      <c r="P446" s="139"/>
      <c r="Q446" s="139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</row>
    <row r="447" spans="3:35">
      <c r="C447" s="142"/>
      <c r="D447" s="138"/>
      <c r="E447" s="138"/>
      <c r="F447" s="139"/>
      <c r="G447" s="139"/>
      <c r="H447" s="139"/>
      <c r="I447" s="139"/>
      <c r="J447" s="139"/>
      <c r="K447" s="139"/>
      <c r="L447" s="139"/>
      <c r="M447" s="139"/>
      <c r="N447" s="139"/>
      <c r="O447" s="140"/>
      <c r="P447" s="139"/>
      <c r="Q447" s="139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</row>
    <row r="448" spans="3:35">
      <c r="C448" s="142"/>
      <c r="D448" s="138"/>
      <c r="E448" s="138"/>
      <c r="F448" s="139"/>
      <c r="G448" s="139"/>
      <c r="H448" s="139"/>
      <c r="I448" s="139"/>
      <c r="J448" s="139"/>
      <c r="K448" s="139"/>
      <c r="L448" s="139"/>
      <c r="M448" s="139"/>
      <c r="N448" s="139"/>
      <c r="O448" s="140"/>
      <c r="P448" s="139"/>
      <c r="Q448" s="139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</row>
    <row r="449" spans="1:35">
      <c r="C449" s="142"/>
      <c r="D449" s="138"/>
      <c r="E449" s="138"/>
      <c r="F449" s="139"/>
      <c r="G449" s="139"/>
      <c r="H449" s="139"/>
      <c r="I449" s="139"/>
      <c r="J449" s="139"/>
      <c r="K449" s="139"/>
      <c r="L449" s="139"/>
      <c r="M449" s="139"/>
      <c r="N449" s="139"/>
      <c r="O449" s="140"/>
      <c r="P449" s="139"/>
      <c r="Q449" s="139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</row>
    <row r="450" spans="1:35">
      <c r="C450" s="142"/>
      <c r="D450" s="138"/>
      <c r="E450" s="138"/>
      <c r="F450" s="139"/>
      <c r="G450" s="139"/>
      <c r="H450" s="139"/>
      <c r="I450" s="139"/>
      <c r="J450" s="139"/>
      <c r="K450" s="139"/>
      <c r="L450" s="139"/>
      <c r="M450" s="139"/>
      <c r="N450" s="139"/>
      <c r="O450" s="140"/>
      <c r="P450" s="139"/>
      <c r="Q450" s="139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</row>
    <row r="451" spans="1:35">
      <c r="C451" s="142"/>
      <c r="D451" s="138"/>
      <c r="E451" s="138"/>
      <c r="F451" s="139"/>
      <c r="G451" s="139"/>
      <c r="H451" s="139"/>
      <c r="I451" s="139"/>
      <c r="J451" s="139"/>
      <c r="K451" s="139"/>
      <c r="L451" s="139"/>
      <c r="M451" s="139"/>
      <c r="N451" s="139"/>
      <c r="O451" s="140"/>
      <c r="P451" s="139"/>
      <c r="Q451" s="139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</row>
    <row r="452" spans="1:35">
      <c r="C452" s="142"/>
      <c r="D452" s="138"/>
      <c r="E452" s="138"/>
      <c r="F452" s="139"/>
      <c r="G452" s="139"/>
      <c r="H452" s="139"/>
      <c r="I452" s="139"/>
      <c r="J452" s="139"/>
      <c r="K452" s="139"/>
      <c r="L452" s="139"/>
      <c r="M452" s="139"/>
      <c r="N452" s="139"/>
      <c r="O452" s="140"/>
      <c r="P452" s="139"/>
      <c r="Q452" s="139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</row>
    <row r="453" spans="1:35">
      <c r="C453" s="142"/>
      <c r="D453" s="138"/>
      <c r="E453" s="138"/>
      <c r="F453" s="139"/>
      <c r="G453" s="139"/>
      <c r="H453" s="139"/>
      <c r="I453" s="139"/>
      <c r="J453" s="139"/>
      <c r="K453" s="139"/>
      <c r="L453" s="139"/>
      <c r="M453" s="139"/>
      <c r="N453" s="139"/>
      <c r="O453" s="140"/>
      <c r="P453" s="139"/>
      <c r="Q453" s="139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</row>
    <row r="454" spans="1:35">
      <c r="C454" s="142"/>
      <c r="D454" s="138"/>
      <c r="E454" s="138"/>
      <c r="F454" s="139"/>
      <c r="G454" s="139"/>
      <c r="H454" s="139"/>
      <c r="I454" s="139"/>
      <c r="J454" s="139"/>
      <c r="K454" s="139"/>
      <c r="L454" s="139"/>
      <c r="M454" s="139"/>
      <c r="N454" s="139"/>
      <c r="O454" s="140"/>
      <c r="P454" s="139"/>
      <c r="Q454" s="139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</row>
    <row r="455" spans="1:35">
      <c r="A455" s="143"/>
      <c r="B455" s="143"/>
      <c r="C455" s="43"/>
      <c r="D455" s="138"/>
      <c r="E455" s="138"/>
      <c r="F455" s="139"/>
      <c r="G455" s="139"/>
      <c r="H455" s="139"/>
      <c r="I455" s="139"/>
      <c r="J455" s="139"/>
      <c r="K455" s="139"/>
      <c r="L455" s="139"/>
      <c r="M455" s="139"/>
      <c r="N455" s="139"/>
      <c r="O455" s="140"/>
      <c r="P455" s="139"/>
      <c r="Q455" s="139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</row>
    <row r="456" spans="1:35">
      <c r="A456" s="143"/>
      <c r="B456" s="143"/>
      <c r="C456" s="43"/>
      <c r="D456" s="138"/>
      <c r="E456" s="138"/>
      <c r="F456" s="139"/>
      <c r="G456" s="139"/>
      <c r="H456" s="139"/>
      <c r="I456" s="139"/>
      <c r="J456" s="139"/>
      <c r="K456" s="139"/>
      <c r="L456" s="139"/>
      <c r="M456" s="139"/>
      <c r="N456" s="139"/>
      <c r="O456" s="140"/>
      <c r="P456" s="139"/>
      <c r="Q456" s="139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</row>
    <row r="457" spans="1:35">
      <c r="A457" s="143"/>
      <c r="B457" s="143"/>
      <c r="C457" s="43"/>
      <c r="D457" s="138"/>
      <c r="E457" s="138"/>
      <c r="F457" s="139"/>
      <c r="G457" s="139"/>
      <c r="H457" s="139"/>
      <c r="I457" s="139"/>
      <c r="J457" s="139"/>
      <c r="K457" s="139"/>
      <c r="L457" s="139"/>
      <c r="M457" s="139"/>
      <c r="N457" s="139"/>
      <c r="O457" s="140"/>
      <c r="P457" s="139"/>
      <c r="Q457" s="139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</row>
    <row r="458" spans="1:35">
      <c r="A458" s="143"/>
      <c r="B458" s="143"/>
      <c r="C458" s="43"/>
      <c r="D458" s="138"/>
      <c r="E458" s="138"/>
      <c r="F458" s="139"/>
      <c r="G458" s="139"/>
      <c r="H458" s="139"/>
      <c r="I458" s="139"/>
      <c r="J458" s="139"/>
      <c r="K458" s="139"/>
      <c r="L458" s="139"/>
      <c r="M458" s="139"/>
      <c r="N458" s="139"/>
      <c r="O458" s="140"/>
      <c r="P458" s="139"/>
      <c r="Q458" s="139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</row>
    <row r="459" spans="1:35">
      <c r="A459" s="143"/>
      <c r="B459" s="143"/>
      <c r="C459" s="43"/>
      <c r="D459" s="138"/>
      <c r="E459" s="138"/>
      <c r="F459" s="139"/>
      <c r="G459" s="139"/>
      <c r="H459" s="139"/>
      <c r="I459" s="139"/>
      <c r="J459" s="139"/>
      <c r="K459" s="139"/>
      <c r="L459" s="139"/>
      <c r="M459" s="139"/>
      <c r="N459" s="139"/>
      <c r="O459" s="140"/>
      <c r="P459" s="139"/>
      <c r="Q459" s="139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</row>
    <row r="460" spans="1:35">
      <c r="A460" s="143"/>
      <c r="B460" s="143"/>
      <c r="C460" s="43"/>
      <c r="D460" s="138"/>
      <c r="E460" s="138"/>
      <c r="F460" s="139"/>
      <c r="G460" s="139"/>
      <c r="H460" s="139"/>
      <c r="I460" s="139"/>
      <c r="J460" s="139"/>
      <c r="K460" s="139"/>
      <c r="L460" s="139"/>
      <c r="M460" s="139"/>
      <c r="N460" s="139"/>
      <c r="O460" s="140"/>
      <c r="P460" s="139"/>
      <c r="Q460" s="139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</row>
    <row r="461" spans="1:35">
      <c r="A461" s="143"/>
      <c r="B461" s="143"/>
      <c r="C461" s="43"/>
      <c r="D461" s="138"/>
      <c r="E461" s="138"/>
      <c r="F461" s="139"/>
      <c r="G461" s="139"/>
      <c r="H461" s="139"/>
      <c r="I461" s="139"/>
      <c r="J461" s="139"/>
      <c r="K461" s="139"/>
      <c r="L461" s="139"/>
      <c r="M461" s="139"/>
      <c r="N461" s="139"/>
      <c r="O461" s="140"/>
      <c r="P461" s="139"/>
      <c r="Q461" s="139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</row>
    <row r="462" spans="1:35">
      <c r="A462" s="143"/>
      <c r="B462" s="143"/>
      <c r="C462" s="43"/>
      <c r="D462" s="138"/>
      <c r="E462" s="138"/>
      <c r="F462" s="139"/>
      <c r="G462" s="139"/>
      <c r="H462" s="139"/>
      <c r="I462" s="139"/>
      <c r="J462" s="139"/>
      <c r="K462" s="139"/>
      <c r="L462" s="139"/>
      <c r="M462" s="139"/>
      <c r="N462" s="139"/>
      <c r="O462" s="140"/>
      <c r="P462" s="139"/>
      <c r="Q462" s="139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</row>
    <row r="463" spans="1:35">
      <c r="A463" s="143"/>
      <c r="B463" s="143"/>
      <c r="C463" s="43"/>
      <c r="D463" s="138"/>
      <c r="E463" s="138"/>
      <c r="F463" s="139"/>
      <c r="G463" s="139"/>
      <c r="H463" s="139"/>
      <c r="I463" s="139"/>
      <c r="J463" s="139"/>
      <c r="K463" s="139"/>
      <c r="L463" s="139"/>
      <c r="M463" s="139"/>
      <c r="N463" s="139"/>
      <c r="O463" s="140"/>
      <c r="P463" s="139"/>
      <c r="Q463" s="139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</row>
    <row r="464" spans="1:35">
      <c r="A464" s="143"/>
      <c r="B464" s="143"/>
      <c r="C464" s="43"/>
      <c r="D464" s="138"/>
      <c r="E464" s="138"/>
      <c r="F464" s="139"/>
      <c r="G464" s="139"/>
      <c r="H464" s="139"/>
      <c r="I464" s="139"/>
      <c r="J464" s="139"/>
      <c r="K464" s="139"/>
      <c r="L464" s="139"/>
      <c r="M464" s="139"/>
      <c r="N464" s="139"/>
      <c r="O464" s="140"/>
      <c r="P464" s="139"/>
      <c r="Q464" s="139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</row>
    <row r="465" spans="1:35">
      <c r="A465" s="143"/>
      <c r="B465" s="143"/>
      <c r="C465" s="43"/>
      <c r="D465" s="138"/>
      <c r="E465" s="138"/>
      <c r="F465" s="139"/>
      <c r="G465" s="139"/>
      <c r="H465" s="139"/>
      <c r="I465" s="139"/>
      <c r="J465" s="139"/>
      <c r="K465" s="139"/>
      <c r="L465" s="139"/>
      <c r="M465" s="139"/>
      <c r="N465" s="139"/>
      <c r="O465" s="140"/>
      <c r="P465" s="139"/>
      <c r="Q465" s="139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</row>
    <row r="466" spans="1:35">
      <c r="A466" s="143"/>
      <c r="B466" s="143"/>
      <c r="C466" s="43"/>
      <c r="D466" s="138"/>
      <c r="E466" s="138"/>
      <c r="F466" s="139"/>
      <c r="G466" s="139"/>
      <c r="H466" s="139"/>
      <c r="I466" s="139"/>
      <c r="J466" s="139"/>
      <c r="K466" s="139"/>
      <c r="L466" s="139"/>
      <c r="M466" s="139"/>
      <c r="N466" s="139"/>
      <c r="O466" s="140"/>
      <c r="P466" s="139"/>
      <c r="Q466" s="139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</row>
    <row r="467" spans="1:35">
      <c r="A467" s="143"/>
      <c r="B467" s="143"/>
      <c r="C467" s="43"/>
      <c r="D467" s="138"/>
      <c r="E467" s="138"/>
      <c r="F467" s="139"/>
      <c r="G467" s="139"/>
      <c r="H467" s="139"/>
      <c r="I467" s="139"/>
      <c r="J467" s="139"/>
      <c r="K467" s="139"/>
      <c r="L467" s="139"/>
      <c r="M467" s="139"/>
      <c r="N467" s="139"/>
      <c r="O467" s="140"/>
      <c r="P467" s="139"/>
      <c r="Q467" s="139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</row>
    <row r="468" spans="1:35">
      <c r="A468" s="143"/>
      <c r="B468" s="143"/>
      <c r="C468" s="43"/>
      <c r="D468" s="138"/>
      <c r="E468" s="138"/>
      <c r="F468" s="139"/>
      <c r="G468" s="139"/>
      <c r="H468" s="139"/>
      <c r="I468" s="139"/>
      <c r="J468" s="139"/>
      <c r="K468" s="139"/>
      <c r="L468" s="139"/>
      <c r="M468" s="139"/>
      <c r="N468" s="139"/>
      <c r="O468" s="140"/>
      <c r="P468" s="139"/>
      <c r="Q468" s="139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</row>
    <row r="469" spans="1:35">
      <c r="A469" s="143"/>
      <c r="B469" s="143"/>
      <c r="C469" s="43"/>
      <c r="D469" s="138"/>
      <c r="E469" s="138"/>
      <c r="F469" s="139"/>
      <c r="G469" s="139"/>
      <c r="H469" s="139"/>
      <c r="I469" s="139"/>
      <c r="J469" s="139"/>
      <c r="K469" s="139"/>
      <c r="L469" s="139"/>
      <c r="M469" s="139"/>
      <c r="N469" s="139"/>
      <c r="O469" s="140"/>
      <c r="P469" s="139"/>
      <c r="Q469" s="139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</row>
    <row r="470" spans="1:35">
      <c r="A470" s="143"/>
      <c r="B470" s="143"/>
      <c r="C470" s="43"/>
      <c r="D470" s="138"/>
      <c r="E470" s="138"/>
      <c r="F470" s="139"/>
      <c r="G470" s="139"/>
      <c r="H470" s="139"/>
      <c r="I470" s="139"/>
      <c r="J470" s="139"/>
      <c r="K470" s="139"/>
      <c r="L470" s="139"/>
      <c r="M470" s="139"/>
      <c r="N470" s="139"/>
      <c r="O470" s="140"/>
      <c r="P470" s="139"/>
      <c r="Q470" s="139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</row>
    <row r="471" spans="1:35">
      <c r="A471" s="143"/>
      <c r="B471" s="143"/>
      <c r="C471" s="43"/>
      <c r="D471" s="138"/>
      <c r="E471" s="138"/>
      <c r="F471" s="139"/>
      <c r="G471" s="139"/>
      <c r="H471" s="139"/>
      <c r="I471" s="139"/>
      <c r="J471" s="139"/>
      <c r="K471" s="139"/>
      <c r="L471" s="139"/>
      <c r="M471" s="139"/>
      <c r="N471" s="139"/>
      <c r="O471" s="140"/>
      <c r="P471" s="139"/>
      <c r="Q471" s="139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</row>
    <row r="472" spans="1:35">
      <c r="A472" s="143"/>
      <c r="B472" s="143"/>
      <c r="C472" s="43"/>
      <c r="D472" s="138"/>
      <c r="E472" s="138"/>
      <c r="F472" s="139"/>
      <c r="G472" s="139"/>
      <c r="H472" s="139"/>
      <c r="I472" s="139"/>
      <c r="J472" s="139"/>
      <c r="K472" s="139"/>
      <c r="L472" s="139"/>
      <c r="M472" s="139"/>
      <c r="N472" s="139"/>
      <c r="O472" s="140"/>
      <c r="P472" s="139"/>
      <c r="Q472" s="139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</row>
    <row r="473" spans="1:35">
      <c r="A473" s="143"/>
      <c r="B473" s="143"/>
      <c r="C473" s="43"/>
      <c r="D473" s="138"/>
      <c r="E473" s="138"/>
      <c r="F473" s="139"/>
      <c r="G473" s="139"/>
      <c r="H473" s="139"/>
      <c r="I473" s="139"/>
      <c r="J473" s="139"/>
      <c r="K473" s="139"/>
      <c r="L473" s="139"/>
      <c r="M473" s="139"/>
      <c r="N473" s="139"/>
      <c r="O473" s="140"/>
      <c r="P473" s="139"/>
      <c r="Q473" s="139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</row>
    <row r="474" spans="1:35">
      <c r="A474" s="143"/>
      <c r="B474" s="143"/>
      <c r="C474" s="43"/>
      <c r="D474" s="138"/>
      <c r="E474" s="138"/>
      <c r="F474" s="139"/>
      <c r="G474" s="139"/>
      <c r="H474" s="139"/>
      <c r="I474" s="139"/>
      <c r="J474" s="139"/>
      <c r="K474" s="139"/>
      <c r="L474" s="139"/>
      <c r="M474" s="139"/>
      <c r="N474" s="139"/>
      <c r="O474" s="140"/>
      <c r="P474" s="139"/>
      <c r="Q474" s="139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</row>
    <row r="475" spans="1:35">
      <c r="A475" s="143"/>
      <c r="B475" s="143"/>
      <c r="C475" s="43"/>
      <c r="D475" s="138"/>
      <c r="E475" s="138"/>
      <c r="F475" s="139"/>
      <c r="G475" s="139"/>
      <c r="H475" s="139"/>
      <c r="I475" s="139"/>
      <c r="J475" s="139"/>
      <c r="K475" s="139"/>
      <c r="L475" s="139"/>
      <c r="M475" s="139"/>
      <c r="N475" s="139"/>
      <c r="O475" s="140"/>
      <c r="P475" s="139"/>
      <c r="Q475" s="139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</row>
    <row r="476" spans="1:35">
      <c r="A476" s="143"/>
      <c r="B476" s="143"/>
      <c r="C476" s="43"/>
      <c r="D476" s="138"/>
      <c r="E476" s="138"/>
      <c r="F476" s="139"/>
      <c r="G476" s="139"/>
      <c r="H476" s="139"/>
      <c r="I476" s="139"/>
      <c r="J476" s="139"/>
      <c r="K476" s="139"/>
      <c r="L476" s="139"/>
      <c r="M476" s="139"/>
      <c r="N476" s="139"/>
      <c r="O476" s="140"/>
      <c r="P476" s="139"/>
      <c r="Q476" s="139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</row>
    <row r="477" spans="1:35">
      <c r="A477" s="143"/>
      <c r="B477" s="143"/>
      <c r="C477" s="43"/>
      <c r="D477" s="138"/>
      <c r="E477" s="138"/>
      <c r="F477" s="139"/>
      <c r="G477" s="139"/>
      <c r="H477" s="139"/>
      <c r="I477" s="139"/>
      <c r="J477" s="139"/>
      <c r="K477" s="139"/>
      <c r="L477" s="139"/>
      <c r="M477" s="139"/>
      <c r="N477" s="139"/>
      <c r="O477" s="140"/>
      <c r="P477" s="139"/>
      <c r="Q477" s="139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</row>
    <row r="478" spans="1:35">
      <c r="A478" s="143"/>
      <c r="B478" s="143"/>
      <c r="C478" s="43"/>
      <c r="D478" s="138"/>
      <c r="E478" s="138"/>
      <c r="F478" s="139"/>
      <c r="G478" s="139"/>
      <c r="H478" s="139"/>
      <c r="I478" s="139"/>
      <c r="J478" s="139"/>
      <c r="K478" s="139"/>
      <c r="L478" s="139"/>
      <c r="M478" s="139"/>
      <c r="N478" s="139"/>
      <c r="O478" s="140"/>
      <c r="P478" s="139"/>
      <c r="Q478" s="139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</row>
    <row r="479" spans="1:35">
      <c r="A479" s="143"/>
      <c r="B479" s="143"/>
      <c r="C479" s="43"/>
      <c r="D479" s="138"/>
      <c r="E479" s="138"/>
      <c r="F479" s="139"/>
      <c r="G479" s="139"/>
      <c r="H479" s="139"/>
      <c r="I479" s="139"/>
      <c r="J479" s="139"/>
      <c r="K479" s="139"/>
      <c r="L479" s="139"/>
      <c r="M479" s="139"/>
      <c r="N479" s="139"/>
      <c r="O479" s="140"/>
      <c r="P479" s="139"/>
      <c r="Q479" s="139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</row>
    <row r="480" spans="1:35">
      <c r="A480" s="143"/>
      <c r="B480" s="143"/>
      <c r="C480" s="43"/>
      <c r="D480" s="138"/>
      <c r="E480" s="138"/>
      <c r="F480" s="139"/>
      <c r="G480" s="139"/>
      <c r="H480" s="139"/>
      <c r="I480" s="139"/>
      <c r="J480" s="139"/>
      <c r="K480" s="139"/>
      <c r="L480" s="139"/>
      <c r="M480" s="139"/>
      <c r="N480" s="139"/>
      <c r="O480" s="140"/>
      <c r="P480" s="139"/>
      <c r="Q480" s="139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</row>
    <row r="481" spans="1:35">
      <c r="A481" s="143"/>
      <c r="B481" s="143"/>
      <c r="C481" s="43"/>
      <c r="D481" s="138"/>
      <c r="E481" s="138"/>
      <c r="F481" s="139"/>
      <c r="G481" s="139"/>
      <c r="H481" s="139"/>
      <c r="I481" s="139"/>
      <c r="J481" s="139"/>
      <c r="K481" s="139"/>
      <c r="L481" s="139"/>
      <c r="M481" s="139"/>
      <c r="N481" s="139"/>
      <c r="O481" s="140"/>
      <c r="P481" s="139"/>
      <c r="Q481" s="139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</row>
    <row r="482" spans="1:35">
      <c r="A482" s="143"/>
      <c r="B482" s="143"/>
      <c r="C482" s="43"/>
      <c r="D482" s="138"/>
      <c r="E482" s="138"/>
      <c r="F482" s="139"/>
      <c r="G482" s="139"/>
      <c r="H482" s="139"/>
      <c r="I482" s="139"/>
      <c r="J482" s="139"/>
      <c r="K482" s="139"/>
      <c r="L482" s="139"/>
      <c r="M482" s="139"/>
      <c r="N482" s="139"/>
      <c r="O482" s="140"/>
      <c r="P482" s="139"/>
      <c r="Q482" s="139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</row>
    <row r="483" spans="1:35">
      <c r="A483" s="143"/>
      <c r="B483" s="143"/>
      <c r="C483" s="43"/>
      <c r="D483" s="138"/>
      <c r="E483" s="138"/>
      <c r="F483" s="139"/>
      <c r="G483" s="139"/>
      <c r="H483" s="139"/>
      <c r="I483" s="139"/>
      <c r="J483" s="139"/>
      <c r="K483" s="139"/>
      <c r="L483" s="139"/>
      <c r="M483" s="139"/>
      <c r="N483" s="139"/>
      <c r="O483" s="140"/>
      <c r="P483" s="139"/>
      <c r="Q483" s="139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</row>
    <row r="484" spans="1:35">
      <c r="A484" s="143"/>
      <c r="B484" s="143"/>
      <c r="C484" s="43"/>
      <c r="D484" s="138"/>
      <c r="E484" s="138"/>
      <c r="F484" s="139"/>
      <c r="G484" s="139"/>
      <c r="H484" s="139"/>
      <c r="I484" s="139"/>
      <c r="J484" s="139"/>
      <c r="K484" s="139"/>
      <c r="L484" s="139"/>
      <c r="M484" s="139"/>
      <c r="N484" s="139"/>
      <c r="O484" s="140"/>
      <c r="P484" s="139"/>
      <c r="Q484" s="139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</row>
    <row r="485" spans="1:35">
      <c r="A485" s="143"/>
      <c r="B485" s="143"/>
      <c r="C485" s="43"/>
      <c r="D485" s="138"/>
      <c r="E485" s="138"/>
      <c r="F485" s="139"/>
      <c r="G485" s="139"/>
      <c r="H485" s="139"/>
      <c r="I485" s="139"/>
      <c r="J485" s="139"/>
      <c r="K485" s="139"/>
      <c r="L485" s="139"/>
      <c r="M485" s="139"/>
      <c r="N485" s="139"/>
      <c r="O485" s="140"/>
      <c r="P485" s="139"/>
      <c r="Q485" s="139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</row>
    <row r="486" spans="1:35">
      <c r="A486" s="143"/>
      <c r="B486" s="143"/>
      <c r="C486" s="43"/>
      <c r="D486" s="138"/>
      <c r="E486" s="138"/>
      <c r="F486" s="139"/>
      <c r="G486" s="139"/>
      <c r="H486" s="139"/>
      <c r="I486" s="139"/>
      <c r="J486" s="139"/>
      <c r="K486" s="139"/>
      <c r="L486" s="139"/>
      <c r="M486" s="139"/>
      <c r="N486" s="139"/>
      <c r="O486" s="140"/>
      <c r="P486" s="139"/>
      <c r="Q486" s="139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</row>
    <row r="487" spans="1:35">
      <c r="A487" s="143"/>
      <c r="B487" s="143"/>
      <c r="C487" s="43"/>
      <c r="D487" s="138"/>
      <c r="E487" s="138"/>
      <c r="F487" s="139"/>
      <c r="G487" s="139"/>
      <c r="H487" s="139"/>
      <c r="I487" s="139"/>
      <c r="J487" s="139"/>
      <c r="K487" s="139"/>
      <c r="L487" s="139"/>
      <c r="M487" s="139"/>
      <c r="N487" s="139"/>
      <c r="O487" s="140"/>
      <c r="P487" s="139"/>
      <c r="Q487" s="139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</row>
    <row r="488" spans="1:35">
      <c r="A488" s="143"/>
      <c r="B488" s="143"/>
      <c r="C488" s="43"/>
      <c r="D488" s="138"/>
      <c r="E488" s="138"/>
      <c r="F488" s="139"/>
      <c r="G488" s="139"/>
      <c r="H488" s="139"/>
      <c r="I488" s="139"/>
      <c r="J488" s="139"/>
      <c r="K488" s="139"/>
      <c r="L488" s="139"/>
      <c r="M488" s="139"/>
      <c r="N488" s="139"/>
      <c r="O488" s="140"/>
      <c r="P488" s="139"/>
      <c r="Q488" s="139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</row>
    <row r="489" spans="1:35">
      <c r="A489" s="143"/>
      <c r="B489" s="143"/>
      <c r="C489" s="43"/>
      <c r="D489" s="138"/>
      <c r="E489" s="138"/>
      <c r="F489" s="139"/>
      <c r="G489" s="139"/>
      <c r="H489" s="139"/>
      <c r="I489" s="139"/>
      <c r="J489" s="139"/>
      <c r="K489" s="139"/>
      <c r="L489" s="139"/>
      <c r="M489" s="139"/>
      <c r="N489" s="139"/>
      <c r="O489" s="140"/>
      <c r="P489" s="139"/>
      <c r="Q489" s="139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</row>
    <row r="490" spans="1:35">
      <c r="A490" s="143"/>
      <c r="B490" s="143"/>
      <c r="C490" s="43"/>
      <c r="D490" s="138"/>
      <c r="E490" s="138"/>
      <c r="F490" s="139"/>
      <c r="G490" s="139"/>
      <c r="H490" s="139"/>
      <c r="I490" s="139"/>
      <c r="J490" s="139"/>
      <c r="K490" s="139"/>
      <c r="L490" s="139"/>
      <c r="M490" s="139"/>
      <c r="N490" s="139"/>
      <c r="O490" s="140"/>
      <c r="P490" s="139"/>
      <c r="Q490" s="139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</row>
    <row r="491" spans="1:35">
      <c r="A491" s="143"/>
      <c r="B491" s="143"/>
      <c r="C491" s="43"/>
      <c r="D491" s="138"/>
      <c r="E491" s="138"/>
      <c r="F491" s="139"/>
      <c r="G491" s="139"/>
      <c r="H491" s="139"/>
      <c r="I491" s="139"/>
      <c r="J491" s="139"/>
      <c r="K491" s="139"/>
      <c r="L491" s="139"/>
      <c r="M491" s="139"/>
      <c r="N491" s="139"/>
      <c r="O491" s="140"/>
      <c r="P491" s="139"/>
      <c r="Q491" s="139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</row>
    <row r="492" spans="1:35">
      <c r="A492" s="143"/>
      <c r="B492" s="143"/>
      <c r="C492" s="43"/>
      <c r="D492" s="138"/>
      <c r="E492" s="138"/>
      <c r="F492" s="139"/>
      <c r="G492" s="139"/>
      <c r="H492" s="139"/>
      <c r="I492" s="139"/>
      <c r="J492" s="139"/>
      <c r="K492" s="139"/>
      <c r="L492" s="139"/>
      <c r="M492" s="139"/>
      <c r="N492" s="139"/>
      <c r="O492" s="140"/>
      <c r="P492" s="139"/>
      <c r="Q492" s="139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</row>
    <row r="493" spans="1:35">
      <c r="A493" s="143"/>
      <c r="B493" s="143"/>
      <c r="C493" s="43"/>
      <c r="D493" s="138"/>
      <c r="E493" s="138"/>
      <c r="F493" s="139"/>
      <c r="G493" s="139"/>
      <c r="H493" s="139"/>
      <c r="I493" s="139"/>
      <c r="J493" s="139"/>
      <c r="K493" s="139"/>
      <c r="L493" s="139"/>
      <c r="M493" s="139"/>
      <c r="N493" s="139"/>
      <c r="O493" s="140"/>
      <c r="P493" s="139"/>
      <c r="Q493" s="139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</row>
    <row r="494" spans="1:35">
      <c r="A494" s="143"/>
      <c r="B494" s="143"/>
      <c r="C494" s="43"/>
      <c r="D494" s="138"/>
      <c r="E494" s="138"/>
      <c r="F494" s="139"/>
      <c r="G494" s="139"/>
      <c r="H494" s="139"/>
      <c r="I494" s="139"/>
      <c r="J494" s="139"/>
      <c r="K494" s="139"/>
      <c r="L494" s="139"/>
      <c r="M494" s="139"/>
      <c r="N494" s="139"/>
      <c r="O494" s="140"/>
      <c r="P494" s="139"/>
      <c r="Q494" s="139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</row>
    <row r="495" spans="1:35">
      <c r="A495" s="143"/>
      <c r="B495" s="143"/>
      <c r="C495" s="43"/>
      <c r="D495" s="138"/>
      <c r="E495" s="138"/>
      <c r="F495" s="139"/>
      <c r="G495" s="139"/>
      <c r="H495" s="139"/>
      <c r="I495" s="139"/>
      <c r="J495" s="139"/>
      <c r="K495" s="139"/>
      <c r="L495" s="139"/>
      <c r="M495" s="139"/>
      <c r="N495" s="139"/>
      <c r="O495" s="140"/>
      <c r="P495" s="139"/>
      <c r="Q495" s="139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</row>
    <row r="496" spans="1:35">
      <c r="A496" s="143"/>
      <c r="B496" s="143"/>
      <c r="C496" s="43"/>
      <c r="D496" s="138"/>
      <c r="E496" s="138"/>
      <c r="F496" s="139"/>
      <c r="G496" s="139"/>
      <c r="H496" s="139"/>
      <c r="I496" s="139"/>
      <c r="J496" s="139"/>
      <c r="K496" s="139"/>
      <c r="L496" s="139"/>
      <c r="M496" s="139"/>
      <c r="N496" s="139"/>
      <c r="O496" s="140"/>
      <c r="P496" s="139"/>
      <c r="Q496" s="139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</row>
    <row r="497" spans="1:35">
      <c r="A497" s="143"/>
      <c r="B497" s="143"/>
      <c r="C497" s="43"/>
      <c r="D497" s="138"/>
      <c r="E497" s="138"/>
      <c r="F497" s="139"/>
      <c r="G497" s="139"/>
      <c r="H497" s="139"/>
      <c r="I497" s="139"/>
      <c r="J497" s="139"/>
      <c r="K497" s="139"/>
      <c r="L497" s="139"/>
      <c r="M497" s="139"/>
      <c r="N497" s="139"/>
      <c r="O497" s="140"/>
      <c r="P497" s="139"/>
      <c r="Q497" s="139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</row>
    <row r="498" spans="1:35">
      <c r="A498" s="143"/>
      <c r="B498" s="143"/>
      <c r="C498" s="43"/>
      <c r="D498" s="138"/>
      <c r="E498" s="138"/>
      <c r="F498" s="139"/>
      <c r="G498" s="139"/>
      <c r="H498" s="139"/>
      <c r="I498" s="139"/>
      <c r="J498" s="139"/>
      <c r="K498" s="139"/>
      <c r="L498" s="139"/>
      <c r="M498" s="139"/>
      <c r="N498" s="139"/>
      <c r="O498" s="140"/>
      <c r="P498" s="139"/>
      <c r="Q498" s="139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</row>
    <row r="499" spans="1:35">
      <c r="A499" s="143"/>
      <c r="B499" s="143"/>
      <c r="C499" s="43"/>
      <c r="D499" s="138"/>
      <c r="E499" s="138"/>
      <c r="F499" s="139"/>
      <c r="G499" s="139"/>
      <c r="H499" s="139"/>
      <c r="I499" s="139"/>
      <c r="J499" s="139"/>
      <c r="K499" s="139"/>
      <c r="L499" s="139"/>
      <c r="M499" s="139"/>
      <c r="N499" s="139"/>
      <c r="O499" s="140"/>
      <c r="P499" s="139"/>
      <c r="Q499" s="139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</row>
    <row r="500" spans="1:35">
      <c r="A500" s="143"/>
      <c r="B500" s="143"/>
      <c r="C500" s="43"/>
      <c r="D500" s="138"/>
      <c r="E500" s="138"/>
      <c r="F500" s="139"/>
      <c r="G500" s="139"/>
      <c r="H500" s="139"/>
      <c r="I500" s="139"/>
      <c r="J500" s="139"/>
      <c r="K500" s="139"/>
      <c r="L500" s="139"/>
      <c r="M500" s="139"/>
      <c r="N500" s="139"/>
      <c r="O500" s="140"/>
      <c r="P500" s="139"/>
      <c r="Q500" s="139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</row>
    <row r="501" spans="1:35">
      <c r="A501" s="143"/>
      <c r="B501" s="143"/>
      <c r="C501" s="43"/>
      <c r="D501" s="138"/>
      <c r="E501" s="138"/>
      <c r="F501" s="139"/>
      <c r="G501" s="139"/>
      <c r="H501" s="139"/>
      <c r="I501" s="139"/>
      <c r="J501" s="139"/>
      <c r="K501" s="139"/>
      <c r="L501" s="139"/>
      <c r="M501" s="139"/>
      <c r="N501" s="139"/>
      <c r="O501" s="140"/>
      <c r="P501" s="139"/>
      <c r="Q501" s="139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</row>
    <row r="502" spans="1:35">
      <c r="A502" s="143"/>
      <c r="B502" s="143"/>
      <c r="C502" s="43"/>
      <c r="D502" s="138"/>
      <c r="E502" s="138"/>
      <c r="F502" s="139"/>
      <c r="G502" s="139"/>
      <c r="H502" s="139"/>
      <c r="I502" s="139"/>
      <c r="J502" s="139"/>
      <c r="K502" s="139"/>
      <c r="L502" s="139"/>
      <c r="M502" s="139"/>
      <c r="N502" s="139"/>
      <c r="O502" s="140"/>
      <c r="P502" s="139"/>
      <c r="Q502" s="139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</row>
    <row r="503" spans="1:35">
      <c r="A503" s="143"/>
      <c r="B503" s="143"/>
      <c r="C503" s="43"/>
      <c r="D503" s="138"/>
      <c r="E503" s="138"/>
      <c r="F503" s="139"/>
      <c r="G503" s="139"/>
      <c r="H503" s="139"/>
      <c r="I503" s="139"/>
      <c r="J503" s="139"/>
      <c r="K503" s="139"/>
      <c r="L503" s="139"/>
      <c r="M503" s="139"/>
      <c r="N503" s="139"/>
      <c r="O503" s="140"/>
      <c r="P503" s="139"/>
      <c r="Q503" s="139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</row>
    <row r="504" spans="1:35">
      <c r="A504" s="143"/>
      <c r="B504" s="143"/>
      <c r="C504" s="43"/>
      <c r="D504" s="138"/>
      <c r="E504" s="138"/>
      <c r="F504" s="139"/>
      <c r="G504" s="139"/>
      <c r="H504" s="139"/>
      <c r="I504" s="139"/>
      <c r="J504" s="139"/>
      <c r="K504" s="139"/>
      <c r="L504" s="139"/>
      <c r="M504" s="139"/>
      <c r="N504" s="139"/>
      <c r="O504" s="140"/>
      <c r="P504" s="139"/>
      <c r="Q504" s="139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</row>
    <row r="505" spans="1:35">
      <c r="A505" s="143"/>
      <c r="B505" s="143"/>
      <c r="C505" s="43"/>
      <c r="D505" s="138"/>
      <c r="E505" s="138"/>
      <c r="F505" s="139"/>
      <c r="G505" s="139"/>
      <c r="H505" s="139"/>
      <c r="I505" s="139"/>
      <c r="J505" s="139"/>
      <c r="K505" s="139"/>
      <c r="L505" s="139"/>
      <c r="M505" s="139"/>
      <c r="N505" s="139"/>
      <c r="O505" s="140"/>
      <c r="P505" s="139"/>
      <c r="Q505" s="139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</row>
    <row r="506" spans="1:35">
      <c r="A506" s="143"/>
      <c r="B506" s="143"/>
      <c r="C506" s="43"/>
      <c r="D506" s="138"/>
      <c r="E506" s="138"/>
      <c r="F506" s="139"/>
      <c r="G506" s="139"/>
      <c r="H506" s="139"/>
      <c r="I506" s="139"/>
      <c r="J506" s="139"/>
      <c r="K506" s="139"/>
      <c r="L506" s="139"/>
      <c r="M506" s="139"/>
      <c r="N506" s="139"/>
      <c r="O506" s="140"/>
      <c r="P506" s="139"/>
      <c r="Q506" s="139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</row>
    <row r="507" spans="1:35">
      <c r="A507" s="143"/>
      <c r="B507" s="143"/>
      <c r="C507" s="43"/>
      <c r="D507" s="138"/>
      <c r="E507" s="138"/>
      <c r="F507" s="139"/>
      <c r="G507" s="139"/>
      <c r="H507" s="139"/>
      <c r="I507" s="139"/>
      <c r="J507" s="139"/>
      <c r="K507" s="139"/>
      <c r="L507" s="139"/>
      <c r="M507" s="139"/>
      <c r="N507" s="139"/>
      <c r="O507" s="140"/>
      <c r="P507" s="139"/>
      <c r="Q507" s="139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</row>
    <row r="508" spans="1:35">
      <c r="A508" s="143"/>
      <c r="B508" s="143"/>
      <c r="C508" s="43"/>
      <c r="D508" s="138"/>
      <c r="E508" s="138"/>
      <c r="F508" s="139"/>
      <c r="G508" s="139"/>
      <c r="H508" s="139"/>
      <c r="I508" s="139"/>
      <c r="J508" s="139"/>
      <c r="K508" s="139"/>
      <c r="L508" s="139"/>
      <c r="M508" s="139"/>
      <c r="N508" s="139"/>
      <c r="O508" s="140"/>
      <c r="P508" s="139"/>
      <c r="Q508" s="139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</row>
    <row r="509" spans="1:35">
      <c r="A509" s="143"/>
      <c r="B509" s="143"/>
      <c r="C509" s="43"/>
      <c r="D509" s="138"/>
      <c r="E509" s="138"/>
      <c r="F509" s="139"/>
      <c r="G509" s="139"/>
      <c r="H509" s="139"/>
      <c r="I509" s="139"/>
      <c r="J509" s="139"/>
      <c r="K509" s="139"/>
      <c r="L509" s="139"/>
      <c r="M509" s="139"/>
      <c r="N509" s="139"/>
      <c r="O509" s="140"/>
      <c r="P509" s="139"/>
      <c r="Q509" s="139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</row>
    <row r="510" spans="1:35">
      <c r="A510" s="143"/>
      <c r="B510" s="143"/>
      <c r="C510" s="43"/>
      <c r="D510" s="138"/>
      <c r="E510" s="138"/>
      <c r="F510" s="139"/>
      <c r="G510" s="139"/>
      <c r="H510" s="139"/>
      <c r="I510" s="139"/>
      <c r="J510" s="139"/>
      <c r="K510" s="139"/>
      <c r="L510" s="139"/>
      <c r="M510" s="139"/>
      <c r="N510" s="139"/>
      <c r="O510" s="140"/>
      <c r="P510" s="139"/>
      <c r="Q510" s="139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</row>
    <row r="511" spans="1:35">
      <c r="A511" s="143"/>
      <c r="B511" s="143"/>
      <c r="C511" s="43"/>
      <c r="D511" s="138"/>
      <c r="E511" s="138"/>
      <c r="F511" s="139"/>
      <c r="G511" s="139"/>
      <c r="H511" s="139"/>
      <c r="I511" s="139"/>
      <c r="J511" s="139"/>
      <c r="K511" s="139"/>
      <c r="L511" s="139"/>
      <c r="M511" s="139"/>
      <c r="N511" s="139"/>
      <c r="O511" s="140"/>
      <c r="P511" s="139"/>
      <c r="Q511" s="139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</row>
    <row r="512" spans="1:35">
      <c r="A512" s="143"/>
      <c r="B512" s="143"/>
      <c r="C512" s="43"/>
      <c r="D512" s="138"/>
      <c r="E512" s="138"/>
      <c r="F512" s="139"/>
      <c r="G512" s="139"/>
      <c r="H512" s="139"/>
      <c r="I512" s="139"/>
      <c r="J512" s="139"/>
      <c r="K512" s="139"/>
      <c r="L512" s="139"/>
      <c r="M512" s="139"/>
      <c r="N512" s="139"/>
      <c r="O512" s="140"/>
      <c r="P512" s="139"/>
      <c r="Q512" s="139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</row>
    <row r="513" spans="1:35">
      <c r="A513" s="143"/>
      <c r="B513" s="143"/>
      <c r="C513" s="43"/>
      <c r="D513" s="138"/>
      <c r="E513" s="138"/>
      <c r="F513" s="139"/>
      <c r="G513" s="139"/>
      <c r="H513" s="139"/>
      <c r="I513" s="139"/>
      <c r="J513" s="139"/>
      <c r="K513" s="139"/>
      <c r="L513" s="139"/>
      <c r="M513" s="139"/>
      <c r="N513" s="139"/>
      <c r="O513" s="140"/>
      <c r="P513" s="139"/>
      <c r="Q513" s="139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</row>
    <row r="514" spans="1:35">
      <c r="A514" s="143"/>
      <c r="B514" s="143"/>
      <c r="C514" s="43"/>
      <c r="D514" s="138"/>
      <c r="E514" s="138"/>
      <c r="F514" s="139"/>
      <c r="G514" s="139"/>
      <c r="H514" s="139"/>
      <c r="I514" s="139"/>
      <c r="J514" s="139"/>
      <c r="K514" s="139"/>
      <c r="L514" s="139"/>
      <c r="M514" s="139"/>
      <c r="N514" s="139"/>
      <c r="O514" s="140"/>
      <c r="P514" s="139"/>
      <c r="Q514" s="139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</row>
    <row r="515" spans="1:35">
      <c r="A515" s="143"/>
      <c r="B515" s="143"/>
      <c r="C515" s="43"/>
      <c r="D515" s="138"/>
      <c r="E515" s="138"/>
      <c r="F515" s="139"/>
      <c r="G515" s="139"/>
      <c r="H515" s="139"/>
      <c r="I515" s="139"/>
      <c r="J515" s="139"/>
      <c r="K515" s="139"/>
      <c r="L515" s="139"/>
      <c r="M515" s="139"/>
      <c r="N515" s="139"/>
      <c r="O515" s="140"/>
      <c r="P515" s="139"/>
      <c r="Q515" s="139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</row>
    <row r="516" spans="1:35">
      <c r="A516" s="143"/>
      <c r="B516" s="143"/>
      <c r="C516" s="43"/>
      <c r="D516" s="138"/>
      <c r="E516" s="138"/>
      <c r="F516" s="139"/>
      <c r="G516" s="139"/>
      <c r="H516" s="139"/>
      <c r="I516" s="139"/>
      <c r="J516" s="139"/>
      <c r="K516" s="139"/>
      <c r="L516" s="139"/>
      <c r="M516" s="139"/>
      <c r="N516" s="139"/>
      <c r="O516" s="140"/>
      <c r="P516" s="139"/>
      <c r="Q516" s="139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</row>
    <row r="517" spans="1:35">
      <c r="A517" s="143"/>
      <c r="B517" s="143"/>
      <c r="C517" s="43"/>
      <c r="D517" s="138"/>
      <c r="E517" s="138"/>
      <c r="F517" s="139"/>
      <c r="G517" s="139"/>
      <c r="H517" s="139"/>
      <c r="I517" s="139"/>
      <c r="J517" s="139"/>
      <c r="K517" s="139"/>
      <c r="L517" s="139"/>
      <c r="M517" s="139"/>
      <c r="N517" s="139"/>
      <c r="O517" s="140"/>
      <c r="P517" s="139"/>
      <c r="Q517" s="139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</row>
    <row r="518" spans="1:35">
      <c r="A518" s="143"/>
      <c r="B518" s="143"/>
      <c r="C518" s="43"/>
      <c r="D518" s="138"/>
      <c r="E518" s="138"/>
      <c r="F518" s="139"/>
      <c r="G518" s="139"/>
      <c r="H518" s="139"/>
      <c r="I518" s="139"/>
      <c r="J518" s="139"/>
      <c r="K518" s="139"/>
      <c r="L518" s="139"/>
      <c r="M518" s="139"/>
      <c r="N518" s="139"/>
      <c r="O518" s="140"/>
      <c r="P518" s="139"/>
      <c r="Q518" s="139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</row>
    <row r="519" spans="1:35">
      <c r="A519" s="143"/>
      <c r="B519" s="143"/>
      <c r="C519" s="43"/>
      <c r="D519" s="138"/>
      <c r="E519" s="138"/>
      <c r="F519" s="139"/>
      <c r="G519" s="139"/>
      <c r="H519" s="139"/>
      <c r="I519" s="139"/>
      <c r="J519" s="139"/>
      <c r="K519" s="139"/>
      <c r="L519" s="139"/>
      <c r="M519" s="139"/>
      <c r="N519" s="139"/>
      <c r="O519" s="140"/>
      <c r="P519" s="139"/>
      <c r="Q519" s="139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</row>
    <row r="520" spans="1:35">
      <c r="A520" s="143"/>
      <c r="B520" s="143"/>
      <c r="C520" s="43"/>
      <c r="D520" s="138"/>
      <c r="E520" s="138"/>
      <c r="F520" s="139"/>
      <c r="G520" s="139"/>
      <c r="H520" s="139"/>
      <c r="I520" s="139"/>
      <c r="J520" s="139"/>
      <c r="K520" s="139"/>
      <c r="L520" s="139"/>
      <c r="M520" s="139"/>
      <c r="N520" s="139"/>
      <c r="O520" s="140"/>
      <c r="P520" s="139"/>
      <c r="Q520" s="139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</row>
    <row r="521" spans="1:35">
      <c r="A521" s="143"/>
      <c r="B521" s="143"/>
      <c r="C521" s="43"/>
      <c r="D521" s="138"/>
      <c r="E521" s="138"/>
      <c r="F521" s="139"/>
      <c r="G521" s="139"/>
      <c r="H521" s="139"/>
      <c r="I521" s="139"/>
      <c r="J521" s="139"/>
      <c r="K521" s="139"/>
      <c r="L521" s="139"/>
      <c r="M521" s="139"/>
      <c r="N521" s="139"/>
      <c r="O521" s="140"/>
      <c r="P521" s="139"/>
      <c r="Q521" s="139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</row>
    <row r="522" spans="1:35">
      <c r="A522" s="143"/>
      <c r="B522" s="143"/>
      <c r="C522" s="43"/>
      <c r="D522" s="138"/>
      <c r="E522" s="138"/>
      <c r="F522" s="139"/>
      <c r="G522" s="139"/>
      <c r="H522" s="139"/>
      <c r="I522" s="139"/>
      <c r="J522" s="139"/>
      <c r="K522" s="139"/>
      <c r="L522" s="139"/>
      <c r="M522" s="139"/>
      <c r="N522" s="139"/>
      <c r="O522" s="140"/>
      <c r="P522" s="139"/>
      <c r="Q522" s="139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</row>
    <row r="523" spans="1:35">
      <c r="A523" s="143"/>
      <c r="B523" s="143"/>
      <c r="C523" s="43"/>
      <c r="D523" s="138"/>
      <c r="E523" s="138"/>
      <c r="F523" s="139"/>
      <c r="G523" s="139"/>
      <c r="H523" s="139"/>
      <c r="I523" s="139"/>
      <c r="J523" s="139"/>
      <c r="K523" s="139"/>
      <c r="L523" s="139"/>
      <c r="M523" s="139"/>
      <c r="N523" s="139"/>
      <c r="O523" s="140"/>
      <c r="P523" s="139"/>
      <c r="Q523" s="139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</row>
    <row r="524" spans="1:35">
      <c r="A524" s="143"/>
      <c r="B524" s="143"/>
      <c r="C524" s="43"/>
      <c r="D524" s="138"/>
      <c r="E524" s="138"/>
      <c r="F524" s="139"/>
      <c r="G524" s="139"/>
      <c r="H524" s="139"/>
      <c r="I524" s="139"/>
      <c r="J524" s="139"/>
      <c r="K524" s="139"/>
      <c r="L524" s="139"/>
      <c r="M524" s="139"/>
      <c r="N524" s="139"/>
      <c r="O524" s="140"/>
      <c r="P524" s="139"/>
      <c r="Q524" s="139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</row>
    <row r="525" spans="1:35">
      <c r="A525" s="143"/>
      <c r="B525" s="143"/>
      <c r="C525" s="43"/>
      <c r="D525" s="138"/>
      <c r="E525" s="138"/>
      <c r="F525" s="139"/>
      <c r="G525" s="139"/>
      <c r="H525" s="139"/>
      <c r="I525" s="139"/>
      <c r="J525" s="139"/>
      <c r="K525" s="139"/>
      <c r="L525" s="139"/>
      <c r="M525" s="139"/>
      <c r="N525" s="139"/>
      <c r="O525" s="140"/>
      <c r="P525" s="139"/>
      <c r="Q525" s="139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</row>
    <row r="526" spans="1:35">
      <c r="A526" s="143"/>
      <c r="B526" s="143"/>
      <c r="C526" s="43"/>
      <c r="D526" s="138"/>
      <c r="E526" s="138"/>
      <c r="F526" s="139"/>
      <c r="G526" s="139"/>
      <c r="H526" s="139"/>
      <c r="I526" s="139"/>
      <c r="J526" s="139"/>
      <c r="K526" s="139"/>
      <c r="L526" s="139"/>
      <c r="M526" s="139"/>
      <c r="N526" s="139"/>
      <c r="O526" s="140"/>
      <c r="P526" s="139"/>
      <c r="Q526" s="139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</row>
    <row r="527" spans="1:35">
      <c r="A527" s="143"/>
      <c r="B527" s="143"/>
      <c r="C527" s="43"/>
      <c r="D527" s="138"/>
      <c r="E527" s="138"/>
      <c r="F527" s="139"/>
      <c r="G527" s="139"/>
      <c r="H527" s="139"/>
      <c r="I527" s="139"/>
      <c r="J527" s="139"/>
      <c r="K527" s="139"/>
      <c r="L527" s="139"/>
      <c r="M527" s="139"/>
      <c r="N527" s="139"/>
      <c r="O527" s="140"/>
      <c r="P527" s="139"/>
      <c r="Q527" s="139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</row>
    <row r="528" spans="1:35">
      <c r="A528" s="143"/>
      <c r="B528" s="143"/>
      <c r="C528" s="43"/>
      <c r="D528" s="138"/>
      <c r="E528" s="138"/>
      <c r="F528" s="139"/>
      <c r="G528" s="139"/>
      <c r="H528" s="139"/>
      <c r="I528" s="139"/>
      <c r="J528" s="139"/>
      <c r="K528" s="139"/>
      <c r="L528" s="139"/>
      <c r="M528" s="139"/>
      <c r="N528" s="139"/>
      <c r="O528" s="140"/>
      <c r="P528" s="139"/>
      <c r="Q528" s="139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</row>
    <row r="529" spans="1:35">
      <c r="A529" s="143"/>
      <c r="B529" s="143"/>
      <c r="C529" s="43"/>
      <c r="D529" s="138"/>
      <c r="E529" s="138"/>
      <c r="F529" s="139"/>
      <c r="G529" s="139"/>
      <c r="H529" s="139"/>
      <c r="I529" s="139"/>
      <c r="J529" s="139"/>
      <c r="K529" s="139"/>
      <c r="L529" s="139"/>
      <c r="M529" s="139"/>
      <c r="N529" s="139"/>
      <c r="O529" s="140"/>
      <c r="P529" s="139"/>
      <c r="Q529" s="139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</row>
    <row r="530" spans="1:35">
      <c r="A530" s="143"/>
      <c r="B530" s="143"/>
      <c r="C530" s="43"/>
      <c r="D530" s="138"/>
      <c r="E530" s="138"/>
      <c r="F530" s="139"/>
      <c r="G530" s="139"/>
      <c r="H530" s="139"/>
      <c r="I530" s="139"/>
      <c r="J530" s="139"/>
      <c r="K530" s="139"/>
      <c r="L530" s="139"/>
      <c r="M530" s="139"/>
      <c r="N530" s="139"/>
      <c r="O530" s="140"/>
      <c r="P530" s="139"/>
      <c r="Q530" s="139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</row>
    <row r="531" spans="1:35">
      <c r="A531" s="143"/>
      <c r="B531" s="143"/>
      <c r="C531" s="43"/>
      <c r="D531" s="138"/>
      <c r="E531" s="138"/>
      <c r="F531" s="139"/>
      <c r="G531" s="139"/>
      <c r="H531" s="139"/>
      <c r="I531" s="139"/>
      <c r="J531" s="139"/>
      <c r="K531" s="139"/>
      <c r="L531" s="139"/>
      <c r="M531" s="139"/>
      <c r="N531" s="139"/>
      <c r="O531" s="140"/>
      <c r="P531" s="139"/>
      <c r="Q531" s="139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</row>
    <row r="532" spans="1:35">
      <c r="A532" s="143"/>
      <c r="B532" s="143"/>
      <c r="C532" s="43"/>
      <c r="D532" s="138"/>
      <c r="E532" s="138"/>
      <c r="F532" s="139"/>
      <c r="G532" s="139"/>
      <c r="H532" s="139"/>
      <c r="I532" s="139"/>
      <c r="J532" s="139"/>
      <c r="K532" s="139"/>
      <c r="L532" s="139"/>
      <c r="M532" s="139"/>
      <c r="N532" s="139"/>
      <c r="O532" s="140"/>
      <c r="P532" s="139"/>
      <c r="Q532" s="139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</row>
    <row r="533" spans="1:35">
      <c r="A533" s="143"/>
      <c r="B533" s="143"/>
      <c r="C533" s="43"/>
      <c r="D533" s="138"/>
      <c r="E533" s="138"/>
      <c r="F533" s="139"/>
      <c r="G533" s="139"/>
      <c r="H533" s="139"/>
      <c r="I533" s="139"/>
      <c r="J533" s="139"/>
      <c r="K533" s="139"/>
      <c r="L533" s="139"/>
      <c r="M533" s="139"/>
      <c r="N533" s="139"/>
      <c r="O533" s="140"/>
      <c r="P533" s="139"/>
      <c r="Q533" s="139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</row>
    <row r="534" spans="1:35">
      <c r="A534" s="143"/>
      <c r="B534" s="143"/>
      <c r="C534" s="43"/>
      <c r="D534" s="138"/>
      <c r="E534" s="138"/>
      <c r="F534" s="139"/>
      <c r="G534" s="139"/>
      <c r="H534" s="139"/>
      <c r="I534" s="139"/>
      <c r="J534" s="139"/>
      <c r="K534" s="139"/>
      <c r="L534" s="139"/>
      <c r="M534" s="139"/>
      <c r="N534" s="139"/>
      <c r="O534" s="140"/>
      <c r="P534" s="139"/>
      <c r="Q534" s="139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</row>
    <row r="535" spans="1:35">
      <c r="A535" s="143"/>
      <c r="B535" s="143"/>
      <c r="C535" s="43"/>
      <c r="D535" s="138"/>
      <c r="E535" s="138"/>
      <c r="F535" s="139"/>
      <c r="G535" s="139"/>
      <c r="H535" s="139"/>
      <c r="I535" s="139"/>
      <c r="J535" s="139"/>
      <c r="K535" s="139"/>
      <c r="L535" s="139"/>
      <c r="M535" s="139"/>
      <c r="N535" s="139"/>
      <c r="O535" s="140"/>
      <c r="P535" s="139"/>
      <c r="Q535" s="139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</row>
    <row r="536" spans="1:35">
      <c r="A536" s="143"/>
      <c r="B536" s="143"/>
      <c r="C536" s="43"/>
      <c r="D536" s="138"/>
      <c r="E536" s="138"/>
      <c r="F536" s="139"/>
      <c r="G536" s="139"/>
      <c r="H536" s="139"/>
      <c r="I536" s="139"/>
      <c r="J536" s="139"/>
      <c r="K536" s="139"/>
      <c r="L536" s="139"/>
      <c r="M536" s="139"/>
      <c r="N536" s="139"/>
      <c r="O536" s="140"/>
      <c r="P536" s="139"/>
      <c r="Q536" s="139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</row>
    <row r="537" spans="1:35">
      <c r="A537" s="143"/>
      <c r="B537" s="143"/>
      <c r="C537" s="43"/>
      <c r="D537" s="138"/>
      <c r="E537" s="138"/>
      <c r="F537" s="139"/>
      <c r="G537" s="139"/>
      <c r="H537" s="139"/>
      <c r="I537" s="139"/>
      <c r="J537" s="139"/>
      <c r="K537" s="139"/>
      <c r="L537" s="139"/>
      <c r="M537" s="139"/>
      <c r="N537" s="139"/>
      <c r="O537" s="140"/>
      <c r="P537" s="139"/>
      <c r="Q537" s="139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</row>
    <row r="538" spans="1:35">
      <c r="A538" s="143"/>
      <c r="B538" s="143"/>
      <c r="C538" s="43"/>
      <c r="D538" s="138"/>
      <c r="E538" s="138"/>
      <c r="F538" s="139"/>
      <c r="G538" s="139"/>
      <c r="H538" s="139"/>
      <c r="I538" s="139"/>
      <c r="J538" s="139"/>
      <c r="K538" s="139"/>
      <c r="L538" s="139"/>
      <c r="M538" s="139"/>
      <c r="N538" s="139"/>
      <c r="O538" s="140"/>
      <c r="P538" s="139"/>
      <c r="Q538" s="139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</row>
    <row r="539" spans="1:35">
      <c r="A539" s="143"/>
      <c r="B539" s="143"/>
      <c r="C539" s="43"/>
      <c r="D539" s="138"/>
      <c r="E539" s="138"/>
      <c r="F539" s="139"/>
      <c r="G539" s="139"/>
      <c r="H539" s="139"/>
      <c r="I539" s="139"/>
      <c r="J539" s="139"/>
      <c r="K539" s="139"/>
      <c r="L539" s="139"/>
      <c r="M539" s="139"/>
      <c r="N539" s="139"/>
      <c r="O539" s="140"/>
      <c r="P539" s="139"/>
      <c r="Q539" s="139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</row>
    <row r="540" spans="1:35">
      <c r="A540" s="143"/>
      <c r="B540" s="143"/>
      <c r="C540" s="43"/>
      <c r="D540" s="138"/>
      <c r="E540" s="138"/>
      <c r="F540" s="139"/>
      <c r="G540" s="139"/>
      <c r="H540" s="139"/>
      <c r="I540" s="139"/>
      <c r="J540" s="139"/>
      <c r="K540" s="139"/>
      <c r="L540" s="139"/>
      <c r="M540" s="139"/>
      <c r="N540" s="139"/>
      <c r="O540" s="140"/>
      <c r="P540" s="139"/>
      <c r="Q540" s="139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</row>
    <row r="541" spans="1:35">
      <c r="A541" s="143"/>
      <c r="B541" s="143"/>
      <c r="C541" s="43"/>
      <c r="D541" s="138"/>
      <c r="E541" s="138"/>
      <c r="F541" s="139"/>
      <c r="G541" s="139"/>
      <c r="H541" s="139"/>
      <c r="I541" s="139"/>
      <c r="J541" s="139"/>
      <c r="K541" s="139"/>
      <c r="L541" s="139"/>
      <c r="M541" s="139"/>
      <c r="N541" s="139"/>
      <c r="O541" s="140"/>
      <c r="P541" s="139"/>
      <c r="Q541" s="139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</row>
    <row r="542" spans="1:35">
      <c r="A542" s="143"/>
      <c r="B542" s="143"/>
      <c r="C542" s="43"/>
      <c r="D542" s="138"/>
      <c r="E542" s="138"/>
      <c r="F542" s="139"/>
      <c r="G542" s="139"/>
      <c r="H542" s="139"/>
      <c r="I542" s="139"/>
      <c r="J542" s="139"/>
      <c r="K542" s="139"/>
      <c r="L542" s="139"/>
      <c r="M542" s="139"/>
      <c r="N542" s="139"/>
      <c r="O542" s="140"/>
      <c r="P542" s="139"/>
      <c r="Q542" s="139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</row>
    <row r="543" spans="1:35">
      <c r="A543" s="143"/>
      <c r="B543" s="143"/>
      <c r="C543" s="43"/>
      <c r="D543" s="138"/>
      <c r="E543" s="138"/>
      <c r="F543" s="139"/>
      <c r="G543" s="139"/>
      <c r="H543" s="139"/>
      <c r="I543" s="139"/>
      <c r="J543" s="139"/>
      <c r="K543" s="139"/>
      <c r="L543" s="139"/>
      <c r="M543" s="139"/>
      <c r="N543" s="139"/>
      <c r="O543" s="140"/>
      <c r="P543" s="139"/>
      <c r="Q543" s="139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</row>
    <row r="544" spans="1:35">
      <c r="A544" s="143"/>
      <c r="B544" s="143"/>
      <c r="C544" s="43"/>
      <c r="D544" s="138"/>
      <c r="E544" s="138"/>
      <c r="F544" s="139"/>
      <c r="G544" s="139"/>
      <c r="H544" s="139"/>
      <c r="I544" s="139"/>
      <c r="J544" s="139"/>
      <c r="K544" s="139"/>
      <c r="L544" s="139"/>
      <c r="M544" s="139"/>
      <c r="N544" s="139"/>
      <c r="O544" s="140"/>
      <c r="P544" s="139"/>
      <c r="Q544" s="139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</row>
    <row r="545" spans="1:35">
      <c r="A545" s="143"/>
      <c r="B545" s="143"/>
      <c r="C545" s="43"/>
      <c r="D545" s="138"/>
      <c r="E545" s="138"/>
      <c r="F545" s="139"/>
      <c r="G545" s="139"/>
      <c r="H545" s="139"/>
      <c r="I545" s="139"/>
      <c r="J545" s="139"/>
      <c r="K545" s="139"/>
      <c r="L545" s="139"/>
      <c r="M545" s="139"/>
      <c r="N545" s="139"/>
      <c r="O545" s="140"/>
      <c r="P545" s="139"/>
      <c r="Q545" s="139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</row>
    <row r="546" spans="1:35">
      <c r="A546" s="143"/>
      <c r="B546" s="143"/>
      <c r="C546" s="43"/>
      <c r="D546" s="138"/>
      <c r="E546" s="138"/>
      <c r="F546" s="139"/>
      <c r="G546" s="139"/>
      <c r="H546" s="139"/>
      <c r="I546" s="139"/>
      <c r="J546" s="139"/>
      <c r="K546" s="139"/>
      <c r="L546" s="139"/>
      <c r="M546" s="139"/>
      <c r="N546" s="139"/>
      <c r="O546" s="140"/>
      <c r="P546" s="139"/>
      <c r="Q546" s="139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</row>
    <row r="547" spans="1:35">
      <c r="A547" s="143"/>
      <c r="B547" s="143"/>
      <c r="C547" s="43"/>
      <c r="D547" s="138"/>
      <c r="E547" s="138"/>
      <c r="F547" s="139"/>
      <c r="G547" s="139"/>
      <c r="H547" s="139"/>
      <c r="I547" s="139"/>
      <c r="J547" s="139"/>
      <c r="K547" s="139"/>
      <c r="L547" s="139"/>
      <c r="M547" s="139"/>
      <c r="N547" s="139"/>
      <c r="O547" s="140"/>
      <c r="P547" s="139"/>
      <c r="Q547" s="139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</row>
    <row r="548" spans="1:35">
      <c r="A548" s="143"/>
      <c r="B548" s="143"/>
      <c r="C548" s="43"/>
      <c r="D548" s="138"/>
      <c r="E548" s="138"/>
      <c r="F548" s="139"/>
      <c r="G548" s="139"/>
      <c r="H548" s="139"/>
      <c r="I548" s="139"/>
      <c r="J548" s="139"/>
      <c r="K548" s="139"/>
      <c r="L548" s="139"/>
      <c r="M548" s="139"/>
      <c r="N548" s="139"/>
      <c r="O548" s="140"/>
      <c r="P548" s="139"/>
      <c r="Q548" s="139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</row>
    <row r="549" spans="1:35">
      <c r="A549" s="143"/>
      <c r="B549" s="143"/>
      <c r="C549" s="43"/>
      <c r="D549" s="138"/>
      <c r="E549" s="138"/>
      <c r="F549" s="139"/>
      <c r="G549" s="139"/>
      <c r="H549" s="139"/>
      <c r="I549" s="139"/>
      <c r="J549" s="139"/>
      <c r="K549" s="139"/>
      <c r="L549" s="139"/>
      <c r="M549" s="139"/>
      <c r="N549" s="139"/>
      <c r="O549" s="140"/>
      <c r="P549" s="139"/>
      <c r="Q549" s="139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</row>
    <row r="550" spans="1:35">
      <c r="A550" s="143"/>
      <c r="B550" s="143"/>
      <c r="C550" s="43"/>
      <c r="D550" s="138"/>
      <c r="E550" s="138"/>
      <c r="F550" s="139"/>
      <c r="G550" s="139"/>
      <c r="H550" s="139"/>
      <c r="I550" s="139"/>
      <c r="J550" s="139"/>
      <c r="K550" s="139"/>
      <c r="L550" s="139"/>
      <c r="M550" s="139"/>
      <c r="N550" s="139"/>
      <c r="O550" s="140"/>
      <c r="P550" s="139"/>
      <c r="Q550" s="139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</row>
    <row r="551" spans="1:35">
      <c r="A551" s="143"/>
      <c r="B551" s="143"/>
      <c r="C551" s="43"/>
      <c r="D551" s="138"/>
      <c r="E551" s="138"/>
      <c r="F551" s="139"/>
      <c r="G551" s="139"/>
      <c r="H551" s="139"/>
      <c r="I551" s="139"/>
      <c r="J551" s="139"/>
      <c r="K551" s="139"/>
      <c r="L551" s="139"/>
      <c r="M551" s="139"/>
      <c r="N551" s="139"/>
      <c r="O551" s="140"/>
      <c r="P551" s="139"/>
      <c r="Q551" s="139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</row>
    <row r="552" spans="1:35">
      <c r="A552" s="143"/>
      <c r="B552" s="143"/>
      <c r="C552" s="43"/>
      <c r="D552" s="138"/>
      <c r="E552" s="138"/>
      <c r="F552" s="139"/>
      <c r="G552" s="139"/>
      <c r="H552" s="139"/>
      <c r="I552" s="139"/>
      <c r="J552" s="139"/>
      <c r="K552" s="139"/>
      <c r="L552" s="139"/>
      <c r="M552" s="139"/>
      <c r="N552" s="139"/>
      <c r="O552" s="140"/>
      <c r="P552" s="139"/>
      <c r="Q552" s="139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</row>
    <row r="553" spans="1:35">
      <c r="A553" s="143"/>
      <c r="B553" s="143"/>
      <c r="C553" s="43"/>
      <c r="D553" s="138"/>
      <c r="E553" s="138"/>
      <c r="F553" s="139"/>
      <c r="G553" s="139"/>
      <c r="H553" s="139"/>
      <c r="I553" s="139"/>
      <c r="J553" s="139"/>
      <c r="K553" s="139"/>
      <c r="L553" s="139"/>
      <c r="M553" s="139"/>
      <c r="N553" s="139"/>
      <c r="O553" s="140"/>
      <c r="P553" s="139"/>
      <c r="Q553" s="139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</row>
    <row r="554" spans="1:35">
      <c r="A554" s="143"/>
      <c r="B554" s="143"/>
      <c r="C554" s="43"/>
      <c r="D554" s="138"/>
      <c r="E554" s="138"/>
      <c r="F554" s="139"/>
      <c r="G554" s="139"/>
      <c r="H554" s="139"/>
      <c r="I554" s="139"/>
      <c r="J554" s="139"/>
      <c r="K554" s="139"/>
      <c r="L554" s="139"/>
      <c r="M554" s="139"/>
      <c r="N554" s="139"/>
      <c r="O554" s="140"/>
      <c r="P554" s="139"/>
      <c r="Q554" s="139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</row>
    <row r="555" spans="1:35">
      <c r="A555" s="143"/>
      <c r="B555" s="143"/>
      <c r="C555" s="43"/>
      <c r="D555" s="138"/>
      <c r="E555" s="138"/>
      <c r="F555" s="139"/>
      <c r="G555" s="139"/>
      <c r="H555" s="139"/>
      <c r="I555" s="139"/>
      <c r="J555" s="139"/>
      <c r="K555" s="139"/>
      <c r="L555" s="139"/>
      <c r="M555" s="139"/>
      <c r="N555" s="139"/>
      <c r="O555" s="140"/>
      <c r="P555" s="139"/>
      <c r="Q555" s="139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</row>
    <row r="556" spans="1:35">
      <c r="A556" s="143"/>
      <c r="B556" s="143"/>
      <c r="C556" s="43"/>
      <c r="D556" s="138"/>
      <c r="E556" s="138"/>
      <c r="F556" s="139"/>
      <c r="G556" s="139"/>
      <c r="H556" s="139"/>
      <c r="I556" s="139"/>
      <c r="J556" s="139"/>
      <c r="K556" s="139"/>
      <c r="L556" s="139"/>
      <c r="M556" s="139"/>
      <c r="N556" s="139"/>
      <c r="O556" s="140"/>
      <c r="P556" s="139"/>
      <c r="Q556" s="139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</row>
    <row r="557" spans="1:35">
      <c r="A557" s="143"/>
      <c r="B557" s="143"/>
      <c r="C557" s="43"/>
      <c r="D557" s="138"/>
      <c r="E557" s="138"/>
      <c r="F557" s="139"/>
      <c r="G557" s="139"/>
      <c r="H557" s="139"/>
      <c r="I557" s="139"/>
      <c r="J557" s="139"/>
      <c r="K557" s="139"/>
      <c r="L557" s="139"/>
      <c r="M557" s="139"/>
      <c r="N557" s="139"/>
      <c r="O557" s="140"/>
      <c r="P557" s="139"/>
      <c r="Q557" s="139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</row>
    <row r="558" spans="1:35">
      <c r="A558" s="143"/>
      <c r="B558" s="143"/>
      <c r="C558" s="43"/>
      <c r="D558" s="138"/>
      <c r="E558" s="138"/>
      <c r="F558" s="139"/>
      <c r="G558" s="139"/>
      <c r="H558" s="139"/>
      <c r="I558" s="139"/>
      <c r="J558" s="139"/>
      <c r="K558" s="139"/>
      <c r="L558" s="139"/>
      <c r="M558" s="139"/>
      <c r="N558" s="139"/>
      <c r="O558" s="140"/>
      <c r="P558" s="139"/>
      <c r="Q558" s="139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</row>
    <row r="559" spans="1:35">
      <c r="A559" s="143"/>
      <c r="B559" s="143"/>
      <c r="C559" s="43"/>
      <c r="D559" s="138"/>
      <c r="E559" s="138"/>
      <c r="F559" s="139"/>
      <c r="G559" s="139"/>
      <c r="H559" s="139"/>
      <c r="I559" s="139"/>
      <c r="J559" s="139"/>
      <c r="K559" s="139"/>
      <c r="L559" s="139"/>
      <c r="M559" s="139"/>
      <c r="N559" s="139"/>
      <c r="O559" s="140"/>
      <c r="P559" s="139"/>
      <c r="Q559" s="139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</row>
    <row r="560" spans="1:35">
      <c r="A560" s="143"/>
      <c r="B560" s="143"/>
      <c r="C560" s="43"/>
      <c r="D560" s="138"/>
      <c r="E560" s="138"/>
      <c r="F560" s="139"/>
      <c r="G560" s="139"/>
      <c r="H560" s="139"/>
      <c r="I560" s="139"/>
      <c r="J560" s="139"/>
      <c r="K560" s="139"/>
      <c r="L560" s="139"/>
      <c r="M560" s="139"/>
      <c r="N560" s="139"/>
      <c r="O560" s="140"/>
      <c r="P560" s="139"/>
      <c r="Q560" s="139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</row>
    <row r="561" spans="1:35">
      <c r="A561" s="143"/>
      <c r="B561" s="143"/>
      <c r="C561" s="43"/>
      <c r="D561" s="138"/>
      <c r="E561" s="138"/>
      <c r="F561" s="139"/>
      <c r="G561" s="139"/>
      <c r="H561" s="139"/>
      <c r="I561" s="139"/>
      <c r="J561" s="139"/>
      <c r="K561" s="139"/>
      <c r="L561" s="139"/>
      <c r="M561" s="139"/>
      <c r="N561" s="139"/>
      <c r="O561" s="140"/>
      <c r="P561" s="139"/>
      <c r="Q561" s="139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</row>
    <row r="562" spans="1:35">
      <c r="A562" s="143"/>
      <c r="B562" s="143"/>
      <c r="C562" s="43"/>
      <c r="D562" s="138"/>
      <c r="E562" s="138"/>
      <c r="F562" s="139"/>
      <c r="G562" s="139"/>
      <c r="H562" s="139"/>
      <c r="I562" s="139"/>
      <c r="J562" s="139"/>
      <c r="K562" s="139"/>
      <c r="L562" s="139"/>
      <c r="M562" s="139"/>
      <c r="N562" s="139"/>
      <c r="O562" s="140"/>
      <c r="P562" s="139"/>
      <c r="Q562" s="139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</row>
    <row r="563" spans="1:35">
      <c r="A563" s="143"/>
      <c r="B563" s="143"/>
      <c r="C563" s="43"/>
      <c r="D563" s="138"/>
      <c r="E563" s="138"/>
      <c r="F563" s="139"/>
      <c r="G563" s="139"/>
      <c r="H563" s="139"/>
      <c r="I563" s="139"/>
      <c r="J563" s="139"/>
      <c r="K563" s="139"/>
      <c r="L563" s="139"/>
      <c r="M563" s="139"/>
      <c r="N563" s="139"/>
      <c r="O563" s="140"/>
      <c r="P563" s="139"/>
      <c r="Q563" s="139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</row>
    <row r="564" spans="1:35">
      <c r="A564" s="143"/>
      <c r="B564" s="143"/>
      <c r="C564" s="43"/>
      <c r="D564" s="138"/>
      <c r="E564" s="138"/>
      <c r="F564" s="139"/>
      <c r="G564" s="139"/>
      <c r="H564" s="139"/>
      <c r="I564" s="139"/>
      <c r="J564" s="139"/>
      <c r="K564" s="139"/>
      <c r="L564" s="139"/>
      <c r="M564" s="139"/>
      <c r="N564" s="139"/>
      <c r="O564" s="140"/>
      <c r="P564" s="139"/>
      <c r="Q564" s="139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</row>
    <row r="565" spans="1:35">
      <c r="A565" s="143"/>
      <c r="B565" s="143"/>
      <c r="C565" s="43"/>
      <c r="D565" s="138"/>
      <c r="E565" s="138"/>
      <c r="F565" s="139"/>
      <c r="G565" s="139"/>
      <c r="H565" s="139"/>
      <c r="I565" s="139"/>
      <c r="J565" s="139"/>
      <c r="K565" s="139"/>
      <c r="L565" s="139"/>
      <c r="M565" s="139"/>
      <c r="N565" s="139"/>
      <c r="O565" s="140"/>
      <c r="P565" s="139"/>
      <c r="Q565" s="139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</row>
    <row r="566" spans="1:35">
      <c r="A566" s="143"/>
      <c r="B566" s="143"/>
      <c r="C566" s="43"/>
      <c r="D566" s="138"/>
      <c r="E566" s="138"/>
      <c r="F566" s="139"/>
      <c r="G566" s="139"/>
      <c r="H566" s="139"/>
      <c r="I566" s="139"/>
      <c r="J566" s="139"/>
      <c r="K566" s="139"/>
      <c r="L566" s="139"/>
      <c r="M566" s="139"/>
      <c r="N566" s="139"/>
      <c r="O566" s="140"/>
      <c r="P566" s="139"/>
      <c r="Q566" s="139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</row>
    <row r="567" spans="1:35">
      <c r="A567" s="143"/>
      <c r="B567" s="143"/>
      <c r="C567" s="43"/>
      <c r="D567" s="138"/>
      <c r="E567" s="138"/>
      <c r="F567" s="139"/>
      <c r="G567" s="139"/>
      <c r="H567" s="139"/>
      <c r="I567" s="139"/>
      <c r="J567" s="139"/>
      <c r="K567" s="139"/>
      <c r="L567" s="139"/>
      <c r="M567" s="139"/>
      <c r="N567" s="139"/>
      <c r="O567" s="140"/>
      <c r="P567" s="139"/>
      <c r="Q567" s="139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</row>
    <row r="568" spans="1:35">
      <c r="A568" s="143"/>
      <c r="B568" s="143"/>
      <c r="C568" s="43"/>
      <c r="D568" s="138"/>
      <c r="E568" s="138"/>
      <c r="F568" s="139"/>
      <c r="G568" s="139"/>
      <c r="H568" s="139"/>
      <c r="I568" s="139"/>
      <c r="J568" s="139"/>
      <c r="K568" s="139"/>
      <c r="L568" s="139"/>
      <c r="M568" s="139"/>
      <c r="N568" s="139"/>
      <c r="O568" s="140"/>
      <c r="P568" s="139"/>
      <c r="Q568" s="139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</row>
    <row r="569" spans="1:35">
      <c r="A569" s="143"/>
      <c r="B569" s="143"/>
      <c r="C569" s="43"/>
      <c r="D569" s="138"/>
      <c r="E569" s="138"/>
      <c r="F569" s="139"/>
      <c r="G569" s="139"/>
      <c r="H569" s="139"/>
      <c r="I569" s="139"/>
      <c r="J569" s="139"/>
      <c r="K569" s="139"/>
      <c r="L569" s="139"/>
      <c r="M569" s="139"/>
      <c r="N569" s="139"/>
      <c r="O569" s="140"/>
      <c r="P569" s="139"/>
      <c r="Q569" s="139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</row>
    <row r="570" spans="1:35">
      <c r="A570" s="143"/>
      <c r="B570" s="143"/>
      <c r="C570" s="43"/>
      <c r="D570" s="138"/>
      <c r="E570" s="138"/>
      <c r="F570" s="139"/>
      <c r="G570" s="139"/>
      <c r="H570" s="139"/>
      <c r="I570" s="139"/>
      <c r="J570" s="139"/>
      <c r="K570" s="139"/>
      <c r="L570" s="139"/>
      <c r="M570" s="139"/>
      <c r="N570" s="139"/>
      <c r="O570" s="140"/>
      <c r="P570" s="139"/>
      <c r="Q570" s="139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</row>
    <row r="571" spans="1:35">
      <c r="A571" s="143"/>
      <c r="B571" s="143"/>
      <c r="C571" s="43"/>
      <c r="D571" s="138"/>
      <c r="E571" s="138"/>
      <c r="F571" s="139"/>
      <c r="G571" s="139"/>
      <c r="H571" s="139"/>
      <c r="I571" s="139"/>
      <c r="J571" s="139"/>
      <c r="K571" s="139"/>
      <c r="L571" s="139"/>
      <c r="M571" s="139"/>
      <c r="N571" s="139"/>
      <c r="O571" s="140"/>
      <c r="P571" s="139"/>
      <c r="Q571" s="139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</row>
    <row r="572" spans="1:35">
      <c r="A572" s="143"/>
      <c r="B572" s="143"/>
      <c r="C572" s="43"/>
      <c r="D572" s="138"/>
      <c r="E572" s="138"/>
      <c r="F572" s="139"/>
      <c r="G572" s="139"/>
      <c r="H572" s="139"/>
      <c r="I572" s="139"/>
      <c r="J572" s="139"/>
      <c r="K572" s="139"/>
      <c r="L572" s="139"/>
      <c r="M572" s="139"/>
      <c r="N572" s="139"/>
      <c r="O572" s="140"/>
      <c r="P572" s="139"/>
      <c r="Q572" s="139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</row>
    <row r="573" spans="1:35">
      <c r="A573" s="143"/>
      <c r="B573" s="143"/>
      <c r="C573" s="43"/>
      <c r="D573" s="138"/>
      <c r="E573" s="138"/>
      <c r="F573" s="139"/>
      <c r="G573" s="139"/>
      <c r="H573" s="139"/>
      <c r="I573" s="139"/>
      <c r="J573" s="139"/>
      <c r="K573" s="139"/>
      <c r="L573" s="139"/>
      <c r="M573" s="139"/>
      <c r="N573" s="139"/>
      <c r="O573" s="140"/>
      <c r="P573" s="139"/>
      <c r="Q573" s="139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</row>
    <row r="574" spans="1:35">
      <c r="A574" s="143"/>
      <c r="B574" s="143"/>
      <c r="C574" s="43"/>
      <c r="D574" s="138"/>
      <c r="E574" s="138"/>
      <c r="F574" s="139"/>
      <c r="G574" s="139"/>
      <c r="H574" s="139"/>
      <c r="I574" s="139"/>
      <c r="J574" s="139"/>
      <c r="K574" s="139"/>
      <c r="L574" s="139"/>
      <c r="M574" s="139"/>
      <c r="N574" s="139"/>
      <c r="O574" s="140"/>
      <c r="P574" s="139"/>
      <c r="Q574" s="139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</row>
    <row r="575" spans="1:35">
      <c r="A575" s="143"/>
      <c r="B575" s="143"/>
      <c r="C575" s="43"/>
      <c r="D575" s="138"/>
      <c r="E575" s="138"/>
      <c r="F575" s="139"/>
      <c r="G575" s="139"/>
      <c r="H575" s="139"/>
      <c r="I575" s="139"/>
      <c r="J575" s="139"/>
      <c r="K575" s="139"/>
      <c r="L575" s="139"/>
      <c r="M575" s="139"/>
      <c r="N575" s="139"/>
      <c r="O575" s="140"/>
      <c r="P575" s="139"/>
      <c r="Q575" s="139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</row>
    <row r="576" spans="1:35">
      <c r="A576" s="143"/>
      <c r="B576" s="143"/>
      <c r="C576" s="43"/>
      <c r="D576" s="138"/>
      <c r="E576" s="138"/>
      <c r="F576" s="139"/>
      <c r="G576" s="139"/>
      <c r="H576" s="139"/>
      <c r="I576" s="139"/>
      <c r="J576" s="139"/>
      <c r="K576" s="139"/>
      <c r="L576" s="139"/>
      <c r="M576" s="139"/>
      <c r="N576" s="139"/>
      <c r="O576" s="140"/>
      <c r="P576" s="139"/>
      <c r="Q576" s="139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</row>
    <row r="577" spans="1:35">
      <c r="A577" s="143"/>
      <c r="B577" s="143"/>
      <c r="C577" s="43"/>
      <c r="D577" s="138"/>
      <c r="E577" s="138"/>
      <c r="F577" s="139"/>
      <c r="G577" s="139"/>
      <c r="H577" s="139"/>
      <c r="I577" s="139"/>
      <c r="J577" s="139"/>
      <c r="K577" s="139"/>
      <c r="L577" s="139"/>
      <c r="M577" s="139"/>
      <c r="N577" s="139"/>
      <c r="O577" s="140"/>
      <c r="P577" s="139"/>
      <c r="Q577" s="139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</row>
    <row r="578" spans="1:35">
      <c r="A578" s="143"/>
      <c r="B578" s="143"/>
      <c r="C578" s="43"/>
      <c r="D578" s="138"/>
      <c r="E578" s="138"/>
      <c r="F578" s="139"/>
      <c r="G578" s="139"/>
      <c r="H578" s="139"/>
      <c r="I578" s="139"/>
      <c r="J578" s="139"/>
      <c r="K578" s="139"/>
      <c r="L578" s="139"/>
      <c r="M578" s="139"/>
      <c r="N578" s="139"/>
      <c r="O578" s="140"/>
      <c r="P578" s="139"/>
      <c r="Q578" s="139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</row>
    <row r="579" spans="1:35">
      <c r="A579" s="143"/>
      <c r="B579" s="143"/>
      <c r="C579" s="43"/>
      <c r="D579" s="138"/>
      <c r="E579" s="138"/>
      <c r="F579" s="139"/>
      <c r="G579" s="139"/>
      <c r="H579" s="139"/>
      <c r="I579" s="139"/>
      <c r="J579" s="139"/>
      <c r="K579" s="139"/>
      <c r="L579" s="139"/>
      <c r="M579" s="139"/>
      <c r="N579" s="139"/>
      <c r="O579" s="140"/>
      <c r="P579" s="139"/>
      <c r="Q579" s="139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</row>
    <row r="580" spans="1:35">
      <c r="A580" s="143"/>
      <c r="B580" s="143"/>
      <c r="C580" s="43"/>
      <c r="D580" s="138"/>
      <c r="E580" s="138"/>
      <c r="F580" s="139"/>
      <c r="G580" s="139"/>
      <c r="H580" s="139"/>
      <c r="I580" s="139"/>
      <c r="J580" s="139"/>
      <c r="K580" s="139"/>
      <c r="L580" s="139"/>
      <c r="M580" s="139"/>
      <c r="N580" s="139"/>
      <c r="O580" s="140"/>
      <c r="P580" s="139"/>
      <c r="Q580" s="139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</row>
    <row r="581" spans="1:35">
      <c r="A581" s="143"/>
      <c r="B581" s="143"/>
      <c r="C581" s="43"/>
      <c r="D581" s="138"/>
      <c r="E581" s="138"/>
      <c r="F581" s="139"/>
      <c r="G581" s="139"/>
      <c r="H581" s="139"/>
      <c r="I581" s="139"/>
      <c r="J581" s="139"/>
      <c r="K581" s="139"/>
      <c r="L581" s="139"/>
      <c r="M581" s="139"/>
      <c r="N581" s="139"/>
      <c r="O581" s="140"/>
      <c r="P581" s="139"/>
      <c r="Q581" s="139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</row>
    <row r="582" spans="1:35">
      <c r="A582" s="143"/>
      <c r="B582" s="143"/>
      <c r="C582" s="43"/>
      <c r="D582" s="138"/>
      <c r="E582" s="138"/>
      <c r="F582" s="139"/>
      <c r="G582" s="139"/>
      <c r="H582" s="139"/>
      <c r="I582" s="139"/>
      <c r="J582" s="139"/>
      <c r="K582" s="139"/>
      <c r="L582" s="139"/>
      <c r="M582" s="139"/>
      <c r="N582" s="139"/>
      <c r="O582" s="140"/>
      <c r="P582" s="139"/>
      <c r="Q582" s="139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</row>
    <row r="583" spans="1:35">
      <c r="A583" s="143"/>
      <c r="B583" s="143"/>
      <c r="C583" s="43"/>
      <c r="D583" s="138"/>
      <c r="E583" s="138"/>
      <c r="F583" s="139"/>
      <c r="G583" s="139"/>
      <c r="H583" s="139"/>
      <c r="I583" s="139"/>
      <c r="J583" s="139"/>
      <c r="K583" s="139"/>
      <c r="L583" s="139"/>
      <c r="M583" s="139"/>
      <c r="N583" s="139"/>
      <c r="O583" s="140"/>
      <c r="P583" s="139"/>
      <c r="Q583" s="139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</row>
    <row r="584" spans="1:35">
      <c r="A584" s="143"/>
      <c r="B584" s="143"/>
      <c r="C584" s="43"/>
      <c r="D584" s="138"/>
      <c r="E584" s="138"/>
      <c r="F584" s="139"/>
      <c r="G584" s="139"/>
      <c r="H584" s="139"/>
      <c r="I584" s="139"/>
      <c r="J584" s="139"/>
      <c r="K584" s="139"/>
      <c r="L584" s="139"/>
      <c r="M584" s="139"/>
      <c r="N584" s="139"/>
      <c r="O584" s="140"/>
      <c r="P584" s="139"/>
      <c r="Q584" s="139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</row>
    <row r="585" spans="1:35">
      <c r="A585" s="143"/>
      <c r="B585" s="143"/>
      <c r="C585" s="43"/>
      <c r="D585" s="138"/>
      <c r="E585" s="138"/>
      <c r="F585" s="139"/>
      <c r="G585" s="139"/>
      <c r="H585" s="139"/>
      <c r="I585" s="139"/>
      <c r="J585" s="139"/>
      <c r="K585" s="139"/>
      <c r="L585" s="139"/>
      <c r="M585" s="139"/>
      <c r="N585" s="139"/>
      <c r="O585" s="140"/>
      <c r="P585" s="139"/>
      <c r="Q585" s="139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</row>
    <row r="586" spans="1:35">
      <c r="A586" s="143"/>
      <c r="B586" s="143"/>
      <c r="C586" s="43"/>
      <c r="D586" s="138"/>
      <c r="E586" s="138"/>
      <c r="F586" s="139"/>
      <c r="G586" s="139"/>
      <c r="H586" s="139"/>
      <c r="I586" s="139"/>
      <c r="J586" s="139"/>
      <c r="K586" s="139"/>
      <c r="L586" s="139"/>
      <c r="M586" s="139"/>
      <c r="N586" s="139"/>
      <c r="O586" s="140"/>
      <c r="P586" s="139"/>
      <c r="Q586" s="139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</row>
    <row r="587" spans="1:35">
      <c r="A587" s="143"/>
      <c r="B587" s="143"/>
      <c r="C587" s="43"/>
      <c r="D587" s="138"/>
      <c r="E587" s="138"/>
      <c r="F587" s="139"/>
      <c r="G587" s="139"/>
      <c r="H587" s="139"/>
      <c r="I587" s="139"/>
      <c r="J587" s="139"/>
      <c r="K587" s="139"/>
      <c r="L587" s="139"/>
      <c r="M587" s="139"/>
      <c r="N587" s="139"/>
      <c r="O587" s="140"/>
      <c r="P587" s="139"/>
      <c r="Q587" s="139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</row>
    <row r="588" spans="1:35">
      <c r="A588" s="143"/>
      <c r="B588" s="143"/>
      <c r="C588" s="43"/>
      <c r="D588" s="138"/>
      <c r="E588" s="138"/>
      <c r="F588" s="139"/>
      <c r="G588" s="139"/>
      <c r="H588" s="139"/>
      <c r="I588" s="139"/>
      <c r="J588" s="139"/>
      <c r="K588" s="139"/>
      <c r="L588" s="139"/>
      <c r="M588" s="139"/>
      <c r="N588" s="139"/>
      <c r="O588" s="140"/>
      <c r="P588" s="139"/>
      <c r="Q588" s="139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</row>
    <row r="589" spans="1:35">
      <c r="A589" s="143"/>
      <c r="B589" s="143"/>
      <c r="C589" s="43"/>
      <c r="D589" s="138"/>
      <c r="E589" s="138"/>
      <c r="F589" s="139"/>
      <c r="G589" s="139"/>
      <c r="H589" s="139"/>
      <c r="I589" s="139"/>
      <c r="J589" s="139"/>
      <c r="K589" s="139"/>
      <c r="L589" s="139"/>
      <c r="M589" s="139"/>
      <c r="N589" s="139"/>
      <c r="O589" s="140"/>
      <c r="P589" s="139"/>
      <c r="Q589" s="139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</row>
    <row r="590" spans="1:35">
      <c r="A590" s="143"/>
      <c r="B590" s="143"/>
      <c r="C590" s="43"/>
      <c r="D590" s="138"/>
      <c r="E590" s="138"/>
      <c r="F590" s="139"/>
      <c r="G590" s="139"/>
      <c r="H590" s="139"/>
      <c r="I590" s="139"/>
      <c r="J590" s="139"/>
      <c r="K590" s="139"/>
      <c r="L590" s="139"/>
      <c r="M590" s="139"/>
      <c r="N590" s="139"/>
      <c r="O590" s="140"/>
      <c r="P590" s="139"/>
      <c r="Q590" s="139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</row>
    <row r="591" spans="1:35">
      <c r="A591" s="143"/>
      <c r="B591" s="143"/>
      <c r="C591" s="43"/>
      <c r="D591" s="138"/>
      <c r="E591" s="138"/>
      <c r="F591" s="139"/>
      <c r="G591" s="139"/>
      <c r="H591" s="139"/>
      <c r="I591" s="139"/>
      <c r="J591" s="139"/>
      <c r="K591" s="139"/>
      <c r="L591" s="139"/>
      <c r="M591" s="139"/>
      <c r="N591" s="139"/>
      <c r="O591" s="140"/>
      <c r="P591" s="139"/>
      <c r="Q591" s="139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</row>
    <row r="592" spans="1:35">
      <c r="A592" s="143"/>
      <c r="B592" s="143"/>
      <c r="C592" s="43"/>
      <c r="D592" s="138"/>
      <c r="E592" s="138"/>
      <c r="F592" s="139"/>
      <c r="G592" s="139"/>
      <c r="H592" s="139"/>
      <c r="I592" s="139"/>
      <c r="J592" s="139"/>
      <c r="K592" s="139"/>
      <c r="L592" s="139"/>
      <c r="M592" s="139"/>
      <c r="N592" s="139"/>
      <c r="O592" s="140"/>
      <c r="P592" s="139"/>
      <c r="Q592" s="139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</row>
    <row r="593" spans="1:35">
      <c r="A593" s="143"/>
      <c r="B593" s="143"/>
      <c r="C593" s="43"/>
      <c r="D593" s="138"/>
      <c r="E593" s="138"/>
      <c r="F593" s="139"/>
      <c r="G593" s="139"/>
      <c r="H593" s="139"/>
      <c r="I593" s="139"/>
      <c r="J593" s="139"/>
      <c r="K593" s="139"/>
      <c r="L593" s="139"/>
      <c r="M593" s="139"/>
      <c r="N593" s="139"/>
      <c r="O593" s="140"/>
      <c r="P593" s="139"/>
      <c r="Q593" s="139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</row>
    <row r="594" spans="1:35">
      <c r="A594" s="143"/>
      <c r="B594" s="143"/>
      <c r="C594" s="43"/>
      <c r="D594" s="138"/>
      <c r="E594" s="138"/>
      <c r="F594" s="139"/>
      <c r="G594" s="139"/>
      <c r="H594" s="139"/>
      <c r="I594" s="139"/>
      <c r="J594" s="139"/>
      <c r="K594" s="139"/>
      <c r="L594" s="139"/>
      <c r="M594" s="139"/>
      <c r="N594" s="139"/>
      <c r="O594" s="140"/>
      <c r="P594" s="139"/>
      <c r="Q594" s="139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</row>
    <row r="595" spans="1:35">
      <c r="A595" s="143"/>
      <c r="B595" s="143"/>
      <c r="C595" s="43"/>
      <c r="D595" s="138"/>
      <c r="E595" s="138"/>
      <c r="F595" s="139"/>
      <c r="G595" s="139"/>
      <c r="H595" s="139"/>
      <c r="I595" s="139"/>
      <c r="J595" s="139"/>
      <c r="K595" s="139"/>
      <c r="L595" s="139"/>
      <c r="M595" s="139"/>
      <c r="N595" s="139"/>
      <c r="O595" s="140"/>
      <c r="P595" s="139"/>
      <c r="Q595" s="139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</row>
    <row r="596" spans="1:35">
      <c r="A596" s="143"/>
      <c r="B596" s="143"/>
      <c r="C596" s="43"/>
      <c r="D596" s="138"/>
      <c r="E596" s="138"/>
      <c r="F596" s="139"/>
      <c r="G596" s="139"/>
      <c r="H596" s="139"/>
      <c r="I596" s="139"/>
      <c r="J596" s="139"/>
      <c r="K596" s="139"/>
      <c r="L596" s="139"/>
      <c r="M596" s="139"/>
      <c r="N596" s="139"/>
      <c r="O596" s="140"/>
      <c r="P596" s="139"/>
      <c r="Q596" s="139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</row>
    <row r="597" spans="1:35">
      <c r="A597" s="143"/>
      <c r="B597" s="143"/>
      <c r="C597" s="43"/>
      <c r="D597" s="138"/>
      <c r="E597" s="138"/>
      <c r="F597" s="139"/>
      <c r="G597" s="139"/>
      <c r="H597" s="139"/>
      <c r="I597" s="139"/>
      <c r="J597" s="139"/>
      <c r="K597" s="139"/>
      <c r="L597" s="139"/>
      <c r="M597" s="139"/>
      <c r="N597" s="139"/>
      <c r="O597" s="140"/>
      <c r="P597" s="139"/>
      <c r="Q597" s="139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</row>
    <row r="598" spans="1:35">
      <c r="A598" s="143"/>
      <c r="B598" s="143"/>
      <c r="C598" s="43"/>
      <c r="D598" s="138"/>
      <c r="E598" s="138"/>
      <c r="F598" s="139"/>
      <c r="G598" s="139"/>
      <c r="H598" s="139"/>
      <c r="I598" s="139"/>
      <c r="J598" s="139"/>
      <c r="K598" s="139"/>
      <c r="L598" s="139"/>
      <c r="M598" s="139"/>
      <c r="N598" s="139"/>
      <c r="O598" s="140"/>
      <c r="P598" s="139"/>
      <c r="Q598" s="139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</row>
    <row r="599" spans="1:35">
      <c r="A599" s="143"/>
      <c r="B599" s="143"/>
      <c r="C599" s="43"/>
      <c r="D599" s="138"/>
      <c r="E599" s="138"/>
      <c r="F599" s="139"/>
      <c r="G599" s="139"/>
      <c r="H599" s="139"/>
      <c r="I599" s="139"/>
      <c r="J599" s="139"/>
      <c r="K599" s="139"/>
      <c r="L599" s="139"/>
      <c r="M599" s="139"/>
      <c r="N599" s="139"/>
      <c r="O599" s="140"/>
      <c r="P599" s="139"/>
      <c r="Q599" s="139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</row>
    <row r="600" spans="1:35">
      <c r="A600" s="143"/>
      <c r="B600" s="143"/>
      <c r="C600" s="43"/>
      <c r="D600" s="138"/>
      <c r="E600" s="138"/>
      <c r="F600" s="139"/>
      <c r="G600" s="139"/>
      <c r="H600" s="139"/>
      <c r="I600" s="139"/>
      <c r="J600" s="139"/>
      <c r="K600" s="139"/>
      <c r="L600" s="139"/>
      <c r="M600" s="139"/>
      <c r="N600" s="139"/>
      <c r="O600" s="140"/>
      <c r="P600" s="139"/>
      <c r="Q600" s="139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</row>
    <row r="601" spans="1:35">
      <c r="A601" s="143"/>
      <c r="B601" s="143"/>
      <c r="C601" s="43"/>
      <c r="D601" s="138"/>
      <c r="E601" s="138"/>
      <c r="F601" s="139"/>
      <c r="G601" s="139"/>
      <c r="H601" s="139"/>
      <c r="I601" s="139"/>
      <c r="J601" s="139"/>
      <c r="K601" s="139"/>
      <c r="L601" s="139"/>
      <c r="M601" s="139"/>
      <c r="N601" s="139"/>
      <c r="O601" s="140"/>
      <c r="P601" s="139"/>
      <c r="Q601" s="139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</row>
    <row r="602" spans="1:35">
      <c r="A602" s="143"/>
      <c r="B602" s="143"/>
      <c r="C602" s="43"/>
      <c r="D602" s="138"/>
      <c r="E602" s="138"/>
      <c r="F602" s="139"/>
      <c r="G602" s="139"/>
      <c r="H602" s="139"/>
      <c r="I602" s="139"/>
      <c r="J602" s="139"/>
      <c r="K602" s="139"/>
      <c r="L602" s="139"/>
      <c r="M602" s="139"/>
      <c r="N602" s="139"/>
      <c r="O602" s="140"/>
      <c r="P602" s="139"/>
      <c r="Q602" s="139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</row>
    <row r="603" spans="1:35">
      <c r="A603" s="143"/>
      <c r="B603" s="143"/>
      <c r="C603" s="43"/>
      <c r="D603" s="138"/>
      <c r="E603" s="138"/>
      <c r="F603" s="139"/>
      <c r="G603" s="139"/>
      <c r="H603" s="139"/>
      <c r="I603" s="139"/>
      <c r="J603" s="139"/>
      <c r="K603" s="139"/>
      <c r="L603" s="139"/>
      <c r="M603" s="139"/>
      <c r="N603" s="139"/>
      <c r="O603" s="140"/>
      <c r="P603" s="139"/>
      <c r="Q603" s="139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</row>
    <row r="604" spans="1:35">
      <c r="A604" s="143"/>
      <c r="B604" s="143"/>
      <c r="C604" s="43"/>
      <c r="D604" s="138"/>
      <c r="E604" s="138"/>
      <c r="F604" s="139"/>
      <c r="G604" s="139"/>
      <c r="H604" s="139"/>
      <c r="I604" s="139"/>
      <c r="J604" s="139"/>
      <c r="K604" s="139"/>
      <c r="L604" s="139"/>
      <c r="M604" s="139"/>
      <c r="N604" s="139"/>
      <c r="O604" s="140"/>
      <c r="P604" s="139"/>
      <c r="Q604" s="139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</row>
    <row r="605" spans="1:35">
      <c r="A605" s="143"/>
      <c r="B605" s="143"/>
      <c r="C605" s="43"/>
      <c r="D605" s="138"/>
      <c r="E605" s="138"/>
      <c r="F605" s="139"/>
      <c r="G605" s="139"/>
      <c r="H605" s="139"/>
      <c r="I605" s="139"/>
      <c r="J605" s="139"/>
      <c r="K605" s="139"/>
      <c r="L605" s="139"/>
      <c r="M605" s="139"/>
      <c r="N605" s="139"/>
      <c r="O605" s="140"/>
      <c r="P605" s="139"/>
      <c r="Q605" s="139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</row>
    <row r="606" spans="1:35">
      <c r="A606" s="143"/>
      <c r="B606" s="143"/>
      <c r="C606" s="43"/>
      <c r="D606" s="138"/>
      <c r="E606" s="138"/>
      <c r="F606" s="139"/>
      <c r="G606" s="139"/>
      <c r="H606" s="139"/>
      <c r="I606" s="139"/>
      <c r="J606" s="139"/>
      <c r="K606" s="139"/>
      <c r="L606" s="139"/>
      <c r="M606" s="139"/>
      <c r="N606" s="139"/>
      <c r="O606" s="140"/>
      <c r="P606" s="139"/>
      <c r="Q606" s="139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</row>
    <row r="607" spans="1:35">
      <c r="A607" s="143"/>
      <c r="B607" s="143"/>
      <c r="C607" s="43"/>
      <c r="D607" s="138"/>
      <c r="E607" s="138"/>
      <c r="F607" s="139"/>
      <c r="G607" s="139"/>
      <c r="H607" s="139"/>
      <c r="I607" s="139"/>
      <c r="J607" s="139"/>
      <c r="K607" s="139"/>
      <c r="L607" s="139"/>
      <c r="M607" s="139"/>
      <c r="N607" s="139"/>
      <c r="O607" s="140"/>
      <c r="P607" s="139"/>
      <c r="Q607" s="139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</row>
    <row r="608" spans="1:35">
      <c r="A608" s="143"/>
      <c r="B608" s="143"/>
      <c r="C608" s="43"/>
      <c r="D608" s="138"/>
      <c r="E608" s="138"/>
      <c r="F608" s="139"/>
      <c r="G608" s="139"/>
      <c r="H608" s="139"/>
      <c r="I608" s="139"/>
      <c r="J608" s="139"/>
      <c r="K608" s="139"/>
      <c r="L608" s="139"/>
      <c r="M608" s="139"/>
      <c r="N608" s="139"/>
      <c r="O608" s="140"/>
      <c r="P608" s="139"/>
      <c r="Q608" s="139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</row>
    <row r="609" spans="1:35">
      <c r="A609" s="143"/>
      <c r="B609" s="143"/>
      <c r="C609" s="43"/>
      <c r="D609" s="138"/>
      <c r="E609" s="138"/>
      <c r="F609" s="139"/>
      <c r="G609" s="139"/>
      <c r="H609" s="139"/>
      <c r="I609" s="139"/>
      <c r="J609" s="139"/>
      <c r="K609" s="139"/>
      <c r="L609" s="139"/>
      <c r="M609" s="139"/>
      <c r="N609" s="139"/>
      <c r="O609" s="140"/>
      <c r="P609" s="139"/>
      <c r="Q609" s="139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</row>
    <row r="610" spans="1:35">
      <c r="A610" s="143"/>
      <c r="B610" s="143"/>
      <c r="C610" s="43"/>
      <c r="D610" s="138"/>
      <c r="E610" s="138"/>
      <c r="F610" s="139"/>
      <c r="G610" s="139"/>
      <c r="H610" s="139"/>
      <c r="I610" s="139"/>
      <c r="J610" s="139"/>
      <c r="K610" s="139"/>
      <c r="L610" s="139"/>
      <c r="M610" s="139"/>
      <c r="N610" s="139"/>
      <c r="O610" s="140"/>
      <c r="P610" s="139"/>
      <c r="Q610" s="139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</row>
    <row r="611" spans="1:35">
      <c r="A611" s="143"/>
      <c r="B611" s="143"/>
      <c r="C611" s="43"/>
      <c r="D611" s="138"/>
      <c r="E611" s="138"/>
      <c r="F611" s="139"/>
      <c r="G611" s="139"/>
      <c r="H611" s="139"/>
      <c r="I611" s="139"/>
      <c r="J611" s="139"/>
      <c r="K611" s="139"/>
      <c r="L611" s="139"/>
      <c r="M611" s="139"/>
      <c r="N611" s="139"/>
      <c r="O611" s="140"/>
      <c r="P611" s="139"/>
      <c r="Q611" s="139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</row>
    <row r="612" spans="1:35">
      <c r="A612" s="143"/>
      <c r="B612" s="143"/>
      <c r="C612" s="43"/>
      <c r="D612" s="138"/>
      <c r="E612" s="138"/>
      <c r="F612" s="139"/>
      <c r="G612" s="139"/>
      <c r="H612" s="139"/>
      <c r="I612" s="139"/>
      <c r="J612" s="139"/>
      <c r="K612" s="139"/>
      <c r="L612" s="139"/>
      <c r="M612" s="139"/>
      <c r="N612" s="139"/>
      <c r="O612" s="140"/>
      <c r="P612" s="139"/>
      <c r="Q612" s="139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</row>
    <row r="613" spans="1:35">
      <c r="A613" s="143"/>
      <c r="B613" s="143"/>
      <c r="C613" s="43"/>
      <c r="D613" s="138"/>
      <c r="E613" s="138"/>
      <c r="F613" s="139"/>
      <c r="G613" s="139"/>
      <c r="H613" s="139"/>
      <c r="I613" s="139"/>
      <c r="J613" s="139"/>
      <c r="K613" s="139"/>
      <c r="L613" s="139"/>
      <c r="M613" s="139"/>
      <c r="N613" s="139"/>
      <c r="O613" s="140"/>
      <c r="P613" s="139"/>
      <c r="Q613" s="139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</row>
    <row r="614" spans="1:35">
      <c r="A614" s="143"/>
      <c r="B614" s="143"/>
      <c r="C614" s="43"/>
      <c r="D614" s="138"/>
      <c r="E614" s="138"/>
      <c r="F614" s="139"/>
      <c r="G614" s="139"/>
      <c r="H614" s="139"/>
      <c r="I614" s="139"/>
      <c r="J614" s="139"/>
      <c r="K614" s="139"/>
      <c r="L614" s="139"/>
      <c r="M614" s="139"/>
      <c r="N614" s="139"/>
      <c r="O614" s="140"/>
      <c r="P614" s="139"/>
      <c r="Q614" s="139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</row>
    <row r="615" spans="1:35">
      <c r="A615" s="143"/>
      <c r="B615" s="143"/>
      <c r="C615" s="43"/>
      <c r="D615" s="138"/>
      <c r="E615" s="138"/>
      <c r="F615" s="139"/>
      <c r="G615" s="139"/>
      <c r="H615" s="139"/>
      <c r="I615" s="139"/>
      <c r="J615" s="139"/>
      <c r="K615" s="139"/>
      <c r="L615" s="139"/>
      <c r="M615" s="139"/>
      <c r="N615" s="139"/>
      <c r="O615" s="140"/>
      <c r="P615" s="139"/>
      <c r="Q615" s="139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</row>
    <row r="616" spans="1:35">
      <c r="A616" s="143"/>
      <c r="B616" s="143"/>
      <c r="C616" s="43"/>
      <c r="D616" s="138"/>
      <c r="E616" s="138"/>
      <c r="F616" s="139"/>
      <c r="G616" s="139"/>
      <c r="H616" s="139"/>
      <c r="I616" s="139"/>
      <c r="J616" s="139"/>
      <c r="K616" s="139"/>
      <c r="L616" s="139"/>
      <c r="M616" s="139"/>
      <c r="N616" s="139"/>
      <c r="O616" s="140"/>
      <c r="P616" s="139"/>
      <c r="Q616" s="139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</row>
    <row r="617" spans="1:35">
      <c r="A617" s="143"/>
      <c r="B617" s="143"/>
      <c r="C617" s="43"/>
      <c r="D617" s="138"/>
      <c r="E617" s="138"/>
      <c r="F617" s="139"/>
      <c r="G617" s="139"/>
      <c r="H617" s="139"/>
      <c r="I617" s="139"/>
      <c r="J617" s="139"/>
      <c r="K617" s="139"/>
      <c r="L617" s="139"/>
      <c r="M617" s="139"/>
      <c r="N617" s="139"/>
      <c r="O617" s="140"/>
      <c r="P617" s="139"/>
      <c r="Q617" s="139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</row>
    <row r="618" spans="1:35">
      <c r="A618" s="143"/>
      <c r="B618" s="143"/>
      <c r="C618" s="43"/>
      <c r="D618" s="138"/>
      <c r="E618" s="138"/>
      <c r="F618" s="139"/>
      <c r="G618" s="139"/>
      <c r="H618" s="139"/>
      <c r="I618" s="139"/>
      <c r="J618" s="139"/>
      <c r="K618" s="139"/>
      <c r="L618" s="139"/>
      <c r="M618" s="139"/>
      <c r="N618" s="139"/>
      <c r="O618" s="140"/>
      <c r="P618" s="139"/>
      <c r="Q618" s="139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</row>
    <row r="619" spans="1:35">
      <c r="A619" s="143"/>
      <c r="B619" s="143"/>
      <c r="C619" s="43"/>
      <c r="D619" s="138"/>
      <c r="E619" s="138"/>
      <c r="F619" s="139"/>
      <c r="G619" s="139"/>
      <c r="H619" s="139"/>
      <c r="I619" s="139"/>
      <c r="J619" s="139"/>
      <c r="K619" s="139"/>
      <c r="L619" s="139"/>
      <c r="M619" s="139"/>
      <c r="N619" s="139"/>
      <c r="O619" s="140"/>
      <c r="P619" s="139"/>
      <c r="Q619" s="139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</row>
    <row r="620" spans="1:35">
      <c r="A620" s="143"/>
      <c r="B620" s="143"/>
      <c r="C620" s="43"/>
      <c r="D620" s="138"/>
      <c r="E620" s="138"/>
      <c r="F620" s="139"/>
      <c r="G620" s="139"/>
      <c r="H620" s="139"/>
      <c r="I620" s="139"/>
      <c r="J620" s="139"/>
      <c r="K620" s="139"/>
      <c r="L620" s="139"/>
      <c r="M620" s="139"/>
      <c r="N620" s="139"/>
      <c r="O620" s="140"/>
      <c r="P620" s="139"/>
      <c r="Q620" s="139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</row>
    <row r="621" spans="1:35">
      <c r="A621" s="143"/>
      <c r="B621" s="143"/>
      <c r="C621" s="43"/>
      <c r="D621" s="138"/>
      <c r="E621" s="138"/>
      <c r="F621" s="139"/>
      <c r="G621" s="139"/>
      <c r="H621" s="139"/>
      <c r="I621" s="139"/>
      <c r="J621" s="139"/>
      <c r="K621" s="139"/>
      <c r="L621" s="139"/>
      <c r="M621" s="139"/>
      <c r="N621" s="139"/>
      <c r="O621" s="140"/>
      <c r="P621" s="139"/>
      <c r="Q621" s="139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</row>
    <row r="622" spans="1:35">
      <c r="A622" s="143"/>
      <c r="B622" s="143"/>
      <c r="C622" s="43"/>
      <c r="D622" s="138"/>
      <c r="E622" s="138"/>
      <c r="F622" s="139"/>
      <c r="G622" s="139"/>
      <c r="H622" s="139"/>
      <c r="I622" s="139"/>
      <c r="J622" s="139"/>
      <c r="K622" s="139"/>
      <c r="L622" s="139"/>
      <c r="M622" s="139"/>
      <c r="N622" s="139"/>
      <c r="O622" s="140"/>
      <c r="P622" s="139"/>
      <c r="Q622" s="139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</row>
    <row r="623" spans="1:35">
      <c r="A623" s="143"/>
      <c r="B623" s="143"/>
      <c r="C623" s="43"/>
      <c r="D623" s="138"/>
      <c r="E623" s="138"/>
      <c r="F623" s="139"/>
      <c r="G623" s="139"/>
      <c r="H623" s="139"/>
      <c r="I623" s="139"/>
      <c r="J623" s="139"/>
      <c r="K623" s="139"/>
      <c r="L623" s="139"/>
      <c r="M623" s="139"/>
      <c r="N623" s="139"/>
      <c r="O623" s="140"/>
      <c r="P623" s="139"/>
      <c r="Q623" s="139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</row>
    <row r="624" spans="1:35">
      <c r="A624" s="143"/>
      <c r="B624" s="143"/>
      <c r="C624" s="43"/>
      <c r="D624" s="138"/>
      <c r="E624" s="138"/>
      <c r="F624" s="139"/>
      <c r="G624" s="139"/>
      <c r="H624" s="139"/>
      <c r="I624" s="139"/>
      <c r="J624" s="139"/>
      <c r="K624" s="139"/>
      <c r="L624" s="139"/>
      <c r="M624" s="139"/>
      <c r="N624" s="139"/>
      <c r="O624" s="140"/>
      <c r="P624" s="139"/>
      <c r="Q624" s="139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</row>
    <row r="625" spans="1:35">
      <c r="A625" s="143"/>
      <c r="B625" s="143"/>
      <c r="C625" s="43"/>
      <c r="D625" s="138"/>
      <c r="E625" s="138"/>
      <c r="F625" s="139"/>
      <c r="G625" s="139"/>
      <c r="H625" s="139"/>
      <c r="I625" s="139"/>
      <c r="J625" s="139"/>
      <c r="K625" s="139"/>
      <c r="L625" s="139"/>
      <c r="M625" s="139"/>
      <c r="N625" s="139"/>
      <c r="O625" s="140"/>
      <c r="P625" s="139"/>
      <c r="Q625" s="139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</row>
    <row r="626" spans="1:35">
      <c r="A626" s="143"/>
      <c r="B626" s="143"/>
      <c r="C626" s="43"/>
      <c r="D626" s="138"/>
      <c r="E626" s="138"/>
      <c r="F626" s="139"/>
      <c r="G626" s="139"/>
      <c r="H626" s="139"/>
      <c r="I626" s="139"/>
      <c r="J626" s="139"/>
      <c r="K626" s="139"/>
      <c r="L626" s="139"/>
      <c r="M626" s="139"/>
      <c r="N626" s="139"/>
      <c r="O626" s="140"/>
      <c r="P626" s="139"/>
      <c r="Q626" s="139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</row>
    <row r="627" spans="1:35">
      <c r="A627" s="143"/>
      <c r="B627" s="143"/>
      <c r="C627" s="43"/>
      <c r="D627" s="138"/>
      <c r="E627" s="138"/>
      <c r="F627" s="139"/>
      <c r="G627" s="139"/>
      <c r="H627" s="139"/>
      <c r="I627" s="139"/>
      <c r="J627" s="139"/>
      <c r="K627" s="139"/>
      <c r="L627" s="139"/>
      <c r="M627" s="139"/>
      <c r="N627" s="139"/>
      <c r="O627" s="140"/>
      <c r="P627" s="139"/>
      <c r="Q627" s="139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</row>
    <row r="628" spans="1:35">
      <c r="A628" s="8"/>
      <c r="B628" s="8"/>
      <c r="C628" s="43"/>
      <c r="D628" s="138"/>
      <c r="E628" s="138"/>
      <c r="F628" s="139"/>
      <c r="G628" s="139"/>
      <c r="H628" s="139"/>
      <c r="I628" s="139"/>
      <c r="J628" s="139"/>
      <c r="K628" s="139"/>
      <c r="L628" s="139"/>
      <c r="M628" s="139"/>
      <c r="N628" s="139"/>
      <c r="O628" s="140"/>
      <c r="P628" s="139"/>
      <c r="Q628" s="139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</row>
    <row r="629" spans="1:35">
      <c r="A629" s="8"/>
      <c r="B629" s="8"/>
      <c r="C629" s="43"/>
      <c r="D629" s="138"/>
      <c r="E629" s="138"/>
      <c r="F629" s="139"/>
      <c r="G629" s="139"/>
      <c r="H629" s="139"/>
      <c r="I629" s="139"/>
      <c r="J629" s="139"/>
      <c r="K629" s="139"/>
      <c r="L629" s="139"/>
      <c r="M629" s="139"/>
      <c r="N629" s="139"/>
      <c r="O629" s="140"/>
      <c r="P629" s="139"/>
      <c r="Q629" s="139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</row>
    <row r="630" spans="1:35">
      <c r="A630" s="8"/>
      <c r="B630" s="8"/>
      <c r="C630" s="43"/>
      <c r="D630" s="138"/>
      <c r="E630" s="138"/>
      <c r="F630" s="139"/>
      <c r="G630" s="139"/>
      <c r="H630" s="139"/>
      <c r="I630" s="139"/>
      <c r="J630" s="139"/>
      <c r="K630" s="139"/>
      <c r="L630" s="139"/>
      <c r="M630" s="139"/>
      <c r="N630" s="139"/>
      <c r="O630" s="140"/>
      <c r="P630" s="139"/>
      <c r="Q630" s="139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</row>
    <row r="631" spans="1:35">
      <c r="A631" s="8"/>
      <c r="B631" s="8"/>
      <c r="C631" s="43"/>
      <c r="D631" s="138"/>
      <c r="E631" s="138"/>
      <c r="F631" s="139"/>
      <c r="G631" s="139"/>
      <c r="H631" s="139"/>
      <c r="I631" s="139"/>
      <c r="J631" s="139"/>
      <c r="K631" s="139"/>
      <c r="L631" s="139"/>
      <c r="M631" s="139"/>
      <c r="N631" s="139"/>
      <c r="O631" s="140"/>
      <c r="P631" s="139"/>
      <c r="Q631" s="139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</row>
    <row r="632" spans="1:35">
      <c r="A632" s="8"/>
      <c r="B632" s="8"/>
      <c r="C632" s="43"/>
      <c r="D632" s="138"/>
      <c r="E632" s="138"/>
      <c r="F632" s="139"/>
      <c r="G632" s="139"/>
      <c r="H632" s="139"/>
      <c r="I632" s="139"/>
      <c r="J632" s="139"/>
      <c r="K632" s="139"/>
      <c r="L632" s="139"/>
      <c r="M632" s="139"/>
      <c r="N632" s="139"/>
      <c r="O632" s="140"/>
      <c r="P632" s="139"/>
      <c r="Q632" s="139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</row>
    <row r="633" spans="1:35">
      <c r="A633" s="8"/>
      <c r="B633" s="8"/>
      <c r="C633" s="43"/>
      <c r="D633" s="138"/>
      <c r="E633" s="138"/>
      <c r="F633" s="139"/>
      <c r="G633" s="139"/>
      <c r="H633" s="139"/>
      <c r="I633" s="139"/>
      <c r="J633" s="139"/>
      <c r="K633" s="139"/>
      <c r="L633" s="139"/>
      <c r="M633" s="139"/>
      <c r="N633" s="139"/>
      <c r="O633" s="140"/>
      <c r="P633" s="139"/>
      <c r="Q633" s="139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</row>
    <row r="634" spans="1:35">
      <c r="A634" s="8"/>
      <c r="B634" s="8"/>
      <c r="C634" s="43"/>
      <c r="D634" s="138"/>
      <c r="E634" s="138"/>
      <c r="F634" s="139"/>
      <c r="G634" s="139"/>
      <c r="H634" s="139"/>
      <c r="I634" s="139"/>
      <c r="J634" s="139"/>
      <c r="K634" s="139"/>
      <c r="L634" s="139"/>
      <c r="M634" s="139"/>
      <c r="N634" s="139"/>
      <c r="O634" s="140"/>
      <c r="P634" s="139"/>
      <c r="Q634" s="139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</row>
    <row r="635" spans="1:35">
      <c r="A635" s="8"/>
      <c r="B635" s="8"/>
      <c r="C635" s="43"/>
      <c r="D635" s="138"/>
      <c r="E635" s="138"/>
      <c r="F635" s="139"/>
      <c r="G635" s="139"/>
      <c r="H635" s="139"/>
      <c r="I635" s="139"/>
      <c r="J635" s="139"/>
      <c r="K635" s="139"/>
      <c r="L635" s="139"/>
      <c r="M635" s="139"/>
      <c r="N635" s="139"/>
      <c r="O635" s="140"/>
      <c r="P635" s="139"/>
      <c r="Q635" s="139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</row>
    <row r="636" spans="1:35">
      <c r="A636" s="8"/>
      <c r="B636" s="8"/>
      <c r="C636" s="43"/>
      <c r="D636" s="138"/>
      <c r="E636" s="138"/>
      <c r="F636" s="139"/>
      <c r="G636" s="139"/>
      <c r="H636" s="139"/>
      <c r="I636" s="139"/>
      <c r="J636" s="139"/>
      <c r="K636" s="139"/>
      <c r="L636" s="139"/>
      <c r="M636" s="139"/>
      <c r="N636" s="139"/>
      <c r="O636" s="140"/>
      <c r="P636" s="139"/>
      <c r="Q636" s="139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</row>
    <row r="637" spans="1:35">
      <c r="A637" s="8"/>
      <c r="B637" s="8"/>
      <c r="C637" s="43"/>
      <c r="D637" s="138"/>
      <c r="E637" s="138"/>
      <c r="F637" s="139"/>
      <c r="G637" s="139"/>
      <c r="H637" s="139"/>
      <c r="I637" s="139"/>
      <c r="J637" s="139"/>
      <c r="K637" s="139"/>
      <c r="L637" s="139"/>
      <c r="M637" s="139"/>
      <c r="N637" s="139"/>
      <c r="O637" s="140"/>
      <c r="P637" s="139"/>
      <c r="Q637" s="139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</row>
    <row r="638" spans="1:35">
      <c r="A638" s="8"/>
      <c r="B638" s="8"/>
      <c r="C638" s="43"/>
      <c r="D638" s="138"/>
      <c r="E638" s="138"/>
      <c r="F638" s="139"/>
      <c r="G638" s="139"/>
      <c r="H638" s="139"/>
      <c r="I638" s="139"/>
      <c r="J638" s="139"/>
      <c r="K638" s="139"/>
      <c r="L638" s="139"/>
      <c r="M638" s="139"/>
      <c r="N638" s="139"/>
      <c r="O638" s="140"/>
      <c r="P638" s="139"/>
      <c r="Q638" s="139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</row>
    <row r="639" spans="1:35">
      <c r="A639" s="8"/>
      <c r="B639" s="8"/>
      <c r="C639" s="43"/>
      <c r="D639" s="138"/>
      <c r="E639" s="138"/>
      <c r="F639" s="139"/>
      <c r="G639" s="139"/>
      <c r="H639" s="139"/>
      <c r="I639" s="139"/>
      <c r="J639" s="139"/>
      <c r="K639" s="139"/>
      <c r="L639" s="139"/>
      <c r="M639" s="139"/>
      <c r="N639" s="139"/>
      <c r="O639" s="140"/>
      <c r="P639" s="139"/>
      <c r="Q639" s="139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</row>
    <row r="640" spans="1:35">
      <c r="A640" s="8"/>
      <c r="B640" s="8"/>
      <c r="C640" s="43"/>
      <c r="D640" s="138"/>
      <c r="E640" s="138"/>
      <c r="F640" s="139"/>
      <c r="G640" s="139"/>
      <c r="H640" s="139"/>
      <c r="I640" s="139"/>
      <c r="J640" s="139"/>
      <c r="K640" s="139"/>
      <c r="L640" s="139"/>
      <c r="M640" s="139"/>
      <c r="N640" s="139"/>
      <c r="O640" s="140"/>
      <c r="P640" s="139"/>
      <c r="Q640" s="139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</row>
    <row r="641" spans="1:35">
      <c r="A641" s="8"/>
      <c r="B641" s="8"/>
      <c r="C641" s="43"/>
      <c r="D641" s="138"/>
      <c r="E641" s="138"/>
      <c r="F641" s="139"/>
      <c r="G641" s="139"/>
      <c r="H641" s="139"/>
      <c r="I641" s="139"/>
      <c r="J641" s="139"/>
      <c r="K641" s="139"/>
      <c r="L641" s="139"/>
      <c r="M641" s="139"/>
      <c r="N641" s="139"/>
      <c r="O641" s="140"/>
      <c r="P641" s="139"/>
      <c r="Q641" s="139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</row>
    <row r="642" spans="1:35">
      <c r="A642" s="8"/>
      <c r="B642" s="8"/>
      <c r="C642" s="43"/>
      <c r="D642" s="138"/>
      <c r="E642" s="138"/>
      <c r="F642" s="139"/>
      <c r="G642" s="139"/>
      <c r="H642" s="139"/>
      <c r="I642" s="139"/>
      <c r="J642" s="139"/>
      <c r="K642" s="139"/>
      <c r="L642" s="139"/>
      <c r="M642" s="139"/>
      <c r="N642" s="139"/>
      <c r="O642" s="140"/>
      <c r="P642" s="139"/>
      <c r="Q642" s="139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</row>
    <row r="643" spans="1:35">
      <c r="A643" s="8"/>
      <c r="B643" s="8"/>
      <c r="C643" s="43"/>
      <c r="D643" s="138"/>
      <c r="E643" s="138"/>
      <c r="F643" s="139"/>
      <c r="G643" s="139"/>
      <c r="H643" s="139"/>
      <c r="I643" s="139"/>
      <c r="J643" s="139"/>
      <c r="K643" s="139"/>
      <c r="L643" s="139"/>
      <c r="M643" s="139"/>
      <c r="N643" s="139"/>
      <c r="O643" s="140"/>
      <c r="P643" s="139"/>
      <c r="Q643" s="139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</row>
    <row r="644" spans="1:35">
      <c r="A644" s="8"/>
      <c r="B644" s="8"/>
      <c r="C644" s="43"/>
      <c r="D644" s="138"/>
      <c r="E644" s="138"/>
      <c r="F644" s="139"/>
      <c r="G644" s="139"/>
      <c r="H644" s="139"/>
      <c r="I644" s="139"/>
      <c r="J644" s="139"/>
      <c r="K644" s="139"/>
      <c r="L644" s="139"/>
      <c r="M644" s="139"/>
      <c r="N644" s="139"/>
      <c r="O644" s="140"/>
      <c r="P644" s="139"/>
      <c r="Q644" s="139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</row>
    <row r="645" spans="1:35">
      <c r="A645" s="8"/>
      <c r="B645" s="8"/>
      <c r="C645" s="43"/>
      <c r="D645" s="138"/>
      <c r="E645" s="138"/>
      <c r="F645" s="139"/>
      <c r="G645" s="139"/>
      <c r="H645" s="139"/>
      <c r="I645" s="139"/>
      <c r="J645" s="139"/>
      <c r="K645" s="139"/>
      <c r="L645" s="139"/>
      <c r="M645" s="139"/>
      <c r="N645" s="139"/>
      <c r="O645" s="140"/>
      <c r="P645" s="139"/>
      <c r="Q645" s="139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</row>
    <row r="646" spans="1:35">
      <c r="A646" s="8"/>
      <c r="B646" s="8"/>
      <c r="C646" s="43"/>
      <c r="D646" s="138"/>
      <c r="E646" s="138"/>
      <c r="F646" s="139"/>
      <c r="G646" s="139"/>
      <c r="H646" s="139"/>
      <c r="I646" s="139"/>
      <c r="J646" s="139"/>
      <c r="K646" s="139"/>
      <c r="L646" s="139"/>
      <c r="M646" s="139"/>
      <c r="N646" s="139"/>
      <c r="O646" s="140"/>
      <c r="P646" s="139"/>
      <c r="Q646" s="139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</row>
    <row r="647" spans="1:35">
      <c r="A647" s="8"/>
      <c r="B647" s="8"/>
      <c r="C647" s="43"/>
      <c r="D647" s="138"/>
      <c r="E647" s="138"/>
      <c r="F647" s="139"/>
      <c r="G647" s="139"/>
      <c r="H647" s="139"/>
      <c r="I647" s="139"/>
      <c r="J647" s="139"/>
      <c r="K647" s="139"/>
      <c r="L647" s="139"/>
      <c r="M647" s="139"/>
      <c r="N647" s="139"/>
      <c r="O647" s="140"/>
      <c r="P647" s="139"/>
      <c r="Q647" s="139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</row>
    <row r="648" spans="1:35">
      <c r="A648" s="8"/>
      <c r="B648" s="8"/>
      <c r="C648" s="43"/>
      <c r="D648" s="138"/>
      <c r="E648" s="138"/>
      <c r="F648" s="139"/>
      <c r="G648" s="139"/>
      <c r="H648" s="139"/>
      <c r="I648" s="139"/>
      <c r="J648" s="139"/>
      <c r="K648" s="139"/>
      <c r="L648" s="139"/>
      <c r="M648" s="139"/>
      <c r="N648" s="139"/>
      <c r="O648" s="140"/>
      <c r="P648" s="139"/>
      <c r="Q648" s="139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</row>
    <row r="649" spans="1:35">
      <c r="A649" s="8"/>
      <c r="B649" s="8"/>
      <c r="C649" s="43"/>
      <c r="D649" s="138"/>
      <c r="E649" s="138"/>
      <c r="F649" s="139"/>
      <c r="G649" s="139"/>
      <c r="H649" s="139"/>
      <c r="I649" s="139"/>
      <c r="J649" s="139"/>
      <c r="K649" s="139"/>
      <c r="L649" s="139"/>
      <c r="M649" s="139"/>
      <c r="N649" s="139"/>
      <c r="O649" s="140"/>
      <c r="P649" s="139"/>
      <c r="Q649" s="139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</row>
    <row r="650" spans="1:35">
      <c r="A650" s="8"/>
      <c r="B650" s="8"/>
      <c r="C650" s="43"/>
      <c r="D650" s="138"/>
      <c r="E650" s="138"/>
      <c r="F650" s="139"/>
      <c r="G650" s="139"/>
      <c r="H650" s="139"/>
      <c r="I650" s="139"/>
      <c r="J650" s="139"/>
      <c r="K650" s="139"/>
      <c r="L650" s="139"/>
      <c r="M650" s="139"/>
      <c r="N650" s="139"/>
      <c r="O650" s="140"/>
      <c r="P650" s="139"/>
      <c r="Q650" s="139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</row>
    <row r="651" spans="1:35">
      <c r="A651" s="8"/>
      <c r="B651" s="8"/>
      <c r="C651" s="43"/>
      <c r="D651" s="138"/>
      <c r="E651" s="138"/>
      <c r="F651" s="139"/>
      <c r="G651" s="139"/>
      <c r="H651" s="139"/>
      <c r="I651" s="139"/>
      <c r="J651" s="139"/>
      <c r="K651" s="139"/>
      <c r="L651" s="139"/>
      <c r="M651" s="139"/>
      <c r="N651" s="139"/>
      <c r="O651" s="140"/>
      <c r="P651" s="139"/>
      <c r="Q651" s="139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</row>
    <row r="652" spans="1:35">
      <c r="A652" s="8"/>
      <c r="B652" s="8"/>
      <c r="C652" s="43"/>
      <c r="D652" s="138"/>
      <c r="E652" s="138"/>
      <c r="F652" s="139"/>
      <c r="G652" s="139"/>
      <c r="H652" s="139"/>
      <c r="I652" s="139"/>
      <c r="J652" s="139"/>
      <c r="K652" s="139"/>
      <c r="L652" s="139"/>
      <c r="M652" s="139"/>
      <c r="N652" s="139"/>
      <c r="O652" s="140"/>
      <c r="P652" s="139"/>
      <c r="Q652" s="139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</row>
    <row r="653" spans="1:35">
      <c r="A653" s="8"/>
      <c r="B653" s="8"/>
      <c r="C653" s="43"/>
      <c r="D653" s="138"/>
      <c r="E653" s="138"/>
      <c r="F653" s="139"/>
      <c r="G653" s="139"/>
      <c r="H653" s="139"/>
      <c r="I653" s="139"/>
      <c r="J653" s="139"/>
      <c r="K653" s="139"/>
      <c r="L653" s="139"/>
      <c r="M653" s="139"/>
      <c r="N653" s="139"/>
      <c r="O653" s="140"/>
      <c r="P653" s="139"/>
      <c r="Q653" s="139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</row>
    <row r="654" spans="1:35">
      <c r="A654" s="8"/>
      <c r="B654" s="8"/>
      <c r="C654" s="43"/>
      <c r="D654" s="138"/>
      <c r="E654" s="138"/>
      <c r="F654" s="139"/>
      <c r="G654" s="139"/>
      <c r="H654" s="139"/>
      <c r="I654" s="139"/>
      <c r="J654" s="139"/>
      <c r="K654" s="139"/>
      <c r="L654" s="139"/>
      <c r="M654" s="139"/>
      <c r="N654" s="139"/>
      <c r="O654" s="140"/>
      <c r="P654" s="139"/>
      <c r="Q654" s="139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</row>
    <row r="655" spans="1:35">
      <c r="A655" s="8"/>
      <c r="B655" s="8"/>
      <c r="C655" s="43"/>
      <c r="D655" s="138"/>
      <c r="E655" s="138"/>
      <c r="F655" s="139"/>
      <c r="G655" s="139"/>
      <c r="H655" s="139"/>
      <c r="I655" s="139"/>
      <c r="J655" s="139"/>
      <c r="K655" s="139"/>
      <c r="L655" s="139"/>
      <c r="M655" s="139"/>
      <c r="N655" s="139"/>
      <c r="O655" s="140"/>
      <c r="P655" s="139"/>
      <c r="Q655" s="139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</row>
    <row r="656" spans="1:35">
      <c r="A656" s="8"/>
      <c r="B656" s="8"/>
      <c r="C656" s="43"/>
      <c r="D656" s="138"/>
      <c r="E656" s="138"/>
      <c r="F656" s="139"/>
      <c r="G656" s="139"/>
      <c r="H656" s="139"/>
      <c r="I656" s="139"/>
      <c r="J656" s="139"/>
      <c r="K656" s="139"/>
      <c r="L656" s="139"/>
      <c r="M656" s="139"/>
      <c r="N656" s="139"/>
      <c r="O656" s="140"/>
      <c r="P656" s="139"/>
      <c r="Q656" s="139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</row>
    <row r="657" spans="1:35">
      <c r="A657" s="8"/>
      <c r="B657" s="8"/>
      <c r="C657" s="43"/>
      <c r="D657" s="138"/>
      <c r="E657" s="138"/>
      <c r="F657" s="139"/>
      <c r="G657" s="139"/>
      <c r="H657" s="139"/>
      <c r="I657" s="139"/>
      <c r="J657" s="139"/>
      <c r="K657" s="139"/>
      <c r="L657" s="139"/>
      <c r="M657" s="139"/>
      <c r="N657" s="139"/>
      <c r="O657" s="140"/>
      <c r="P657" s="139"/>
      <c r="Q657" s="139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</row>
    <row r="658" spans="1:35">
      <c r="A658" s="8"/>
      <c r="B658" s="8"/>
      <c r="C658" s="43"/>
      <c r="D658" s="138"/>
      <c r="E658" s="138"/>
      <c r="F658" s="139"/>
      <c r="G658" s="139"/>
      <c r="H658" s="139"/>
      <c r="I658" s="139"/>
      <c r="J658" s="139"/>
      <c r="K658" s="139"/>
      <c r="L658" s="139"/>
      <c r="M658" s="139"/>
      <c r="N658" s="139"/>
      <c r="O658" s="140"/>
      <c r="P658" s="139"/>
      <c r="Q658" s="139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</row>
    <row r="659" spans="1:35">
      <c r="A659" s="8"/>
      <c r="B659" s="8"/>
      <c r="C659" s="43"/>
      <c r="D659" s="138"/>
      <c r="E659" s="138"/>
      <c r="F659" s="139"/>
      <c r="G659" s="139"/>
      <c r="H659" s="139"/>
      <c r="I659" s="139"/>
      <c r="J659" s="139"/>
      <c r="K659" s="139"/>
      <c r="L659" s="139"/>
      <c r="M659" s="139"/>
      <c r="N659" s="139"/>
      <c r="O659" s="140"/>
      <c r="P659" s="139"/>
      <c r="Q659" s="139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</row>
    <row r="660" spans="1:35">
      <c r="A660" s="8"/>
      <c r="B660" s="8"/>
      <c r="C660" s="43"/>
      <c r="D660" s="138"/>
      <c r="E660" s="138"/>
      <c r="F660" s="139"/>
      <c r="G660" s="139"/>
      <c r="H660" s="139"/>
      <c r="I660" s="139"/>
      <c r="J660" s="139"/>
      <c r="K660" s="139"/>
      <c r="L660" s="139"/>
      <c r="M660" s="139"/>
      <c r="N660" s="139"/>
      <c r="O660" s="140"/>
      <c r="P660" s="139"/>
      <c r="Q660" s="139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</row>
    <row r="661" spans="1:35">
      <c r="A661" s="8"/>
      <c r="B661" s="8"/>
      <c r="C661" s="43"/>
      <c r="D661" s="138"/>
      <c r="E661" s="138"/>
      <c r="F661" s="139"/>
      <c r="G661" s="139"/>
      <c r="H661" s="139"/>
      <c r="I661" s="139"/>
      <c r="J661" s="139"/>
      <c r="K661" s="139"/>
      <c r="L661" s="139"/>
      <c r="M661" s="139"/>
      <c r="N661" s="139"/>
      <c r="O661" s="140"/>
      <c r="P661" s="139"/>
      <c r="Q661" s="139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</row>
    <row r="662" spans="1:35">
      <c r="A662" s="8"/>
      <c r="B662" s="8"/>
      <c r="C662" s="43"/>
      <c r="D662" s="138"/>
      <c r="E662" s="138"/>
      <c r="F662" s="139"/>
      <c r="G662" s="139"/>
      <c r="H662" s="139"/>
      <c r="I662" s="139"/>
      <c r="J662" s="139"/>
      <c r="K662" s="139"/>
      <c r="L662" s="139"/>
      <c r="M662" s="139"/>
      <c r="N662" s="139"/>
      <c r="O662" s="140"/>
      <c r="P662" s="139"/>
      <c r="Q662" s="139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</row>
    <row r="663" spans="1:35">
      <c r="A663" s="8"/>
      <c r="B663" s="8"/>
      <c r="C663" s="43"/>
      <c r="D663" s="138"/>
      <c r="E663" s="138"/>
      <c r="F663" s="139"/>
      <c r="G663" s="139"/>
      <c r="H663" s="139"/>
      <c r="I663" s="139"/>
      <c r="J663" s="139"/>
      <c r="K663" s="139"/>
      <c r="L663" s="139"/>
      <c r="M663" s="139"/>
      <c r="N663" s="139"/>
      <c r="O663" s="140"/>
      <c r="P663" s="139"/>
      <c r="Q663" s="139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</row>
    <row r="664" spans="1:35">
      <c r="A664" s="8"/>
      <c r="B664" s="8"/>
      <c r="C664" s="43"/>
      <c r="D664" s="138"/>
      <c r="E664" s="138"/>
      <c r="F664" s="139"/>
      <c r="G664" s="139"/>
      <c r="H664" s="139"/>
      <c r="I664" s="139"/>
      <c r="J664" s="139"/>
      <c r="K664" s="139"/>
      <c r="L664" s="139"/>
      <c r="M664" s="139"/>
      <c r="N664" s="139"/>
      <c r="O664" s="140"/>
      <c r="P664" s="139"/>
      <c r="Q664" s="139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</row>
    <row r="665" spans="1:35">
      <c r="A665" s="8"/>
      <c r="B665" s="8"/>
      <c r="C665" s="43"/>
      <c r="D665" s="138"/>
      <c r="E665" s="138"/>
      <c r="F665" s="139"/>
      <c r="G665" s="139"/>
      <c r="H665" s="139"/>
      <c r="I665" s="139"/>
      <c r="J665" s="139"/>
      <c r="K665" s="139"/>
      <c r="L665" s="139"/>
      <c r="M665" s="139"/>
      <c r="N665" s="139"/>
      <c r="O665" s="140"/>
      <c r="P665" s="139"/>
      <c r="Q665" s="139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</row>
    <row r="666" spans="1:35">
      <c r="A666" s="8"/>
      <c r="B666" s="8"/>
      <c r="C666" s="43"/>
      <c r="D666" s="138"/>
      <c r="E666" s="138"/>
      <c r="F666" s="139"/>
      <c r="G666" s="139"/>
      <c r="H666" s="139"/>
      <c r="I666" s="139"/>
      <c r="J666" s="139"/>
      <c r="K666" s="139"/>
      <c r="L666" s="139"/>
      <c r="M666" s="139"/>
      <c r="N666" s="139"/>
      <c r="O666" s="140"/>
      <c r="P666" s="139"/>
      <c r="Q666" s="139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</row>
    <row r="667" spans="1:35">
      <c r="A667" s="8"/>
      <c r="B667" s="8"/>
      <c r="C667" s="43"/>
      <c r="D667" s="138"/>
      <c r="E667" s="138"/>
      <c r="F667" s="139"/>
      <c r="G667" s="139"/>
      <c r="H667" s="139"/>
      <c r="I667" s="139"/>
      <c r="J667" s="139"/>
      <c r="K667" s="139"/>
      <c r="L667" s="139"/>
      <c r="M667" s="139"/>
      <c r="N667" s="139"/>
      <c r="O667" s="140"/>
      <c r="P667" s="139"/>
      <c r="Q667" s="139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</row>
    <row r="668" spans="1:35">
      <c r="A668" s="8"/>
      <c r="B668" s="8"/>
      <c r="C668" s="43"/>
      <c r="D668" s="138"/>
      <c r="E668" s="138"/>
      <c r="F668" s="139"/>
      <c r="G668" s="139"/>
      <c r="H668" s="139"/>
      <c r="I668" s="139"/>
      <c r="J668" s="139"/>
      <c r="K668" s="139"/>
      <c r="L668" s="139"/>
      <c r="M668" s="139"/>
      <c r="N668" s="139"/>
      <c r="O668" s="140"/>
      <c r="P668" s="139"/>
      <c r="Q668" s="139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</row>
    <row r="669" spans="1:35">
      <c r="A669" s="8"/>
      <c r="B669" s="8"/>
      <c r="C669" s="43"/>
      <c r="D669" s="138"/>
      <c r="E669" s="138"/>
      <c r="F669" s="139"/>
      <c r="G669" s="139"/>
      <c r="H669" s="139"/>
      <c r="I669" s="139"/>
      <c r="J669" s="139"/>
      <c r="K669" s="139"/>
      <c r="L669" s="139"/>
      <c r="M669" s="139"/>
      <c r="N669" s="139"/>
      <c r="O669" s="140"/>
      <c r="P669" s="139"/>
      <c r="Q669" s="139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</row>
    <row r="670" spans="1:35">
      <c r="A670" s="8"/>
      <c r="B670" s="8"/>
      <c r="C670" s="43"/>
      <c r="D670" s="138"/>
      <c r="E670" s="138"/>
      <c r="F670" s="139"/>
      <c r="G670" s="139"/>
      <c r="H670" s="139"/>
      <c r="I670" s="139"/>
      <c r="J670" s="139"/>
      <c r="K670" s="139"/>
      <c r="L670" s="139"/>
      <c r="M670" s="139"/>
      <c r="N670" s="139"/>
      <c r="O670" s="140"/>
      <c r="P670" s="139"/>
      <c r="Q670" s="139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</row>
    <row r="671" spans="1:35">
      <c r="A671" s="8"/>
      <c r="B671" s="8"/>
      <c r="C671" s="43"/>
      <c r="D671" s="138"/>
      <c r="E671" s="138"/>
      <c r="F671" s="139"/>
      <c r="G671" s="139"/>
      <c r="H671" s="139"/>
      <c r="I671" s="139"/>
      <c r="J671" s="139"/>
      <c r="K671" s="139"/>
      <c r="L671" s="139"/>
      <c r="M671" s="139"/>
      <c r="N671" s="139"/>
      <c r="O671" s="140"/>
      <c r="P671" s="139"/>
      <c r="Q671" s="139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</row>
    <row r="672" spans="1:35">
      <c r="A672" s="8"/>
      <c r="B672" s="8"/>
      <c r="C672" s="43"/>
      <c r="D672" s="138"/>
      <c r="E672" s="138"/>
      <c r="F672" s="139"/>
      <c r="G672" s="139"/>
      <c r="H672" s="139"/>
      <c r="I672" s="139"/>
      <c r="J672" s="139"/>
      <c r="K672" s="139"/>
      <c r="L672" s="139"/>
      <c r="M672" s="139"/>
      <c r="N672" s="139"/>
      <c r="O672" s="140"/>
      <c r="P672" s="139"/>
      <c r="Q672" s="139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</row>
    <row r="673" spans="1:35">
      <c r="A673" s="8"/>
      <c r="B673" s="8"/>
      <c r="C673" s="43"/>
      <c r="D673" s="138"/>
      <c r="E673" s="138"/>
      <c r="F673" s="139"/>
      <c r="G673" s="139"/>
      <c r="H673" s="139"/>
      <c r="I673" s="139"/>
      <c r="J673" s="139"/>
      <c r="K673" s="139"/>
      <c r="L673" s="139"/>
      <c r="M673" s="139"/>
      <c r="N673" s="139"/>
      <c r="O673" s="140"/>
      <c r="P673" s="139"/>
      <c r="Q673" s="139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</row>
    <row r="674" spans="1:35">
      <c r="A674" s="8"/>
      <c r="B674" s="8"/>
      <c r="C674" s="43"/>
      <c r="D674" s="138"/>
      <c r="E674" s="138"/>
      <c r="F674" s="139"/>
      <c r="G674" s="139"/>
      <c r="H674" s="139"/>
      <c r="I674" s="139"/>
      <c r="J674" s="139"/>
      <c r="K674" s="139"/>
      <c r="L674" s="139"/>
      <c r="M674" s="139"/>
      <c r="N674" s="139"/>
      <c r="O674" s="140"/>
      <c r="P674" s="139"/>
      <c r="Q674" s="139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</row>
    <row r="675" spans="1:35">
      <c r="A675" s="8"/>
      <c r="B675" s="8"/>
      <c r="C675" s="43"/>
      <c r="D675" s="138"/>
      <c r="E675" s="138"/>
      <c r="F675" s="139"/>
      <c r="G675" s="139"/>
      <c r="H675" s="139"/>
      <c r="I675" s="139"/>
      <c r="J675" s="139"/>
      <c r="K675" s="139"/>
      <c r="L675" s="139"/>
      <c r="M675" s="139"/>
      <c r="N675" s="139"/>
      <c r="O675" s="140"/>
      <c r="P675" s="139"/>
      <c r="Q675" s="139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</row>
    <row r="676" spans="1:35">
      <c r="A676" s="8"/>
      <c r="B676" s="8"/>
      <c r="C676" s="43"/>
      <c r="D676" s="138"/>
      <c r="E676" s="138"/>
      <c r="F676" s="139"/>
      <c r="G676" s="139"/>
      <c r="H676" s="139"/>
      <c r="I676" s="139"/>
      <c r="J676" s="139"/>
      <c r="K676" s="139"/>
      <c r="L676" s="139"/>
      <c r="M676" s="139"/>
      <c r="N676" s="139"/>
      <c r="O676" s="140"/>
      <c r="P676" s="139"/>
      <c r="Q676" s="139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</row>
    <row r="677" spans="1:35">
      <c r="A677" s="8"/>
      <c r="B677" s="8"/>
      <c r="C677" s="43"/>
      <c r="D677" s="138"/>
      <c r="E677" s="138"/>
      <c r="F677" s="139"/>
      <c r="G677" s="139"/>
      <c r="H677" s="139"/>
      <c r="I677" s="139"/>
      <c r="J677" s="139"/>
      <c r="K677" s="139"/>
      <c r="L677" s="139"/>
      <c r="M677" s="139"/>
      <c r="N677" s="139"/>
      <c r="O677" s="140"/>
      <c r="P677" s="139"/>
      <c r="Q677" s="139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</row>
    <row r="678" spans="1:35">
      <c r="A678" s="8"/>
      <c r="B678" s="8"/>
      <c r="C678" s="43"/>
      <c r="D678" s="138"/>
      <c r="E678" s="138"/>
      <c r="F678" s="139"/>
      <c r="G678" s="139"/>
      <c r="H678" s="139"/>
      <c r="I678" s="139"/>
      <c r="J678" s="139"/>
      <c r="K678" s="139"/>
      <c r="L678" s="139"/>
      <c r="M678" s="139"/>
      <c r="N678" s="139"/>
      <c r="O678" s="140"/>
      <c r="P678" s="139"/>
      <c r="Q678" s="139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</row>
    <row r="679" spans="1:35">
      <c r="A679" s="8"/>
      <c r="B679" s="8"/>
      <c r="C679" s="43"/>
      <c r="D679" s="138"/>
      <c r="E679" s="138"/>
      <c r="F679" s="139"/>
      <c r="G679" s="139"/>
      <c r="H679" s="139"/>
      <c r="I679" s="139"/>
      <c r="J679" s="139"/>
      <c r="K679" s="139"/>
      <c r="L679" s="139"/>
      <c r="M679" s="139"/>
      <c r="N679" s="139"/>
      <c r="O679" s="140"/>
      <c r="P679" s="139"/>
      <c r="Q679" s="139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</row>
    <row r="680" spans="1:35">
      <c r="A680" s="8"/>
      <c r="B680" s="8"/>
      <c r="C680" s="43"/>
      <c r="D680" s="138"/>
      <c r="E680" s="138"/>
      <c r="F680" s="139"/>
      <c r="G680" s="139"/>
      <c r="H680" s="139"/>
      <c r="I680" s="139"/>
      <c r="J680" s="139"/>
      <c r="K680" s="139"/>
      <c r="L680" s="139"/>
      <c r="M680" s="139"/>
      <c r="N680" s="139"/>
      <c r="O680" s="140"/>
      <c r="P680" s="139"/>
      <c r="Q680" s="139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</row>
    <row r="681" spans="1:35">
      <c r="A681" s="8"/>
      <c r="B681" s="8"/>
      <c r="C681" s="43"/>
      <c r="D681" s="138"/>
      <c r="E681" s="138"/>
      <c r="F681" s="139"/>
      <c r="G681" s="139"/>
      <c r="H681" s="139"/>
      <c r="I681" s="139"/>
      <c r="J681" s="139"/>
      <c r="K681" s="139"/>
      <c r="L681" s="139"/>
      <c r="M681" s="139"/>
      <c r="N681" s="139"/>
      <c r="O681" s="140"/>
      <c r="P681" s="139"/>
      <c r="Q681" s="139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</row>
    <row r="682" spans="1:35">
      <c r="A682" s="8"/>
      <c r="B682" s="8"/>
      <c r="C682" s="43"/>
      <c r="D682" s="138"/>
      <c r="E682" s="138"/>
      <c r="F682" s="139"/>
      <c r="G682" s="139"/>
      <c r="H682" s="139"/>
      <c r="I682" s="139"/>
      <c r="J682" s="139"/>
      <c r="K682" s="139"/>
      <c r="L682" s="139"/>
      <c r="M682" s="139"/>
      <c r="N682" s="139"/>
      <c r="O682" s="140"/>
      <c r="P682" s="139"/>
      <c r="Q682" s="139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</row>
    <row r="683" spans="1:35">
      <c r="A683" s="8"/>
      <c r="B683" s="8"/>
      <c r="C683" s="43"/>
      <c r="D683" s="138"/>
      <c r="E683" s="138"/>
      <c r="F683" s="139"/>
      <c r="G683" s="139"/>
      <c r="H683" s="139"/>
      <c r="I683" s="139"/>
      <c r="J683" s="139"/>
      <c r="K683" s="139"/>
      <c r="L683" s="139"/>
      <c r="M683" s="139"/>
      <c r="N683" s="139"/>
      <c r="O683" s="140"/>
      <c r="P683" s="139"/>
      <c r="Q683" s="139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</row>
    <row r="684" spans="1:35">
      <c r="A684" s="8"/>
      <c r="B684" s="8"/>
      <c r="C684" s="43"/>
      <c r="D684" s="138"/>
      <c r="E684" s="138"/>
      <c r="F684" s="139"/>
      <c r="G684" s="139"/>
      <c r="H684" s="139"/>
      <c r="I684" s="139"/>
      <c r="J684" s="139"/>
      <c r="K684" s="139"/>
      <c r="L684" s="139"/>
      <c r="M684" s="139"/>
      <c r="N684" s="139"/>
      <c r="O684" s="140"/>
      <c r="P684" s="139"/>
      <c r="Q684" s="139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</row>
    <row r="685" spans="1:35">
      <c r="A685" s="8"/>
      <c r="B685" s="8"/>
      <c r="C685" s="43"/>
      <c r="D685" s="138"/>
      <c r="E685" s="138"/>
      <c r="F685" s="139"/>
      <c r="G685" s="139"/>
      <c r="H685" s="139"/>
      <c r="I685" s="139"/>
      <c r="J685" s="139"/>
      <c r="K685" s="139"/>
      <c r="L685" s="139"/>
      <c r="M685" s="139"/>
      <c r="N685" s="139"/>
      <c r="O685" s="140"/>
      <c r="P685" s="139"/>
      <c r="Q685" s="139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</row>
    <row r="686" spans="1:35">
      <c r="A686" s="8"/>
      <c r="B686" s="8"/>
      <c r="C686" s="43"/>
      <c r="D686" s="138"/>
      <c r="E686" s="138"/>
      <c r="F686" s="139"/>
      <c r="G686" s="139"/>
      <c r="H686" s="139"/>
      <c r="I686" s="139"/>
      <c r="J686" s="139"/>
      <c r="K686" s="139"/>
      <c r="L686" s="139"/>
      <c r="M686" s="139"/>
      <c r="N686" s="139"/>
      <c r="O686" s="140"/>
      <c r="P686" s="139"/>
      <c r="Q686" s="139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</row>
    <row r="687" spans="1:35">
      <c r="A687" s="8"/>
      <c r="B687" s="8"/>
      <c r="C687" s="43"/>
      <c r="D687" s="138"/>
      <c r="E687" s="138"/>
      <c r="F687" s="139"/>
      <c r="G687" s="139"/>
      <c r="H687" s="139"/>
      <c r="I687" s="139"/>
      <c r="J687" s="139"/>
      <c r="K687" s="139"/>
      <c r="L687" s="139"/>
      <c r="M687" s="139"/>
      <c r="N687" s="139"/>
      <c r="O687" s="140"/>
      <c r="P687" s="139"/>
      <c r="Q687" s="139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</row>
    <row r="688" spans="1:35">
      <c r="A688" s="8"/>
      <c r="B688" s="8"/>
      <c r="C688" s="43"/>
      <c r="D688" s="138"/>
      <c r="E688" s="138"/>
      <c r="F688" s="139"/>
      <c r="G688" s="139"/>
      <c r="H688" s="139"/>
      <c r="I688" s="139"/>
      <c r="J688" s="139"/>
      <c r="K688" s="139"/>
      <c r="L688" s="139"/>
      <c r="M688" s="139"/>
      <c r="N688" s="139"/>
      <c r="O688" s="140"/>
      <c r="P688" s="139"/>
      <c r="Q688" s="139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</row>
    <row r="689" spans="1:35">
      <c r="A689" s="8"/>
      <c r="B689" s="8"/>
      <c r="C689" s="43"/>
      <c r="D689" s="138"/>
      <c r="E689" s="138"/>
      <c r="F689" s="139"/>
      <c r="G689" s="139"/>
      <c r="H689" s="139"/>
      <c r="I689" s="139"/>
      <c r="J689" s="139"/>
      <c r="K689" s="139"/>
      <c r="L689" s="139"/>
      <c r="M689" s="139"/>
      <c r="N689" s="139"/>
      <c r="O689" s="140"/>
      <c r="P689" s="139"/>
      <c r="Q689" s="139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</row>
    <row r="690" spans="1:35">
      <c r="A690" s="8"/>
      <c r="B690" s="8"/>
      <c r="C690" s="43"/>
      <c r="D690" s="138"/>
      <c r="E690" s="138"/>
      <c r="F690" s="139"/>
      <c r="G690" s="139"/>
      <c r="H690" s="139"/>
      <c r="I690" s="139"/>
      <c r="J690" s="139"/>
      <c r="K690" s="139"/>
      <c r="L690" s="139"/>
      <c r="M690" s="139"/>
      <c r="N690" s="139"/>
      <c r="O690" s="140"/>
      <c r="P690" s="139"/>
      <c r="Q690" s="139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</row>
    <row r="691" spans="1:35">
      <c r="A691" s="8"/>
      <c r="B691" s="8"/>
      <c r="C691" s="43"/>
      <c r="D691" s="138"/>
      <c r="E691" s="138"/>
      <c r="F691" s="139"/>
      <c r="G691" s="139"/>
      <c r="H691" s="139"/>
      <c r="I691" s="139"/>
      <c r="J691" s="139"/>
      <c r="K691" s="139"/>
      <c r="L691" s="139"/>
      <c r="M691" s="139"/>
      <c r="N691" s="139"/>
      <c r="O691" s="140"/>
      <c r="P691" s="139"/>
      <c r="Q691" s="139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</row>
    <row r="692" spans="1:35">
      <c r="A692" s="8"/>
      <c r="B692" s="8"/>
      <c r="C692" s="43"/>
      <c r="D692" s="138"/>
      <c r="E692" s="138"/>
      <c r="F692" s="139"/>
      <c r="G692" s="139"/>
      <c r="H692" s="139"/>
      <c r="I692" s="139"/>
      <c r="J692" s="139"/>
      <c r="K692" s="139"/>
      <c r="L692" s="139"/>
      <c r="M692" s="139"/>
      <c r="N692" s="139"/>
      <c r="O692" s="140"/>
      <c r="P692" s="139"/>
      <c r="Q692" s="139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</row>
    <row r="693" spans="1:35">
      <c r="A693" s="8"/>
      <c r="B693" s="8"/>
      <c r="C693" s="43"/>
      <c r="D693" s="138"/>
      <c r="E693" s="138"/>
      <c r="F693" s="139"/>
      <c r="G693" s="139"/>
      <c r="H693" s="139"/>
      <c r="I693" s="139"/>
      <c r="J693" s="139"/>
      <c r="K693" s="139"/>
      <c r="L693" s="139"/>
      <c r="M693" s="139"/>
      <c r="N693" s="139"/>
      <c r="O693" s="140"/>
      <c r="P693" s="139"/>
      <c r="Q693" s="139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</row>
    <row r="694" spans="1:35">
      <c r="A694" s="8"/>
      <c r="B694" s="8"/>
      <c r="C694" s="43"/>
      <c r="D694" s="138"/>
      <c r="E694" s="138"/>
      <c r="F694" s="139"/>
      <c r="G694" s="139"/>
      <c r="H694" s="139"/>
      <c r="I694" s="139"/>
      <c r="J694" s="139"/>
      <c r="K694" s="139"/>
      <c r="L694" s="139"/>
      <c r="M694" s="139"/>
      <c r="N694" s="139"/>
      <c r="O694" s="140"/>
      <c r="P694" s="139"/>
      <c r="Q694" s="139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</row>
    <row r="695" spans="1:35">
      <c r="A695" s="8"/>
      <c r="B695" s="8"/>
      <c r="C695" s="43"/>
      <c r="D695" s="138"/>
      <c r="E695" s="138"/>
      <c r="F695" s="139"/>
      <c r="G695" s="139"/>
      <c r="H695" s="139"/>
      <c r="I695" s="139"/>
      <c r="J695" s="139"/>
      <c r="K695" s="139"/>
      <c r="L695" s="139"/>
      <c r="M695" s="139"/>
      <c r="N695" s="139"/>
      <c r="O695" s="140"/>
      <c r="P695" s="139"/>
      <c r="Q695" s="139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</row>
    <row r="696" spans="1:35">
      <c r="A696" s="8"/>
      <c r="B696" s="8"/>
      <c r="C696" s="43"/>
      <c r="D696" s="138"/>
      <c r="E696" s="138"/>
      <c r="F696" s="139"/>
      <c r="G696" s="139"/>
      <c r="H696" s="139"/>
      <c r="I696" s="139"/>
      <c r="J696" s="139"/>
      <c r="K696" s="139"/>
      <c r="L696" s="139"/>
      <c r="M696" s="139"/>
      <c r="N696" s="139"/>
      <c r="O696" s="140"/>
      <c r="P696" s="139"/>
      <c r="Q696" s="139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</row>
    <row r="697" spans="1:35">
      <c r="A697" s="8"/>
      <c r="B697" s="8"/>
      <c r="C697" s="43"/>
      <c r="D697" s="138"/>
      <c r="E697" s="138"/>
      <c r="F697" s="139"/>
      <c r="G697" s="139"/>
      <c r="H697" s="139"/>
      <c r="I697" s="139"/>
      <c r="J697" s="139"/>
      <c r="K697" s="139"/>
      <c r="L697" s="139"/>
      <c r="M697" s="139"/>
      <c r="N697" s="139"/>
      <c r="O697" s="140"/>
      <c r="P697" s="139"/>
      <c r="Q697" s="139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</row>
    <row r="698" spans="1:35">
      <c r="A698" s="8"/>
      <c r="B698" s="8"/>
      <c r="C698" s="43"/>
      <c r="D698" s="138"/>
      <c r="E698" s="138"/>
      <c r="F698" s="139"/>
      <c r="G698" s="139"/>
      <c r="H698" s="139"/>
      <c r="I698" s="139"/>
      <c r="J698" s="139"/>
      <c r="K698" s="139"/>
      <c r="L698" s="139"/>
      <c r="M698" s="139"/>
      <c r="N698" s="139"/>
      <c r="O698" s="140"/>
      <c r="P698" s="139"/>
      <c r="Q698" s="139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</row>
    <row r="699" spans="1:35">
      <c r="A699" s="8"/>
      <c r="B699" s="8"/>
      <c r="C699" s="43"/>
      <c r="D699" s="138"/>
      <c r="E699" s="138"/>
      <c r="F699" s="139"/>
      <c r="G699" s="139"/>
      <c r="H699" s="139"/>
      <c r="I699" s="139"/>
      <c r="J699" s="139"/>
      <c r="K699" s="139"/>
      <c r="L699" s="139"/>
      <c r="M699" s="139"/>
      <c r="N699" s="139"/>
      <c r="O699" s="140"/>
      <c r="P699" s="139"/>
      <c r="Q699" s="139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</row>
    <row r="700" spans="1:35">
      <c r="A700" s="8"/>
      <c r="B700" s="8"/>
      <c r="C700" s="43"/>
      <c r="D700" s="138"/>
      <c r="E700" s="138"/>
      <c r="F700" s="139"/>
      <c r="G700" s="139"/>
      <c r="H700" s="139"/>
      <c r="I700" s="139"/>
      <c r="J700" s="139"/>
      <c r="K700" s="139"/>
      <c r="L700" s="139"/>
      <c r="M700" s="139"/>
      <c r="N700" s="139"/>
      <c r="O700" s="140"/>
      <c r="P700" s="139"/>
      <c r="Q700" s="139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</row>
    <row r="701" spans="1:35">
      <c r="A701" s="8"/>
      <c r="B701" s="8"/>
      <c r="C701" s="43"/>
      <c r="D701" s="138"/>
      <c r="E701" s="138"/>
      <c r="F701" s="139"/>
      <c r="G701" s="139"/>
      <c r="H701" s="139"/>
      <c r="I701" s="139"/>
      <c r="J701" s="139"/>
      <c r="K701" s="139"/>
      <c r="L701" s="139"/>
      <c r="M701" s="139"/>
      <c r="N701" s="139"/>
      <c r="O701" s="140"/>
      <c r="P701" s="139"/>
      <c r="Q701" s="139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</row>
    <row r="702" spans="1:35">
      <c r="A702" s="8"/>
      <c r="B702" s="8"/>
      <c r="C702" s="43"/>
      <c r="D702" s="138"/>
      <c r="E702" s="138"/>
      <c r="F702" s="139"/>
      <c r="G702" s="139"/>
      <c r="H702" s="139"/>
      <c r="I702" s="139"/>
      <c r="J702" s="139"/>
      <c r="K702" s="139"/>
      <c r="L702" s="139"/>
      <c r="M702" s="139"/>
      <c r="N702" s="139"/>
      <c r="O702" s="140"/>
      <c r="P702" s="139"/>
      <c r="Q702" s="139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</row>
    <row r="703" spans="1:35">
      <c r="A703" s="8"/>
      <c r="B703" s="8"/>
      <c r="C703" s="43"/>
      <c r="D703" s="138"/>
      <c r="E703" s="138"/>
      <c r="F703" s="139"/>
      <c r="G703" s="139"/>
      <c r="H703" s="139"/>
      <c r="I703" s="139"/>
      <c r="J703" s="139"/>
      <c r="K703" s="139"/>
      <c r="L703" s="139"/>
      <c r="M703" s="139"/>
      <c r="N703" s="139"/>
      <c r="O703" s="140"/>
      <c r="P703" s="139"/>
      <c r="Q703" s="139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</row>
    <row r="704" spans="1:35">
      <c r="A704" s="8"/>
      <c r="B704" s="8"/>
      <c r="C704" s="43"/>
      <c r="D704" s="138"/>
      <c r="E704" s="138"/>
      <c r="F704" s="139"/>
      <c r="G704" s="139"/>
      <c r="H704" s="139"/>
      <c r="I704" s="139"/>
      <c r="J704" s="139"/>
      <c r="K704" s="139"/>
      <c r="L704" s="139"/>
      <c r="M704" s="139"/>
      <c r="N704" s="139"/>
      <c r="O704" s="140"/>
      <c r="P704" s="139"/>
      <c r="Q704" s="139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</row>
    <row r="705" spans="1:35">
      <c r="A705" s="8"/>
      <c r="B705" s="8"/>
      <c r="C705" s="43"/>
      <c r="D705" s="138"/>
      <c r="E705" s="138"/>
      <c r="F705" s="139"/>
      <c r="G705" s="139"/>
      <c r="H705" s="139"/>
      <c r="I705" s="139"/>
      <c r="J705" s="139"/>
      <c r="K705" s="139"/>
      <c r="L705" s="139"/>
      <c r="M705" s="139"/>
      <c r="N705" s="139"/>
      <c r="O705" s="140"/>
      <c r="P705" s="139"/>
      <c r="Q705" s="139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</row>
    <row r="706" spans="1:35">
      <c r="A706" s="8"/>
      <c r="B706" s="8"/>
      <c r="C706" s="43"/>
      <c r="D706" s="138"/>
      <c r="E706" s="138"/>
      <c r="F706" s="139"/>
      <c r="G706" s="139"/>
      <c r="H706" s="139"/>
      <c r="I706" s="139"/>
      <c r="J706" s="139"/>
      <c r="K706" s="139"/>
      <c r="L706" s="139"/>
      <c r="M706" s="139"/>
      <c r="N706" s="139"/>
      <c r="O706" s="140"/>
      <c r="P706" s="139"/>
      <c r="Q706" s="139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</row>
    <row r="707" spans="1:35">
      <c r="A707" s="8"/>
      <c r="B707" s="8"/>
      <c r="C707" s="43"/>
      <c r="D707" s="138"/>
      <c r="E707" s="138"/>
      <c r="F707" s="139"/>
      <c r="G707" s="139"/>
      <c r="H707" s="139"/>
      <c r="I707" s="139"/>
      <c r="J707" s="139"/>
      <c r="K707" s="139"/>
      <c r="L707" s="139"/>
      <c r="M707" s="139"/>
      <c r="N707" s="139"/>
      <c r="O707" s="140"/>
      <c r="P707" s="139"/>
      <c r="Q707" s="139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</row>
    <row r="708" spans="1:35">
      <c r="A708" s="8"/>
      <c r="B708" s="8"/>
      <c r="C708" s="43"/>
      <c r="D708" s="138"/>
      <c r="E708" s="138"/>
      <c r="F708" s="139"/>
      <c r="G708" s="139"/>
      <c r="H708" s="139"/>
      <c r="I708" s="139"/>
      <c r="J708" s="139"/>
      <c r="K708" s="139"/>
      <c r="L708" s="139"/>
      <c r="M708" s="139"/>
      <c r="N708" s="139"/>
      <c r="O708" s="140"/>
      <c r="P708" s="139"/>
      <c r="Q708" s="139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</row>
    <row r="709" spans="1:35">
      <c r="A709" s="8"/>
      <c r="B709" s="8"/>
      <c r="C709" s="43"/>
      <c r="D709" s="138"/>
      <c r="E709" s="138"/>
      <c r="F709" s="139"/>
      <c r="G709" s="139"/>
      <c r="H709" s="139"/>
      <c r="I709" s="139"/>
      <c r="J709" s="139"/>
      <c r="K709" s="139"/>
      <c r="L709" s="139"/>
      <c r="M709" s="139"/>
      <c r="N709" s="139"/>
      <c r="O709" s="140"/>
      <c r="P709" s="139"/>
      <c r="Q709" s="139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</row>
    <row r="710" spans="1:35">
      <c r="A710" s="8"/>
      <c r="B710" s="8"/>
      <c r="C710" s="43"/>
      <c r="D710" s="138"/>
      <c r="E710" s="138"/>
      <c r="F710" s="139"/>
      <c r="G710" s="139"/>
      <c r="H710" s="139"/>
      <c r="I710" s="139"/>
      <c r="J710" s="139"/>
      <c r="K710" s="139"/>
      <c r="L710" s="139"/>
      <c r="M710" s="139"/>
      <c r="N710" s="139"/>
      <c r="O710" s="140"/>
      <c r="P710" s="139"/>
      <c r="Q710" s="139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</row>
    <row r="711" spans="1:35">
      <c r="A711" s="8"/>
      <c r="B711" s="8"/>
      <c r="C711" s="43"/>
      <c r="D711" s="138"/>
      <c r="E711" s="138"/>
      <c r="F711" s="139"/>
      <c r="G711" s="139"/>
      <c r="H711" s="139"/>
      <c r="I711" s="139"/>
      <c r="J711" s="139"/>
      <c r="K711" s="139"/>
      <c r="L711" s="139"/>
      <c r="M711" s="139"/>
      <c r="N711" s="139"/>
      <c r="O711" s="140"/>
      <c r="P711" s="139"/>
      <c r="Q711" s="139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</row>
    <row r="712" spans="1:35">
      <c r="A712" s="8"/>
      <c r="B712" s="8"/>
      <c r="C712" s="43"/>
      <c r="D712" s="138"/>
      <c r="E712" s="138"/>
      <c r="F712" s="139"/>
      <c r="G712" s="139"/>
      <c r="H712" s="139"/>
      <c r="I712" s="139"/>
      <c r="J712" s="139"/>
      <c r="K712" s="139"/>
      <c r="L712" s="139"/>
      <c r="M712" s="139"/>
      <c r="N712" s="139"/>
      <c r="O712" s="140"/>
      <c r="P712" s="139"/>
      <c r="Q712" s="139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</row>
    <row r="713" spans="1:35">
      <c r="A713" s="8"/>
      <c r="B713" s="8"/>
      <c r="C713" s="43"/>
      <c r="D713" s="138"/>
      <c r="E713" s="138"/>
      <c r="F713" s="139"/>
      <c r="G713" s="139"/>
      <c r="H713" s="139"/>
      <c r="I713" s="139"/>
      <c r="J713" s="139"/>
      <c r="K713" s="139"/>
      <c r="L713" s="139"/>
      <c r="M713" s="139"/>
      <c r="N713" s="139"/>
      <c r="O713" s="140"/>
      <c r="P713" s="139"/>
      <c r="Q713" s="139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</row>
    <row r="714" spans="1:35">
      <c r="A714" s="8"/>
      <c r="B714" s="8"/>
      <c r="C714" s="43"/>
      <c r="D714" s="138"/>
      <c r="E714" s="138"/>
      <c r="F714" s="139"/>
      <c r="G714" s="139"/>
      <c r="H714" s="139"/>
      <c r="I714" s="139"/>
      <c r="J714" s="139"/>
      <c r="K714" s="139"/>
      <c r="L714" s="139"/>
      <c r="M714" s="139"/>
      <c r="N714" s="139"/>
      <c r="O714" s="140"/>
      <c r="P714" s="139"/>
      <c r="Q714" s="139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</row>
    <row r="715" spans="1:35">
      <c r="A715" s="8"/>
      <c r="B715" s="8"/>
      <c r="C715" s="43"/>
      <c r="D715" s="138"/>
      <c r="E715" s="138"/>
      <c r="F715" s="139"/>
      <c r="G715" s="139"/>
      <c r="H715" s="139"/>
      <c r="I715" s="139"/>
      <c r="J715" s="139"/>
      <c r="K715" s="139"/>
      <c r="L715" s="139"/>
      <c r="M715" s="139"/>
      <c r="N715" s="139"/>
      <c r="O715" s="140"/>
      <c r="P715" s="139"/>
      <c r="Q715" s="139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</row>
    <row r="716" spans="1:35">
      <c r="A716" s="8"/>
      <c r="B716" s="8"/>
      <c r="C716" s="43"/>
      <c r="D716" s="138"/>
      <c r="E716" s="138"/>
      <c r="F716" s="139"/>
      <c r="G716" s="139"/>
      <c r="H716" s="139"/>
      <c r="I716" s="139"/>
      <c r="J716" s="139"/>
      <c r="K716" s="139"/>
      <c r="L716" s="139"/>
      <c r="M716" s="139"/>
      <c r="N716" s="139"/>
      <c r="O716" s="140"/>
      <c r="P716" s="139"/>
      <c r="Q716" s="139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</row>
    <row r="717" spans="1:35">
      <c r="A717" s="8"/>
      <c r="B717" s="8"/>
      <c r="C717" s="43"/>
      <c r="D717" s="138"/>
      <c r="E717" s="138"/>
      <c r="F717" s="139"/>
      <c r="G717" s="139"/>
      <c r="H717" s="139"/>
      <c r="I717" s="139"/>
      <c r="J717" s="139"/>
      <c r="K717" s="139"/>
      <c r="L717" s="139"/>
      <c r="M717" s="139"/>
      <c r="N717" s="139"/>
      <c r="O717" s="140"/>
      <c r="P717" s="139"/>
      <c r="Q717" s="139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</row>
    <row r="718" spans="1:35">
      <c r="A718" s="8"/>
      <c r="B718" s="8"/>
      <c r="C718" s="43"/>
      <c r="D718" s="138"/>
      <c r="E718" s="138"/>
      <c r="F718" s="139"/>
      <c r="G718" s="139"/>
      <c r="H718" s="139"/>
      <c r="I718" s="139"/>
      <c r="J718" s="139"/>
      <c r="K718" s="139"/>
      <c r="L718" s="139"/>
      <c r="M718" s="139"/>
      <c r="N718" s="139"/>
      <c r="O718" s="140"/>
      <c r="P718" s="139"/>
      <c r="Q718" s="139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</row>
    <row r="719" spans="1:35">
      <c r="A719" s="8"/>
      <c r="B719" s="8"/>
      <c r="C719" s="43"/>
      <c r="D719" s="138"/>
      <c r="E719" s="138"/>
      <c r="F719" s="139"/>
      <c r="G719" s="139"/>
      <c r="H719" s="139"/>
      <c r="I719" s="139"/>
      <c r="J719" s="139"/>
      <c r="K719" s="139"/>
      <c r="L719" s="139"/>
      <c r="M719" s="139"/>
      <c r="N719" s="139"/>
      <c r="O719" s="140"/>
      <c r="P719" s="139"/>
      <c r="Q719" s="139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</row>
    <row r="720" spans="1:35">
      <c r="A720" s="8"/>
      <c r="B720" s="8"/>
      <c r="C720" s="43"/>
      <c r="D720" s="138"/>
      <c r="E720" s="138"/>
      <c r="F720" s="139"/>
      <c r="G720" s="139"/>
      <c r="H720" s="139"/>
      <c r="I720" s="139"/>
      <c r="J720" s="139"/>
      <c r="K720" s="139"/>
      <c r="L720" s="139"/>
      <c r="M720" s="139"/>
      <c r="N720" s="139"/>
      <c r="O720" s="140"/>
      <c r="P720" s="139"/>
      <c r="Q720" s="139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</row>
    <row r="721" spans="1:35">
      <c r="A721" s="8"/>
      <c r="B721" s="8"/>
      <c r="C721" s="43"/>
      <c r="D721" s="138"/>
      <c r="E721" s="138"/>
      <c r="F721" s="139"/>
      <c r="G721" s="139"/>
      <c r="H721" s="139"/>
      <c r="I721" s="139"/>
      <c r="J721" s="139"/>
      <c r="K721" s="139"/>
      <c r="L721" s="139"/>
      <c r="M721" s="139"/>
      <c r="N721" s="139"/>
      <c r="O721" s="140"/>
      <c r="P721" s="139"/>
      <c r="Q721" s="139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</row>
    <row r="722" spans="1:35">
      <c r="A722" s="8"/>
      <c r="B722" s="8"/>
      <c r="C722" s="43"/>
      <c r="D722" s="138"/>
      <c r="E722" s="138"/>
      <c r="F722" s="139"/>
      <c r="G722" s="139"/>
      <c r="H722" s="139"/>
      <c r="I722" s="139"/>
      <c r="J722" s="139"/>
      <c r="K722" s="139"/>
      <c r="L722" s="139"/>
      <c r="M722" s="139"/>
      <c r="N722" s="139"/>
      <c r="O722" s="140"/>
      <c r="P722" s="139"/>
      <c r="Q722" s="139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</row>
    <row r="723" spans="1:35">
      <c r="A723" s="8"/>
      <c r="B723" s="8"/>
      <c r="C723" s="43"/>
      <c r="D723" s="138"/>
      <c r="E723" s="138"/>
      <c r="F723" s="139"/>
      <c r="G723" s="139"/>
      <c r="H723" s="139"/>
      <c r="I723" s="139"/>
      <c r="J723" s="139"/>
      <c r="K723" s="139"/>
      <c r="L723" s="139"/>
      <c r="M723" s="139"/>
      <c r="N723" s="139"/>
      <c r="O723" s="140"/>
      <c r="P723" s="139"/>
      <c r="Q723" s="139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</row>
    <row r="724" spans="1:35">
      <c r="A724" s="8"/>
      <c r="B724" s="8"/>
      <c r="C724" s="43"/>
      <c r="D724" s="138"/>
      <c r="E724" s="138"/>
      <c r="F724" s="139"/>
      <c r="G724" s="139"/>
      <c r="H724" s="139"/>
      <c r="I724" s="139"/>
      <c r="J724" s="139"/>
      <c r="K724" s="139"/>
      <c r="L724" s="139"/>
      <c r="M724" s="139"/>
      <c r="N724" s="139"/>
      <c r="O724" s="140"/>
      <c r="P724" s="139"/>
      <c r="Q724" s="139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</row>
    <row r="725" spans="1:35">
      <c r="A725" s="8"/>
      <c r="B725" s="8"/>
      <c r="C725" s="43"/>
      <c r="D725" s="138"/>
      <c r="E725" s="138"/>
      <c r="F725" s="139"/>
      <c r="G725" s="139"/>
      <c r="H725" s="139"/>
      <c r="I725" s="139"/>
      <c r="J725" s="139"/>
      <c r="K725" s="139"/>
      <c r="L725" s="139"/>
      <c r="M725" s="139"/>
      <c r="N725" s="139"/>
      <c r="O725" s="140"/>
      <c r="P725" s="139"/>
      <c r="Q725" s="139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</row>
    <row r="726" spans="1:35">
      <c r="A726" s="8"/>
      <c r="B726" s="8"/>
      <c r="C726" s="43"/>
      <c r="D726" s="138"/>
      <c r="E726" s="138"/>
      <c r="F726" s="139"/>
      <c r="G726" s="139"/>
      <c r="H726" s="139"/>
      <c r="I726" s="139"/>
      <c r="J726" s="139"/>
      <c r="K726" s="139"/>
      <c r="L726" s="139"/>
      <c r="M726" s="139"/>
      <c r="N726" s="139"/>
      <c r="O726" s="140"/>
      <c r="P726" s="139"/>
      <c r="Q726" s="139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</row>
    <row r="727" spans="1:35">
      <c r="A727" s="8"/>
      <c r="B727" s="8"/>
      <c r="C727" s="43"/>
      <c r="D727" s="138"/>
      <c r="E727" s="138"/>
      <c r="F727" s="139"/>
      <c r="G727" s="139"/>
      <c r="H727" s="139"/>
      <c r="I727" s="139"/>
      <c r="J727" s="139"/>
      <c r="K727" s="139"/>
      <c r="L727" s="139"/>
      <c r="M727" s="139"/>
      <c r="N727" s="139"/>
      <c r="O727" s="140"/>
      <c r="P727" s="139"/>
      <c r="Q727" s="139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</row>
    <row r="728" spans="1:35">
      <c r="A728" s="8"/>
      <c r="B728" s="8"/>
      <c r="C728" s="43"/>
      <c r="D728" s="138"/>
      <c r="E728" s="138"/>
      <c r="F728" s="139"/>
      <c r="G728" s="139"/>
      <c r="H728" s="139"/>
      <c r="I728" s="139"/>
      <c r="J728" s="139"/>
      <c r="K728" s="139"/>
      <c r="L728" s="139"/>
      <c r="M728" s="139"/>
      <c r="N728" s="139"/>
      <c r="O728" s="140"/>
      <c r="P728" s="139"/>
      <c r="Q728" s="139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</row>
    <row r="729" spans="1:35">
      <c r="A729" s="8"/>
      <c r="B729" s="8"/>
      <c r="C729" s="43"/>
      <c r="D729" s="138"/>
      <c r="E729" s="138"/>
      <c r="F729" s="139"/>
      <c r="G729" s="139"/>
      <c r="H729" s="139"/>
      <c r="I729" s="139"/>
      <c r="J729" s="139"/>
      <c r="K729" s="139"/>
      <c r="L729" s="139"/>
      <c r="M729" s="139"/>
      <c r="N729" s="139"/>
      <c r="O729" s="140"/>
      <c r="P729" s="139"/>
      <c r="Q729" s="139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</row>
    <row r="730" spans="1:35">
      <c r="A730" s="8"/>
      <c r="B730" s="8"/>
      <c r="C730" s="43"/>
      <c r="D730" s="138"/>
      <c r="E730" s="138"/>
      <c r="F730" s="139"/>
      <c r="G730" s="139"/>
      <c r="H730" s="139"/>
      <c r="I730" s="139"/>
      <c r="J730" s="139"/>
      <c r="K730" s="139"/>
      <c r="L730" s="139"/>
      <c r="M730" s="139"/>
      <c r="N730" s="139"/>
      <c r="O730" s="140"/>
      <c r="P730" s="139"/>
      <c r="Q730" s="139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</row>
    <row r="731" spans="1:35">
      <c r="A731" s="8"/>
      <c r="B731" s="8"/>
      <c r="C731" s="43"/>
      <c r="D731" s="138"/>
      <c r="E731" s="138"/>
      <c r="F731" s="139"/>
      <c r="G731" s="139"/>
      <c r="H731" s="139"/>
      <c r="I731" s="139"/>
      <c r="J731" s="139"/>
      <c r="K731" s="139"/>
      <c r="L731" s="139"/>
      <c r="M731" s="139"/>
      <c r="N731" s="139"/>
      <c r="O731" s="140"/>
      <c r="P731" s="139"/>
      <c r="Q731" s="139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</row>
    <row r="732" spans="1:35">
      <c r="A732" s="8"/>
      <c r="B732" s="8"/>
      <c r="C732" s="43"/>
      <c r="D732" s="138"/>
      <c r="E732" s="138"/>
      <c r="F732" s="139"/>
      <c r="G732" s="139"/>
      <c r="H732" s="139"/>
      <c r="I732" s="139"/>
      <c r="J732" s="139"/>
      <c r="K732" s="139"/>
      <c r="L732" s="139"/>
      <c r="M732" s="139"/>
      <c r="N732" s="139"/>
      <c r="O732" s="140"/>
      <c r="P732" s="139"/>
      <c r="Q732" s="139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</row>
    <row r="733" spans="1:35">
      <c r="A733" s="8"/>
      <c r="B733" s="8"/>
      <c r="C733" s="43"/>
      <c r="D733" s="138"/>
      <c r="E733" s="138"/>
      <c r="F733" s="139"/>
      <c r="G733" s="139"/>
      <c r="H733" s="139"/>
      <c r="I733" s="139"/>
      <c r="J733" s="139"/>
      <c r="K733" s="139"/>
      <c r="L733" s="139"/>
      <c r="M733" s="139"/>
      <c r="N733" s="139"/>
      <c r="O733" s="140"/>
      <c r="P733" s="139"/>
      <c r="Q733" s="139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</row>
    <row r="734" spans="1:35">
      <c r="A734" s="8"/>
      <c r="B734" s="8"/>
      <c r="C734" s="43"/>
      <c r="D734" s="138"/>
      <c r="E734" s="138"/>
      <c r="F734" s="139"/>
      <c r="G734" s="139"/>
      <c r="H734" s="139"/>
      <c r="I734" s="139"/>
      <c r="J734" s="139"/>
      <c r="K734" s="139"/>
      <c r="L734" s="139"/>
      <c r="M734" s="139"/>
      <c r="N734" s="139"/>
      <c r="O734" s="140"/>
      <c r="P734" s="139"/>
      <c r="Q734" s="139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</row>
    <row r="735" spans="1:35">
      <c r="A735" s="8"/>
      <c r="B735" s="8"/>
      <c r="C735" s="43"/>
      <c r="D735" s="138"/>
      <c r="E735" s="138"/>
      <c r="F735" s="139"/>
      <c r="G735" s="139"/>
      <c r="H735" s="139"/>
      <c r="I735" s="139"/>
      <c r="J735" s="139"/>
      <c r="K735" s="139"/>
      <c r="L735" s="139"/>
      <c r="M735" s="139"/>
      <c r="N735" s="139"/>
      <c r="O735" s="140"/>
      <c r="P735" s="139"/>
      <c r="Q735" s="139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</row>
    <row r="736" spans="1:35">
      <c r="A736" s="8"/>
      <c r="B736" s="8"/>
      <c r="C736" s="43"/>
      <c r="D736" s="138"/>
      <c r="E736" s="138"/>
      <c r="F736" s="139"/>
      <c r="G736" s="139"/>
      <c r="H736" s="139"/>
      <c r="I736" s="139"/>
      <c r="J736" s="139"/>
      <c r="K736" s="139"/>
      <c r="L736" s="139"/>
      <c r="M736" s="139"/>
      <c r="N736" s="139"/>
      <c r="O736" s="140"/>
      <c r="P736" s="139"/>
      <c r="Q736" s="139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</row>
    <row r="737" spans="1:35">
      <c r="A737" s="8"/>
      <c r="B737" s="8"/>
      <c r="C737" s="43"/>
      <c r="D737" s="138"/>
      <c r="E737" s="138"/>
      <c r="F737" s="139"/>
      <c r="G737" s="139"/>
      <c r="H737" s="139"/>
      <c r="I737" s="139"/>
      <c r="J737" s="139"/>
      <c r="K737" s="139"/>
      <c r="L737" s="139"/>
      <c r="M737" s="139"/>
      <c r="N737" s="139"/>
      <c r="O737" s="140"/>
      <c r="P737" s="139"/>
      <c r="Q737" s="139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</row>
    <row r="738" spans="1:35">
      <c r="A738" s="8"/>
      <c r="B738" s="8"/>
      <c r="C738" s="43"/>
      <c r="D738" s="138"/>
      <c r="E738" s="138"/>
      <c r="F738" s="139"/>
      <c r="G738" s="139"/>
      <c r="H738" s="139"/>
      <c r="I738" s="139"/>
      <c r="J738" s="139"/>
      <c r="K738" s="139"/>
      <c r="L738" s="139"/>
      <c r="M738" s="139"/>
      <c r="N738" s="139"/>
      <c r="O738" s="140"/>
      <c r="P738" s="139"/>
      <c r="Q738" s="139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</row>
    <row r="739" spans="1:35">
      <c r="A739" s="8"/>
      <c r="B739" s="8"/>
      <c r="C739" s="43"/>
      <c r="D739" s="138"/>
      <c r="E739" s="138"/>
      <c r="F739" s="139"/>
      <c r="G739" s="139"/>
      <c r="H739" s="139"/>
      <c r="I739" s="139"/>
      <c r="J739" s="139"/>
      <c r="K739" s="139"/>
      <c r="L739" s="139"/>
      <c r="M739" s="139"/>
      <c r="N739" s="139"/>
      <c r="O739" s="140"/>
      <c r="P739" s="139"/>
      <c r="Q739" s="139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</row>
    <row r="740" spans="1:35">
      <c r="A740" s="8"/>
      <c r="B740" s="8"/>
      <c r="C740" s="43"/>
      <c r="D740" s="138"/>
      <c r="E740" s="138"/>
      <c r="F740" s="139"/>
      <c r="G740" s="139"/>
      <c r="H740" s="139"/>
      <c r="I740" s="139"/>
      <c r="J740" s="139"/>
      <c r="K740" s="139"/>
      <c r="L740" s="139"/>
      <c r="M740" s="139"/>
      <c r="N740" s="139"/>
      <c r="O740" s="140"/>
      <c r="P740" s="139"/>
      <c r="Q740" s="139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</row>
    <row r="741" spans="1:35">
      <c r="A741" s="8"/>
      <c r="B741" s="8"/>
      <c r="C741" s="43"/>
      <c r="D741" s="138"/>
      <c r="E741" s="138"/>
      <c r="F741" s="139"/>
      <c r="G741" s="139"/>
      <c r="H741" s="139"/>
      <c r="I741" s="139"/>
      <c r="J741" s="139"/>
      <c r="K741" s="139"/>
      <c r="L741" s="139"/>
      <c r="M741" s="139"/>
      <c r="N741" s="139"/>
      <c r="O741" s="140"/>
      <c r="P741" s="139"/>
      <c r="Q741" s="139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</row>
    <row r="742" spans="1:35">
      <c r="A742" s="8"/>
      <c r="B742" s="8"/>
      <c r="C742" s="43"/>
      <c r="D742" s="138"/>
      <c r="E742" s="138"/>
      <c r="F742" s="139"/>
      <c r="G742" s="139"/>
      <c r="H742" s="139"/>
      <c r="I742" s="139"/>
      <c r="J742" s="139"/>
      <c r="K742" s="139"/>
      <c r="L742" s="139"/>
      <c r="M742" s="139"/>
      <c r="N742" s="139"/>
      <c r="O742" s="140"/>
      <c r="P742" s="139"/>
      <c r="Q742" s="139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</row>
    <row r="743" spans="1:35">
      <c r="A743" s="8"/>
      <c r="B743" s="8"/>
      <c r="C743" s="43"/>
      <c r="D743" s="138"/>
      <c r="E743" s="138"/>
      <c r="F743" s="139"/>
      <c r="G743" s="139"/>
      <c r="H743" s="139"/>
      <c r="I743" s="139"/>
      <c r="J743" s="139"/>
      <c r="K743" s="139"/>
      <c r="L743" s="139"/>
      <c r="M743" s="139"/>
      <c r="N743" s="139"/>
      <c r="O743" s="140"/>
      <c r="P743" s="139"/>
      <c r="Q743" s="139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</row>
    <row r="744" spans="1:35">
      <c r="A744" s="8"/>
      <c r="B744" s="8"/>
      <c r="C744" s="43"/>
      <c r="D744" s="138"/>
      <c r="E744" s="138"/>
      <c r="F744" s="139"/>
      <c r="G744" s="139"/>
      <c r="H744" s="139"/>
      <c r="I744" s="139"/>
      <c r="J744" s="139"/>
      <c r="K744" s="139"/>
      <c r="L744" s="139"/>
      <c r="M744" s="139"/>
      <c r="N744" s="139"/>
      <c r="O744" s="140"/>
      <c r="P744" s="139"/>
      <c r="Q744" s="139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</row>
    <row r="745" spans="1:35">
      <c r="A745" s="8"/>
      <c r="B745" s="8"/>
      <c r="C745" s="43"/>
      <c r="D745" s="138"/>
      <c r="E745" s="138"/>
      <c r="F745" s="139"/>
      <c r="G745" s="139"/>
      <c r="H745" s="139"/>
      <c r="I745" s="139"/>
      <c r="J745" s="139"/>
      <c r="K745" s="139"/>
      <c r="L745" s="139"/>
      <c r="M745" s="139"/>
      <c r="N745" s="139"/>
      <c r="O745" s="140"/>
      <c r="P745" s="139"/>
      <c r="Q745" s="139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</row>
    <row r="746" spans="1:35">
      <c r="A746" s="8"/>
      <c r="B746" s="8"/>
      <c r="C746" s="43"/>
      <c r="D746" s="138"/>
      <c r="E746" s="138"/>
      <c r="F746" s="139"/>
      <c r="G746" s="139"/>
      <c r="H746" s="139"/>
      <c r="I746" s="139"/>
      <c r="J746" s="139"/>
      <c r="K746" s="139"/>
      <c r="L746" s="139"/>
      <c r="M746" s="139"/>
      <c r="N746" s="139"/>
      <c r="O746" s="140"/>
      <c r="P746" s="139"/>
      <c r="Q746" s="139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</row>
    <row r="747" spans="1:35">
      <c r="A747" s="8"/>
      <c r="B747" s="8"/>
      <c r="C747" s="43"/>
      <c r="D747" s="138"/>
      <c r="E747" s="138"/>
      <c r="F747" s="139"/>
      <c r="G747" s="139"/>
      <c r="H747" s="139"/>
      <c r="I747" s="139"/>
      <c r="J747" s="139"/>
      <c r="K747" s="139"/>
      <c r="L747" s="139"/>
      <c r="M747" s="139"/>
      <c r="N747" s="139"/>
      <c r="O747" s="140"/>
      <c r="P747" s="139"/>
      <c r="Q747" s="139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</row>
    <row r="748" spans="1:35">
      <c r="A748" s="8"/>
      <c r="B748" s="8"/>
      <c r="C748" s="43"/>
      <c r="D748" s="138"/>
      <c r="E748" s="138"/>
      <c r="F748" s="139"/>
      <c r="G748" s="139"/>
      <c r="H748" s="139"/>
      <c r="I748" s="139"/>
      <c r="J748" s="139"/>
      <c r="K748" s="139"/>
      <c r="L748" s="139"/>
      <c r="M748" s="139"/>
      <c r="N748" s="139"/>
      <c r="O748" s="140"/>
      <c r="P748" s="139"/>
      <c r="Q748" s="139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</row>
    <row r="749" spans="1:35">
      <c r="A749" s="8"/>
      <c r="B749" s="8"/>
      <c r="C749" s="43"/>
      <c r="D749" s="138"/>
      <c r="E749" s="138"/>
      <c r="F749" s="139"/>
      <c r="G749" s="139"/>
      <c r="H749" s="139"/>
      <c r="I749" s="139"/>
      <c r="J749" s="139"/>
      <c r="K749" s="139"/>
      <c r="L749" s="139"/>
      <c r="M749" s="139"/>
      <c r="N749" s="139"/>
      <c r="O749" s="140"/>
      <c r="P749" s="139"/>
      <c r="Q749" s="139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</row>
    <row r="750" spans="1:35">
      <c r="A750" s="8"/>
      <c r="B750" s="8"/>
      <c r="C750" s="43"/>
      <c r="D750" s="138"/>
      <c r="E750" s="138"/>
      <c r="F750" s="139"/>
      <c r="G750" s="139"/>
      <c r="H750" s="139"/>
      <c r="I750" s="139"/>
      <c r="J750" s="139"/>
      <c r="K750" s="139"/>
      <c r="L750" s="139"/>
      <c r="M750" s="139"/>
      <c r="N750" s="139"/>
      <c r="O750" s="140"/>
      <c r="P750" s="139"/>
      <c r="Q750" s="139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</row>
    <row r="751" spans="1:35">
      <c r="A751" s="8"/>
      <c r="B751" s="8"/>
      <c r="C751" s="43"/>
      <c r="D751" s="138"/>
      <c r="E751" s="138"/>
      <c r="F751" s="139"/>
      <c r="G751" s="139"/>
      <c r="H751" s="139"/>
      <c r="I751" s="139"/>
      <c r="J751" s="139"/>
      <c r="K751" s="139"/>
      <c r="L751" s="139"/>
      <c r="M751" s="139"/>
      <c r="N751" s="139"/>
      <c r="O751" s="140"/>
      <c r="P751" s="139"/>
      <c r="Q751" s="139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</row>
    <row r="752" spans="1:35">
      <c r="A752" s="8"/>
      <c r="B752" s="8"/>
      <c r="C752" s="43"/>
      <c r="D752" s="138"/>
      <c r="E752" s="138"/>
      <c r="F752" s="139"/>
      <c r="G752" s="139"/>
      <c r="H752" s="139"/>
      <c r="I752" s="139"/>
      <c r="J752" s="139"/>
      <c r="K752" s="139"/>
      <c r="L752" s="139"/>
      <c r="M752" s="139"/>
      <c r="N752" s="139"/>
      <c r="O752" s="140"/>
      <c r="P752" s="139"/>
      <c r="Q752" s="139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</row>
    <row r="753" spans="1:35">
      <c r="A753" s="8"/>
      <c r="B753" s="8"/>
      <c r="C753" s="43"/>
      <c r="D753" s="138"/>
      <c r="E753" s="138"/>
      <c r="F753" s="139"/>
      <c r="G753" s="139"/>
      <c r="H753" s="139"/>
      <c r="I753" s="139"/>
      <c r="J753" s="139"/>
      <c r="K753" s="139"/>
      <c r="L753" s="139"/>
      <c r="M753" s="139"/>
      <c r="N753" s="139"/>
      <c r="O753" s="140"/>
      <c r="P753" s="139"/>
      <c r="Q753" s="139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</row>
    <row r="754" spans="1:35">
      <c r="A754" s="8"/>
      <c r="B754" s="8"/>
      <c r="C754" s="43"/>
      <c r="D754" s="138"/>
      <c r="E754" s="138"/>
      <c r="F754" s="139"/>
      <c r="G754" s="139"/>
      <c r="H754" s="139"/>
      <c r="I754" s="139"/>
      <c r="J754" s="139"/>
      <c r="K754" s="139"/>
      <c r="L754" s="139"/>
      <c r="M754" s="139"/>
      <c r="N754" s="139"/>
      <c r="O754" s="140"/>
      <c r="P754" s="139"/>
      <c r="Q754" s="139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</row>
    <row r="755" spans="1:35">
      <c r="A755" s="8"/>
      <c r="B755" s="8"/>
      <c r="C755" s="43"/>
      <c r="D755" s="138"/>
      <c r="E755" s="138"/>
      <c r="F755" s="139"/>
      <c r="G755" s="139"/>
      <c r="H755" s="139"/>
      <c r="I755" s="139"/>
      <c r="J755" s="139"/>
      <c r="K755" s="139"/>
      <c r="L755" s="139"/>
      <c r="M755" s="139"/>
      <c r="N755" s="139"/>
      <c r="O755" s="140"/>
      <c r="P755" s="139"/>
      <c r="Q755" s="139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</row>
    <row r="756" spans="1:35">
      <c r="A756" s="8"/>
      <c r="B756" s="8"/>
      <c r="C756" s="43"/>
      <c r="D756" s="138"/>
      <c r="E756" s="138"/>
      <c r="F756" s="139"/>
      <c r="G756" s="139"/>
      <c r="H756" s="139"/>
      <c r="I756" s="139"/>
      <c r="J756" s="139"/>
      <c r="K756" s="139"/>
      <c r="L756" s="139"/>
      <c r="M756" s="139"/>
      <c r="N756" s="139"/>
      <c r="O756" s="140"/>
      <c r="P756" s="139"/>
      <c r="Q756" s="139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</row>
    <row r="757" spans="1:35">
      <c r="A757" s="8"/>
      <c r="B757" s="8"/>
      <c r="C757" s="43"/>
      <c r="D757" s="138"/>
      <c r="E757" s="138"/>
      <c r="F757" s="139"/>
      <c r="G757" s="139"/>
      <c r="H757" s="139"/>
      <c r="I757" s="139"/>
      <c r="J757" s="139"/>
      <c r="K757" s="139"/>
      <c r="L757" s="139"/>
      <c r="M757" s="139"/>
      <c r="N757" s="139"/>
      <c r="O757" s="140"/>
      <c r="P757" s="139"/>
      <c r="Q757" s="139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</row>
    <row r="758" spans="1:35">
      <c r="A758" s="8"/>
      <c r="B758" s="8"/>
      <c r="C758" s="43"/>
      <c r="D758" s="138"/>
      <c r="E758" s="138"/>
      <c r="F758" s="139"/>
      <c r="G758" s="139"/>
      <c r="H758" s="139"/>
      <c r="I758" s="139"/>
      <c r="J758" s="139"/>
      <c r="K758" s="139"/>
      <c r="L758" s="139"/>
      <c r="M758" s="139"/>
      <c r="N758" s="139"/>
      <c r="O758" s="140"/>
      <c r="P758" s="139"/>
      <c r="Q758" s="139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</row>
    <row r="759" spans="1:35">
      <c r="A759" s="8"/>
      <c r="B759" s="8"/>
      <c r="C759" s="43"/>
      <c r="D759" s="138"/>
      <c r="E759" s="138"/>
      <c r="F759" s="139"/>
      <c r="G759" s="139"/>
      <c r="H759" s="139"/>
      <c r="I759" s="139"/>
      <c r="J759" s="139"/>
      <c r="K759" s="139"/>
      <c r="L759" s="139"/>
      <c r="M759" s="139"/>
      <c r="N759" s="139"/>
      <c r="O759" s="140"/>
      <c r="P759" s="139"/>
      <c r="Q759" s="139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</row>
    <row r="760" spans="1:35">
      <c r="A760" s="8"/>
      <c r="B760" s="8"/>
      <c r="C760" s="43"/>
      <c r="D760" s="138"/>
      <c r="E760" s="138"/>
      <c r="F760" s="139"/>
      <c r="G760" s="139"/>
      <c r="H760" s="139"/>
      <c r="I760" s="139"/>
      <c r="J760" s="139"/>
      <c r="K760" s="139"/>
      <c r="L760" s="139"/>
      <c r="M760" s="139"/>
      <c r="N760" s="139"/>
      <c r="O760" s="140"/>
      <c r="P760" s="139"/>
      <c r="Q760" s="139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</row>
    <row r="761" spans="1:35">
      <c r="A761" s="8"/>
      <c r="B761" s="8"/>
      <c r="C761" s="43"/>
      <c r="D761" s="138"/>
      <c r="E761" s="138"/>
      <c r="F761" s="139"/>
      <c r="G761" s="139"/>
      <c r="H761" s="139"/>
      <c r="I761" s="139"/>
      <c r="J761" s="139"/>
      <c r="K761" s="139"/>
      <c r="L761" s="139"/>
      <c r="M761" s="139"/>
      <c r="N761" s="139"/>
      <c r="O761" s="140"/>
      <c r="P761" s="139"/>
      <c r="Q761" s="139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</row>
    <row r="762" spans="1:35">
      <c r="A762" s="8"/>
      <c r="B762" s="8"/>
      <c r="C762" s="43"/>
      <c r="D762" s="138"/>
      <c r="E762" s="138"/>
      <c r="F762" s="139"/>
      <c r="G762" s="139"/>
      <c r="H762" s="139"/>
      <c r="I762" s="139"/>
      <c r="J762" s="139"/>
      <c r="K762" s="139"/>
      <c r="L762" s="139"/>
      <c r="M762" s="139"/>
      <c r="N762" s="139"/>
      <c r="O762" s="140"/>
      <c r="P762" s="139"/>
      <c r="Q762" s="139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</row>
    <row r="763" spans="1:35">
      <c r="A763" s="8"/>
      <c r="B763" s="8"/>
      <c r="C763" s="43"/>
      <c r="D763" s="138"/>
      <c r="E763" s="138"/>
      <c r="F763" s="139"/>
      <c r="G763" s="139"/>
      <c r="H763" s="139"/>
      <c r="I763" s="139"/>
      <c r="J763" s="139"/>
      <c r="K763" s="139"/>
      <c r="L763" s="139"/>
      <c r="M763" s="139"/>
      <c r="N763" s="139"/>
      <c r="O763" s="140"/>
      <c r="P763" s="139"/>
      <c r="Q763" s="139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</row>
    <row r="764" spans="1:35">
      <c r="A764" s="8"/>
      <c r="B764" s="8"/>
      <c r="C764" s="43"/>
      <c r="D764" s="138"/>
      <c r="E764" s="138"/>
      <c r="F764" s="139"/>
      <c r="G764" s="139"/>
      <c r="H764" s="139"/>
      <c r="I764" s="139"/>
      <c r="J764" s="139"/>
      <c r="K764" s="139"/>
      <c r="L764" s="139"/>
      <c r="M764" s="139"/>
      <c r="N764" s="139"/>
      <c r="O764" s="140"/>
      <c r="P764" s="139"/>
      <c r="Q764" s="139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</row>
    <row r="765" spans="1:35">
      <c r="A765" s="8"/>
      <c r="B765" s="8"/>
      <c r="C765" s="43"/>
      <c r="D765" s="138"/>
      <c r="E765" s="138"/>
      <c r="F765" s="139"/>
      <c r="G765" s="139"/>
      <c r="H765" s="139"/>
      <c r="I765" s="139"/>
      <c r="J765" s="139"/>
      <c r="K765" s="139"/>
      <c r="L765" s="139"/>
      <c r="M765" s="139"/>
      <c r="N765" s="139"/>
      <c r="O765" s="140"/>
      <c r="P765" s="139"/>
      <c r="Q765" s="139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</row>
    <row r="766" spans="1:35">
      <c r="A766" s="8"/>
      <c r="B766" s="8"/>
      <c r="C766" s="43"/>
      <c r="D766" s="138"/>
      <c r="E766" s="138"/>
      <c r="F766" s="139"/>
      <c r="G766" s="139"/>
      <c r="H766" s="139"/>
      <c r="I766" s="139"/>
      <c r="J766" s="139"/>
      <c r="K766" s="139"/>
      <c r="L766" s="139"/>
      <c r="M766" s="139"/>
      <c r="N766" s="139"/>
      <c r="O766" s="140"/>
      <c r="P766" s="139"/>
      <c r="Q766" s="139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</row>
    <row r="767" spans="1:35">
      <c r="A767" s="8"/>
      <c r="B767" s="8"/>
      <c r="C767" s="43"/>
      <c r="D767" s="138"/>
      <c r="E767" s="138"/>
      <c r="F767" s="139"/>
      <c r="G767" s="139"/>
      <c r="H767" s="139"/>
      <c r="I767" s="139"/>
      <c r="J767" s="139"/>
      <c r="K767" s="139"/>
      <c r="L767" s="139"/>
      <c r="M767" s="139"/>
      <c r="N767" s="139"/>
      <c r="O767" s="140"/>
      <c r="P767" s="139"/>
      <c r="Q767" s="139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</row>
    <row r="768" spans="1:35">
      <c r="A768" s="8"/>
      <c r="B768" s="8"/>
      <c r="C768" s="43"/>
      <c r="D768" s="138"/>
      <c r="E768" s="138"/>
      <c r="F768" s="139"/>
      <c r="G768" s="139"/>
      <c r="H768" s="139"/>
      <c r="I768" s="139"/>
      <c r="J768" s="139"/>
      <c r="K768" s="139"/>
      <c r="L768" s="139"/>
      <c r="M768" s="139"/>
      <c r="N768" s="139"/>
      <c r="O768" s="140"/>
      <c r="P768" s="139"/>
      <c r="Q768" s="139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</row>
    <row r="769" spans="1:35">
      <c r="A769" s="8"/>
      <c r="B769" s="8"/>
      <c r="C769" s="43"/>
      <c r="D769" s="138"/>
      <c r="E769" s="138"/>
      <c r="F769" s="139"/>
      <c r="G769" s="139"/>
      <c r="H769" s="139"/>
      <c r="I769" s="139"/>
      <c r="J769" s="139"/>
      <c r="K769" s="139"/>
      <c r="L769" s="139"/>
      <c r="M769" s="139"/>
      <c r="N769" s="139"/>
      <c r="O769" s="140"/>
      <c r="P769" s="139"/>
      <c r="Q769" s="139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</row>
    <row r="770" spans="1:35">
      <c r="A770" s="8"/>
      <c r="B770" s="8"/>
      <c r="C770" s="43"/>
      <c r="D770" s="138"/>
      <c r="E770" s="138"/>
      <c r="F770" s="139"/>
      <c r="G770" s="139"/>
      <c r="H770" s="139"/>
      <c r="I770" s="139"/>
      <c r="J770" s="139"/>
      <c r="K770" s="139"/>
      <c r="L770" s="139"/>
      <c r="M770" s="139"/>
      <c r="N770" s="139"/>
      <c r="O770" s="140"/>
      <c r="P770" s="139"/>
      <c r="Q770" s="139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</row>
    <row r="771" spans="1:35">
      <c r="A771" s="8"/>
      <c r="B771" s="8"/>
      <c r="C771" s="43"/>
      <c r="D771" s="138"/>
      <c r="E771" s="138"/>
      <c r="F771" s="139"/>
      <c r="G771" s="139"/>
      <c r="H771" s="139"/>
      <c r="I771" s="139"/>
      <c r="J771" s="139"/>
      <c r="K771" s="139"/>
      <c r="L771" s="139"/>
      <c r="M771" s="139"/>
      <c r="N771" s="139"/>
      <c r="O771" s="140"/>
      <c r="P771" s="139"/>
      <c r="Q771" s="139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</row>
    <row r="772" spans="1:35">
      <c r="A772" s="8"/>
      <c r="B772" s="8"/>
      <c r="C772" s="43"/>
      <c r="D772" s="138"/>
      <c r="E772" s="138"/>
      <c r="F772" s="139"/>
      <c r="G772" s="139"/>
      <c r="H772" s="139"/>
      <c r="I772" s="139"/>
      <c r="J772" s="139"/>
      <c r="K772" s="139"/>
      <c r="L772" s="139"/>
      <c r="M772" s="139"/>
      <c r="N772" s="139"/>
      <c r="O772" s="140"/>
      <c r="P772" s="139"/>
      <c r="Q772" s="139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</row>
    <row r="773" spans="1:35">
      <c r="A773" s="8"/>
      <c r="B773" s="8"/>
      <c r="C773" s="43"/>
      <c r="D773" s="138"/>
      <c r="E773" s="138"/>
      <c r="F773" s="139"/>
      <c r="G773" s="139"/>
      <c r="H773" s="139"/>
      <c r="I773" s="139"/>
      <c r="J773" s="139"/>
      <c r="K773" s="139"/>
      <c r="L773" s="139"/>
      <c r="M773" s="139"/>
      <c r="N773" s="139"/>
      <c r="O773" s="140"/>
      <c r="P773" s="139"/>
      <c r="Q773" s="139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</row>
    <row r="774" spans="1:35">
      <c r="A774" s="8"/>
      <c r="B774" s="8"/>
      <c r="C774" s="43"/>
      <c r="D774" s="138"/>
      <c r="E774" s="138"/>
      <c r="F774" s="139"/>
      <c r="G774" s="139"/>
      <c r="H774" s="139"/>
      <c r="I774" s="139"/>
      <c r="J774" s="139"/>
      <c r="K774" s="139"/>
      <c r="L774" s="139"/>
      <c r="M774" s="139"/>
      <c r="N774" s="139"/>
      <c r="O774" s="140"/>
      <c r="P774" s="139"/>
      <c r="Q774" s="139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</row>
    <row r="775" spans="1:35">
      <c r="A775" s="8"/>
      <c r="B775" s="8"/>
      <c r="C775" s="43"/>
      <c r="D775" s="138"/>
      <c r="E775" s="138"/>
      <c r="F775" s="139"/>
      <c r="G775" s="139"/>
      <c r="H775" s="139"/>
      <c r="I775" s="139"/>
      <c r="J775" s="139"/>
      <c r="K775" s="139"/>
      <c r="L775" s="139"/>
      <c r="M775" s="139"/>
      <c r="N775" s="139"/>
      <c r="O775" s="140"/>
      <c r="P775" s="139"/>
      <c r="Q775" s="139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</row>
    <row r="776" spans="1:35">
      <c r="A776" s="8"/>
      <c r="B776" s="8"/>
      <c r="C776" s="43"/>
      <c r="D776" s="138"/>
      <c r="E776" s="138"/>
      <c r="F776" s="139"/>
      <c r="G776" s="139"/>
      <c r="H776" s="139"/>
      <c r="I776" s="139"/>
      <c r="J776" s="139"/>
      <c r="K776" s="139"/>
      <c r="L776" s="139"/>
      <c r="M776" s="139"/>
      <c r="N776" s="139"/>
      <c r="O776" s="140"/>
      <c r="P776" s="139"/>
      <c r="Q776" s="139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</row>
    <row r="777" spans="1:35">
      <c r="A777" s="8"/>
      <c r="B777" s="8"/>
      <c r="C777" s="43"/>
      <c r="D777" s="138"/>
      <c r="E777" s="138"/>
      <c r="F777" s="139"/>
      <c r="G777" s="139"/>
      <c r="H777" s="139"/>
      <c r="I777" s="139"/>
      <c r="J777" s="139"/>
      <c r="K777" s="139"/>
      <c r="L777" s="139"/>
      <c r="M777" s="139"/>
      <c r="N777" s="139"/>
      <c r="O777" s="140"/>
      <c r="P777" s="139"/>
      <c r="Q777" s="139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</row>
    <row r="778" spans="1:35">
      <c r="A778" s="8"/>
      <c r="B778" s="8"/>
      <c r="C778" s="43"/>
      <c r="D778" s="138"/>
      <c r="E778" s="138"/>
      <c r="F778" s="139"/>
      <c r="G778" s="139"/>
      <c r="H778" s="139"/>
      <c r="I778" s="139"/>
      <c r="J778" s="139"/>
      <c r="K778" s="139"/>
      <c r="L778" s="139"/>
      <c r="M778" s="139"/>
      <c r="N778" s="139"/>
      <c r="O778" s="140"/>
      <c r="P778" s="139"/>
      <c r="Q778" s="139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</row>
    <row r="779" spans="1:35">
      <c r="A779" s="8"/>
      <c r="B779" s="8"/>
      <c r="C779" s="43"/>
      <c r="D779" s="138"/>
      <c r="E779" s="138"/>
      <c r="F779" s="139"/>
      <c r="G779" s="139"/>
      <c r="H779" s="139"/>
      <c r="I779" s="139"/>
      <c r="J779" s="139"/>
      <c r="K779" s="139"/>
      <c r="L779" s="139"/>
      <c r="M779" s="139"/>
      <c r="N779" s="139"/>
      <c r="O779" s="140"/>
      <c r="P779" s="139"/>
      <c r="Q779" s="139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</row>
    <row r="780" spans="1:35">
      <c r="A780" s="8"/>
      <c r="B780" s="8"/>
      <c r="C780" s="43"/>
      <c r="D780" s="138"/>
      <c r="E780" s="138"/>
      <c r="F780" s="139"/>
      <c r="G780" s="139"/>
      <c r="H780" s="139"/>
      <c r="I780" s="139"/>
      <c r="J780" s="139"/>
      <c r="K780" s="139"/>
      <c r="L780" s="139"/>
      <c r="M780" s="139"/>
      <c r="N780" s="139"/>
      <c r="O780" s="140"/>
      <c r="P780" s="139"/>
      <c r="Q780" s="139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</row>
    <row r="781" spans="1:35">
      <c r="A781" s="8"/>
      <c r="B781" s="8"/>
      <c r="C781" s="43"/>
      <c r="D781" s="138"/>
      <c r="E781" s="138"/>
      <c r="F781" s="139"/>
      <c r="G781" s="139"/>
      <c r="H781" s="139"/>
      <c r="I781" s="139"/>
      <c r="J781" s="139"/>
      <c r="K781" s="139"/>
      <c r="L781" s="139"/>
      <c r="M781" s="139"/>
      <c r="N781" s="139"/>
      <c r="O781" s="140"/>
      <c r="P781" s="139"/>
      <c r="Q781" s="139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</row>
    <row r="782" spans="1:35">
      <c r="A782" s="8"/>
      <c r="B782" s="8"/>
      <c r="C782" s="43"/>
      <c r="D782" s="138"/>
      <c r="E782" s="138"/>
      <c r="F782" s="139"/>
      <c r="G782" s="139"/>
      <c r="H782" s="139"/>
      <c r="I782" s="139"/>
      <c r="J782" s="139"/>
      <c r="K782" s="139"/>
      <c r="L782" s="139"/>
      <c r="M782" s="139"/>
      <c r="N782" s="139"/>
      <c r="O782" s="140"/>
      <c r="P782" s="139"/>
      <c r="Q782" s="139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</row>
    <row r="783" spans="1:35">
      <c r="A783" s="8"/>
      <c r="B783" s="8"/>
      <c r="C783" s="43"/>
      <c r="D783" s="138"/>
      <c r="E783" s="138"/>
      <c r="F783" s="139"/>
      <c r="G783" s="139"/>
      <c r="H783" s="139"/>
      <c r="I783" s="139"/>
      <c r="J783" s="139"/>
      <c r="K783" s="139"/>
      <c r="L783" s="139"/>
      <c r="M783" s="139"/>
      <c r="N783" s="139"/>
      <c r="O783" s="140"/>
      <c r="P783" s="139"/>
      <c r="Q783" s="139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</row>
    <row r="784" spans="1:35">
      <c r="A784" s="8"/>
      <c r="B784" s="8"/>
      <c r="C784" s="43"/>
      <c r="D784" s="138"/>
      <c r="E784" s="138"/>
      <c r="F784" s="139"/>
      <c r="G784" s="139"/>
      <c r="H784" s="139"/>
      <c r="I784" s="139"/>
      <c r="J784" s="139"/>
      <c r="K784" s="139"/>
      <c r="L784" s="139"/>
      <c r="M784" s="139"/>
      <c r="N784" s="139"/>
      <c r="O784" s="140"/>
      <c r="P784" s="139"/>
      <c r="Q784" s="139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</row>
    <row r="785" spans="1:35">
      <c r="A785" s="8"/>
      <c r="B785" s="8"/>
      <c r="C785" s="43"/>
      <c r="D785" s="138"/>
      <c r="E785" s="138"/>
      <c r="F785" s="139"/>
      <c r="G785" s="139"/>
      <c r="H785" s="139"/>
      <c r="I785" s="139"/>
      <c r="J785" s="139"/>
      <c r="K785" s="139"/>
      <c r="L785" s="139"/>
      <c r="M785" s="139"/>
      <c r="N785" s="139"/>
      <c r="O785" s="140"/>
      <c r="P785" s="139"/>
      <c r="Q785" s="139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</row>
    <row r="786" spans="1:35">
      <c r="A786" s="8"/>
      <c r="B786" s="8"/>
      <c r="C786" s="43"/>
      <c r="D786" s="138"/>
      <c r="E786" s="138"/>
      <c r="F786" s="139"/>
      <c r="G786" s="139"/>
      <c r="H786" s="139"/>
      <c r="I786" s="139"/>
      <c r="J786" s="139"/>
      <c r="K786" s="139"/>
      <c r="L786" s="139"/>
      <c r="M786" s="139"/>
      <c r="N786" s="139"/>
      <c r="O786" s="140"/>
      <c r="P786" s="139"/>
      <c r="Q786" s="139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</row>
    <row r="787" spans="1:35">
      <c r="A787" s="8"/>
      <c r="B787" s="8"/>
      <c r="C787" s="43"/>
      <c r="D787" s="138"/>
      <c r="E787" s="138"/>
      <c r="F787" s="139"/>
      <c r="G787" s="139"/>
      <c r="H787" s="139"/>
      <c r="I787" s="139"/>
      <c r="J787" s="139"/>
      <c r="K787" s="139"/>
      <c r="L787" s="139"/>
      <c r="M787" s="139"/>
      <c r="N787" s="139"/>
      <c r="O787" s="140"/>
      <c r="P787" s="139"/>
      <c r="Q787" s="139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</row>
    <row r="788" spans="1:35">
      <c r="A788" s="8"/>
      <c r="B788" s="8"/>
      <c r="C788" s="43"/>
      <c r="D788" s="138"/>
      <c r="E788" s="138"/>
      <c r="F788" s="139"/>
      <c r="G788" s="139"/>
      <c r="H788" s="139"/>
      <c r="I788" s="139"/>
      <c r="J788" s="139"/>
      <c r="K788" s="139"/>
      <c r="L788" s="139"/>
      <c r="M788" s="139"/>
      <c r="N788" s="139"/>
      <c r="O788" s="140"/>
      <c r="P788" s="139"/>
      <c r="Q788" s="139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</row>
    <row r="789" spans="1:35">
      <c r="A789" s="8"/>
      <c r="B789" s="8"/>
      <c r="C789" s="43"/>
      <c r="D789" s="138"/>
      <c r="E789" s="138"/>
      <c r="F789" s="139"/>
      <c r="G789" s="139"/>
      <c r="H789" s="139"/>
      <c r="I789" s="139"/>
      <c r="J789" s="139"/>
      <c r="K789" s="139"/>
      <c r="L789" s="139"/>
      <c r="M789" s="139"/>
      <c r="N789" s="139"/>
      <c r="O789" s="140"/>
      <c r="P789" s="139"/>
      <c r="Q789" s="139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</row>
    <row r="790" spans="1:35">
      <c r="A790" s="8"/>
      <c r="B790" s="8"/>
      <c r="C790" s="43"/>
      <c r="D790" s="138"/>
      <c r="E790" s="138"/>
      <c r="F790" s="139"/>
      <c r="G790" s="139"/>
      <c r="H790" s="139"/>
      <c r="I790" s="139"/>
      <c r="J790" s="139"/>
      <c r="K790" s="139"/>
      <c r="L790" s="139"/>
      <c r="M790" s="139"/>
      <c r="N790" s="139"/>
      <c r="O790" s="140"/>
      <c r="P790" s="139"/>
      <c r="Q790" s="139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</row>
    <row r="791" spans="1:35">
      <c r="A791" s="8"/>
      <c r="B791" s="8"/>
      <c r="C791" s="43"/>
      <c r="D791" s="138"/>
      <c r="E791" s="138"/>
      <c r="F791" s="139"/>
      <c r="G791" s="139"/>
      <c r="H791" s="139"/>
      <c r="I791" s="139"/>
      <c r="J791" s="139"/>
      <c r="K791" s="139"/>
      <c r="L791" s="139"/>
      <c r="M791" s="139"/>
      <c r="N791" s="139"/>
      <c r="O791" s="140"/>
      <c r="P791" s="139"/>
      <c r="Q791" s="139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</row>
    <row r="792" spans="1:35">
      <c r="A792" s="8"/>
      <c r="B792" s="8"/>
      <c r="C792" s="43"/>
      <c r="D792" s="138"/>
      <c r="E792" s="138"/>
      <c r="F792" s="139"/>
      <c r="G792" s="139"/>
      <c r="H792" s="139"/>
      <c r="I792" s="139"/>
      <c r="J792" s="139"/>
      <c r="K792" s="139"/>
      <c r="L792" s="139"/>
      <c r="M792" s="139"/>
      <c r="N792" s="139"/>
      <c r="O792" s="140"/>
      <c r="P792" s="139"/>
      <c r="Q792" s="139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</row>
    <row r="793" spans="1:35">
      <c r="A793" s="8"/>
      <c r="B793" s="8"/>
      <c r="C793" s="43"/>
      <c r="D793" s="138"/>
      <c r="E793" s="138"/>
      <c r="F793" s="139"/>
      <c r="G793" s="139"/>
      <c r="H793" s="139"/>
      <c r="I793" s="139"/>
      <c r="J793" s="139"/>
      <c r="K793" s="139"/>
      <c r="L793" s="139"/>
      <c r="M793" s="139"/>
      <c r="N793" s="139"/>
      <c r="O793" s="140"/>
      <c r="P793" s="139"/>
      <c r="Q793" s="139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</row>
    <row r="794" spans="1:35">
      <c r="A794" s="8"/>
      <c r="B794" s="8"/>
      <c r="C794" s="43"/>
      <c r="D794" s="138"/>
      <c r="E794" s="138"/>
      <c r="F794" s="139"/>
      <c r="G794" s="139"/>
      <c r="H794" s="139"/>
      <c r="I794" s="139"/>
      <c r="J794" s="139"/>
      <c r="K794" s="139"/>
      <c r="L794" s="139"/>
      <c r="M794" s="139"/>
      <c r="N794" s="139"/>
      <c r="O794" s="140"/>
      <c r="P794" s="139"/>
      <c r="Q794" s="139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</row>
    <row r="795" spans="1:35">
      <c r="A795" s="8"/>
      <c r="B795" s="8"/>
      <c r="C795" s="43"/>
      <c r="D795" s="138"/>
      <c r="E795" s="138"/>
      <c r="F795" s="139"/>
      <c r="G795" s="139"/>
      <c r="H795" s="139"/>
      <c r="I795" s="139"/>
      <c r="J795" s="139"/>
      <c r="K795" s="139"/>
      <c r="L795" s="139"/>
      <c r="M795" s="139"/>
      <c r="N795" s="139"/>
      <c r="O795" s="140"/>
      <c r="P795" s="139"/>
      <c r="Q795" s="139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</row>
    <row r="796" spans="1:35">
      <c r="A796" s="8"/>
      <c r="B796" s="8"/>
      <c r="C796" s="43"/>
      <c r="D796" s="138"/>
      <c r="E796" s="138"/>
      <c r="F796" s="139"/>
      <c r="G796" s="139"/>
      <c r="H796" s="139"/>
      <c r="I796" s="139"/>
      <c r="J796" s="139"/>
      <c r="K796" s="139"/>
      <c r="L796" s="139"/>
      <c r="M796" s="139"/>
      <c r="N796" s="139"/>
      <c r="O796" s="140"/>
      <c r="P796" s="139"/>
      <c r="Q796" s="139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</row>
    <row r="797" spans="1:35">
      <c r="A797" s="8"/>
      <c r="B797" s="8"/>
      <c r="C797" s="43"/>
      <c r="D797" s="138"/>
      <c r="E797" s="138"/>
      <c r="F797" s="139"/>
      <c r="G797" s="139"/>
      <c r="H797" s="139"/>
      <c r="I797" s="139"/>
      <c r="J797" s="139"/>
      <c r="K797" s="139"/>
      <c r="L797" s="139"/>
      <c r="M797" s="139"/>
      <c r="N797" s="139"/>
      <c r="O797" s="140"/>
      <c r="P797" s="139"/>
      <c r="Q797" s="139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</row>
    <row r="798" spans="1:35">
      <c r="A798" s="8"/>
      <c r="B798" s="8"/>
      <c r="C798" s="43"/>
      <c r="D798" s="138"/>
      <c r="E798" s="138"/>
      <c r="F798" s="139"/>
      <c r="G798" s="139"/>
      <c r="H798" s="139"/>
      <c r="I798" s="139"/>
      <c r="J798" s="139"/>
      <c r="K798" s="139"/>
      <c r="L798" s="139"/>
      <c r="M798" s="139"/>
      <c r="N798" s="139"/>
      <c r="O798" s="140"/>
      <c r="P798" s="139"/>
      <c r="Q798" s="139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</row>
    <row r="799" spans="1:35">
      <c r="A799" s="8"/>
      <c r="B799" s="8"/>
      <c r="C799" s="43"/>
      <c r="D799" s="138"/>
      <c r="E799" s="138"/>
      <c r="F799" s="139"/>
      <c r="G799" s="139"/>
      <c r="H799" s="139"/>
      <c r="I799" s="139"/>
      <c r="J799" s="139"/>
      <c r="K799" s="139"/>
      <c r="L799" s="139"/>
      <c r="M799" s="139"/>
      <c r="N799" s="139"/>
      <c r="O799" s="140"/>
      <c r="P799" s="139"/>
      <c r="Q799" s="139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</row>
    <row r="800" spans="1:35">
      <c r="A800" s="8"/>
      <c r="B800" s="8"/>
      <c r="C800" s="43"/>
      <c r="D800" s="138"/>
      <c r="E800" s="138"/>
      <c r="F800" s="139"/>
      <c r="G800" s="139"/>
      <c r="H800" s="139"/>
      <c r="I800" s="139"/>
      <c r="J800" s="139"/>
      <c r="K800" s="139"/>
      <c r="L800" s="139"/>
      <c r="M800" s="139"/>
      <c r="N800" s="139"/>
      <c r="O800" s="140"/>
      <c r="P800" s="139"/>
      <c r="Q800" s="139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</row>
    <row r="801" spans="1:35">
      <c r="A801" s="8"/>
      <c r="B801" s="8"/>
      <c r="C801" s="43"/>
      <c r="D801" s="138"/>
      <c r="E801" s="138"/>
      <c r="F801" s="139"/>
      <c r="G801" s="139"/>
      <c r="H801" s="139"/>
      <c r="I801" s="139"/>
      <c r="J801" s="139"/>
      <c r="K801" s="139"/>
      <c r="L801" s="139"/>
      <c r="M801" s="139"/>
      <c r="N801" s="139"/>
      <c r="O801" s="140"/>
      <c r="P801" s="139"/>
      <c r="Q801" s="139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</row>
    <row r="802" spans="1:35">
      <c r="A802" s="8"/>
      <c r="B802" s="8"/>
      <c r="C802" s="43"/>
      <c r="D802" s="138"/>
      <c r="E802" s="138"/>
      <c r="F802" s="139"/>
      <c r="G802" s="139"/>
      <c r="H802" s="139"/>
      <c r="I802" s="139"/>
      <c r="J802" s="139"/>
      <c r="K802" s="139"/>
      <c r="L802" s="139"/>
      <c r="M802" s="139"/>
      <c r="N802" s="139"/>
      <c r="O802" s="140"/>
      <c r="P802" s="139"/>
      <c r="Q802" s="139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</row>
    <row r="803" spans="1:35">
      <c r="A803" s="8"/>
      <c r="B803" s="8"/>
      <c r="C803" s="43"/>
      <c r="D803" s="138"/>
      <c r="E803" s="138"/>
      <c r="F803" s="139"/>
      <c r="G803" s="139"/>
      <c r="H803" s="139"/>
      <c r="I803" s="139"/>
      <c r="J803" s="139"/>
      <c r="K803" s="139"/>
      <c r="L803" s="139"/>
      <c r="M803" s="139"/>
      <c r="N803" s="139"/>
      <c r="O803" s="140"/>
      <c r="P803" s="139"/>
      <c r="Q803" s="139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</row>
    <row r="804" spans="1:35">
      <c r="A804" s="8"/>
      <c r="B804" s="8"/>
      <c r="C804" s="43"/>
      <c r="D804" s="138"/>
      <c r="E804" s="138"/>
      <c r="F804" s="139"/>
      <c r="G804" s="139"/>
      <c r="H804" s="139"/>
      <c r="I804" s="139"/>
      <c r="J804" s="139"/>
      <c r="K804" s="139"/>
      <c r="L804" s="139"/>
      <c r="M804" s="139"/>
      <c r="N804" s="139"/>
      <c r="O804" s="140"/>
      <c r="P804" s="139"/>
      <c r="Q804" s="139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</row>
    <row r="805" spans="1:35">
      <c r="A805" s="8"/>
      <c r="B805" s="8"/>
      <c r="C805" s="43"/>
      <c r="D805" s="138"/>
      <c r="E805" s="138"/>
      <c r="F805" s="139"/>
      <c r="G805" s="139"/>
      <c r="H805" s="139"/>
      <c r="I805" s="139"/>
      <c r="J805" s="139"/>
      <c r="K805" s="139"/>
      <c r="L805" s="139"/>
      <c r="M805" s="139"/>
      <c r="N805" s="139"/>
      <c r="O805" s="140"/>
      <c r="P805" s="139"/>
      <c r="Q805" s="139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</row>
    <row r="806" spans="1:35">
      <c r="A806" s="8"/>
      <c r="B806" s="8"/>
      <c r="C806" s="43"/>
      <c r="D806" s="138"/>
      <c r="E806" s="138"/>
      <c r="F806" s="139"/>
      <c r="G806" s="139"/>
      <c r="H806" s="139"/>
      <c r="I806" s="139"/>
      <c r="J806" s="139"/>
      <c r="K806" s="139"/>
      <c r="L806" s="139"/>
      <c r="M806" s="139"/>
      <c r="N806" s="139"/>
      <c r="O806" s="140"/>
      <c r="P806" s="139"/>
      <c r="Q806" s="139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</row>
    <row r="807" spans="1:35">
      <c r="A807" s="8"/>
      <c r="B807" s="8"/>
      <c r="C807" s="43"/>
      <c r="D807" s="138"/>
      <c r="E807" s="138"/>
      <c r="F807" s="139"/>
      <c r="G807" s="139"/>
      <c r="H807" s="139"/>
      <c r="I807" s="139"/>
      <c r="J807" s="139"/>
      <c r="K807" s="139"/>
      <c r="L807" s="139"/>
      <c r="M807" s="139"/>
      <c r="N807" s="139"/>
      <c r="O807" s="140"/>
      <c r="P807" s="139"/>
      <c r="Q807" s="139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</row>
    <row r="808" spans="1:35">
      <c r="A808" s="8"/>
      <c r="B808" s="8"/>
      <c r="C808" s="43"/>
      <c r="D808" s="138"/>
      <c r="E808" s="138"/>
      <c r="F808" s="139"/>
      <c r="G808" s="139"/>
      <c r="H808" s="139"/>
      <c r="I808" s="139"/>
      <c r="J808" s="139"/>
      <c r="K808" s="139"/>
      <c r="L808" s="139"/>
      <c r="M808" s="139"/>
      <c r="N808" s="139"/>
      <c r="O808" s="140"/>
      <c r="P808" s="139"/>
      <c r="Q808" s="139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</row>
    <row r="809" spans="1:35">
      <c r="A809" s="8"/>
      <c r="B809" s="8"/>
      <c r="C809" s="43"/>
      <c r="D809" s="138"/>
      <c r="E809" s="138"/>
      <c r="F809" s="139"/>
      <c r="G809" s="139"/>
      <c r="H809" s="139"/>
      <c r="I809" s="139"/>
      <c r="J809" s="139"/>
      <c r="K809" s="139"/>
      <c r="L809" s="139"/>
      <c r="M809" s="139"/>
      <c r="N809" s="139"/>
      <c r="O809" s="140"/>
      <c r="P809" s="139"/>
      <c r="Q809" s="139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</row>
    <row r="810" spans="1:35">
      <c r="A810" s="8"/>
      <c r="B810" s="8"/>
      <c r="C810" s="43"/>
      <c r="D810" s="138"/>
      <c r="E810" s="138"/>
      <c r="F810" s="139"/>
      <c r="G810" s="139"/>
      <c r="H810" s="139"/>
      <c r="I810" s="139"/>
      <c r="J810" s="139"/>
      <c r="K810" s="139"/>
      <c r="L810" s="139"/>
      <c r="M810" s="139"/>
      <c r="N810" s="139"/>
      <c r="O810" s="140"/>
      <c r="P810" s="139"/>
      <c r="Q810" s="139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</row>
    <row r="811" spans="1:35">
      <c r="A811" s="8"/>
      <c r="B811" s="8"/>
      <c r="C811" s="43"/>
      <c r="D811" s="138"/>
      <c r="E811" s="138"/>
      <c r="F811" s="139"/>
      <c r="G811" s="139"/>
      <c r="H811" s="139"/>
      <c r="I811" s="139"/>
      <c r="J811" s="139"/>
      <c r="K811" s="139"/>
      <c r="L811" s="139"/>
      <c r="M811" s="139"/>
      <c r="N811" s="139"/>
      <c r="O811" s="140"/>
      <c r="P811" s="139"/>
      <c r="Q811" s="139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</row>
    <row r="812" spans="1:35">
      <c r="A812" s="8"/>
      <c r="B812" s="8"/>
      <c r="C812" s="43"/>
      <c r="D812" s="138"/>
      <c r="E812" s="138"/>
      <c r="F812" s="139"/>
      <c r="G812" s="139"/>
      <c r="H812" s="139"/>
      <c r="I812" s="139"/>
      <c r="J812" s="139"/>
      <c r="K812" s="139"/>
      <c r="L812" s="139"/>
      <c r="M812" s="139"/>
      <c r="N812" s="139"/>
      <c r="O812" s="140"/>
      <c r="P812" s="139"/>
      <c r="Q812" s="139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</row>
    <row r="813" spans="1:35">
      <c r="A813" s="8"/>
      <c r="B813" s="8"/>
      <c r="C813" s="43"/>
      <c r="D813" s="138"/>
      <c r="E813" s="138"/>
      <c r="F813" s="139"/>
      <c r="G813" s="139"/>
      <c r="H813" s="139"/>
      <c r="I813" s="139"/>
      <c r="J813" s="139"/>
      <c r="K813" s="139"/>
      <c r="L813" s="139"/>
      <c r="M813" s="139"/>
      <c r="N813" s="139"/>
      <c r="O813" s="140"/>
      <c r="P813" s="139"/>
      <c r="Q813" s="139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</row>
    <row r="814" spans="1:35">
      <c r="A814" s="8"/>
      <c r="B814" s="8"/>
      <c r="C814" s="43"/>
      <c r="D814" s="138"/>
      <c r="E814" s="138"/>
      <c r="F814" s="139"/>
      <c r="G814" s="139"/>
      <c r="H814" s="139"/>
      <c r="I814" s="139"/>
      <c r="J814" s="139"/>
      <c r="K814" s="139"/>
      <c r="L814" s="139"/>
      <c r="M814" s="139"/>
      <c r="N814" s="139"/>
      <c r="O814" s="140"/>
      <c r="P814" s="139"/>
      <c r="Q814" s="139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</row>
    <row r="815" spans="1:35">
      <c r="A815" s="8"/>
      <c r="B815" s="8"/>
      <c r="C815" s="43"/>
      <c r="D815" s="138"/>
      <c r="E815" s="138"/>
      <c r="F815" s="139"/>
      <c r="G815" s="139"/>
      <c r="H815" s="139"/>
      <c r="I815" s="139"/>
      <c r="J815" s="139"/>
      <c r="K815" s="139"/>
      <c r="L815" s="139"/>
      <c r="M815" s="139"/>
      <c r="N815" s="139"/>
      <c r="O815" s="140"/>
      <c r="P815" s="139"/>
      <c r="Q815" s="139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</row>
    <row r="816" spans="1:35">
      <c r="A816" s="8"/>
      <c r="B816" s="8"/>
      <c r="C816" s="43"/>
      <c r="D816" s="138"/>
      <c r="E816" s="138"/>
      <c r="F816" s="139"/>
      <c r="G816" s="139"/>
      <c r="H816" s="139"/>
      <c r="I816" s="139"/>
      <c r="J816" s="139"/>
      <c r="K816" s="139"/>
      <c r="L816" s="139"/>
      <c r="M816" s="139"/>
      <c r="N816" s="139"/>
      <c r="O816" s="140"/>
      <c r="P816" s="139"/>
      <c r="Q816" s="139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</row>
    <row r="817" spans="1:35">
      <c r="A817" s="8"/>
      <c r="B817" s="8"/>
      <c r="C817" s="43"/>
      <c r="D817" s="138"/>
      <c r="E817" s="138"/>
      <c r="F817" s="139"/>
      <c r="G817" s="139"/>
      <c r="H817" s="139"/>
      <c r="I817" s="139"/>
      <c r="J817" s="139"/>
      <c r="K817" s="139"/>
      <c r="L817" s="139"/>
      <c r="M817" s="139"/>
      <c r="N817" s="139"/>
      <c r="O817" s="140"/>
      <c r="P817" s="139"/>
      <c r="Q817" s="139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</row>
    <row r="818" spans="1:35">
      <c r="A818" s="8"/>
      <c r="B818" s="8"/>
      <c r="C818" s="43"/>
      <c r="D818" s="138"/>
      <c r="E818" s="138"/>
      <c r="F818" s="139"/>
      <c r="G818" s="139"/>
      <c r="H818" s="139"/>
      <c r="I818" s="139"/>
      <c r="J818" s="139"/>
      <c r="K818" s="139"/>
      <c r="L818" s="139"/>
      <c r="M818" s="139"/>
      <c r="N818" s="139"/>
      <c r="O818" s="140"/>
      <c r="P818" s="139"/>
      <c r="Q818" s="139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</row>
    <row r="819" spans="1:35">
      <c r="A819" s="8"/>
      <c r="B819" s="8"/>
      <c r="C819" s="43"/>
      <c r="D819" s="138"/>
      <c r="E819" s="138"/>
      <c r="F819" s="139"/>
      <c r="G819" s="139"/>
      <c r="H819" s="139"/>
      <c r="I819" s="139"/>
      <c r="J819" s="139"/>
      <c r="K819" s="139"/>
      <c r="L819" s="139"/>
      <c r="M819" s="139"/>
      <c r="N819" s="139"/>
      <c r="O819" s="140"/>
      <c r="P819" s="139"/>
      <c r="Q819" s="139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</row>
    <row r="820" spans="1:35">
      <c r="A820" s="8"/>
      <c r="B820" s="8"/>
      <c r="C820" s="43"/>
      <c r="D820" s="138"/>
      <c r="E820" s="138"/>
      <c r="F820" s="139"/>
      <c r="G820" s="139"/>
      <c r="H820" s="139"/>
      <c r="I820" s="139"/>
      <c r="J820" s="139"/>
      <c r="K820" s="139"/>
      <c r="L820" s="139"/>
      <c r="M820" s="139"/>
      <c r="N820" s="139"/>
      <c r="O820" s="140"/>
      <c r="P820" s="139"/>
      <c r="Q820" s="139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</row>
    <row r="821" spans="1:35">
      <c r="A821" s="8"/>
      <c r="B821" s="8"/>
      <c r="C821" s="43"/>
      <c r="D821" s="138"/>
      <c r="E821" s="138"/>
      <c r="F821" s="139"/>
      <c r="G821" s="139"/>
      <c r="H821" s="139"/>
      <c r="I821" s="139"/>
      <c r="J821" s="139"/>
      <c r="K821" s="139"/>
      <c r="L821" s="139"/>
      <c r="M821" s="139"/>
      <c r="N821" s="139"/>
      <c r="O821" s="140"/>
      <c r="P821" s="139"/>
      <c r="Q821" s="139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</row>
    <row r="822" spans="1:35">
      <c r="A822" s="8"/>
      <c r="B822" s="8"/>
      <c r="C822" s="43"/>
      <c r="D822" s="138"/>
      <c r="E822" s="138"/>
      <c r="F822" s="139"/>
      <c r="G822" s="139"/>
      <c r="H822" s="139"/>
      <c r="I822" s="139"/>
      <c r="J822" s="139"/>
      <c r="K822" s="139"/>
      <c r="L822" s="139"/>
      <c r="M822" s="139"/>
      <c r="N822" s="139"/>
      <c r="O822" s="140"/>
      <c r="P822" s="139"/>
      <c r="Q822" s="139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</row>
    <row r="823" spans="1:35">
      <c r="A823" s="8"/>
      <c r="B823" s="8"/>
      <c r="C823" s="43"/>
      <c r="D823" s="138"/>
      <c r="E823" s="138"/>
      <c r="F823" s="139"/>
      <c r="G823" s="139"/>
      <c r="H823" s="139"/>
      <c r="I823" s="139"/>
      <c r="J823" s="139"/>
      <c r="K823" s="139"/>
      <c r="L823" s="139"/>
      <c r="M823" s="139"/>
      <c r="N823" s="139"/>
      <c r="O823" s="140"/>
      <c r="P823" s="139"/>
      <c r="Q823" s="139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</row>
    <row r="824" spans="1:35">
      <c r="A824" s="8"/>
      <c r="B824" s="8"/>
      <c r="C824" s="43"/>
      <c r="D824" s="138"/>
      <c r="E824" s="138"/>
      <c r="F824" s="139"/>
      <c r="G824" s="139"/>
      <c r="H824" s="139"/>
      <c r="I824" s="139"/>
      <c r="J824" s="139"/>
      <c r="K824" s="139"/>
      <c r="L824" s="139"/>
      <c r="M824" s="139"/>
      <c r="N824" s="139"/>
      <c r="O824" s="140"/>
      <c r="P824" s="139"/>
      <c r="Q824" s="139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</row>
    <row r="825" spans="1:35">
      <c r="A825" s="8"/>
      <c r="B825" s="8"/>
      <c r="C825" s="43"/>
      <c r="D825" s="138"/>
      <c r="E825" s="138"/>
      <c r="F825" s="139"/>
      <c r="G825" s="139"/>
      <c r="H825" s="139"/>
      <c r="I825" s="139"/>
      <c r="J825" s="139"/>
      <c r="K825" s="139"/>
      <c r="L825" s="139"/>
      <c r="M825" s="139"/>
      <c r="N825" s="139"/>
      <c r="O825" s="140"/>
      <c r="P825" s="139"/>
      <c r="Q825" s="139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</row>
    <row r="826" spans="1:35">
      <c r="A826" s="8"/>
      <c r="B826" s="8"/>
      <c r="C826" s="43"/>
      <c r="D826" s="138"/>
      <c r="E826" s="138"/>
      <c r="F826" s="139"/>
      <c r="G826" s="139"/>
      <c r="H826" s="139"/>
      <c r="I826" s="139"/>
      <c r="J826" s="139"/>
      <c r="K826" s="139"/>
      <c r="L826" s="139"/>
      <c r="M826" s="139"/>
      <c r="N826" s="139"/>
      <c r="O826" s="140"/>
      <c r="P826" s="139"/>
      <c r="Q826" s="139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</row>
    <row r="827" spans="1:35">
      <c r="A827" s="8"/>
      <c r="B827" s="8"/>
      <c r="C827" s="43"/>
      <c r="D827" s="138"/>
      <c r="E827" s="138"/>
      <c r="F827" s="139"/>
      <c r="G827" s="139"/>
      <c r="H827" s="139"/>
      <c r="I827" s="139"/>
      <c r="J827" s="139"/>
      <c r="K827" s="139"/>
      <c r="L827" s="139"/>
      <c r="M827" s="139"/>
      <c r="N827" s="139"/>
      <c r="O827" s="140"/>
      <c r="P827" s="139"/>
      <c r="Q827" s="139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</row>
    <row r="828" spans="1:35">
      <c r="A828" s="8"/>
      <c r="B828" s="8"/>
      <c r="C828" s="43"/>
      <c r="D828" s="138"/>
      <c r="E828" s="138"/>
      <c r="F828" s="139"/>
      <c r="G828" s="139"/>
      <c r="H828" s="139"/>
      <c r="I828" s="139"/>
      <c r="J828" s="139"/>
      <c r="K828" s="139"/>
      <c r="L828" s="139"/>
      <c r="M828" s="139"/>
      <c r="N828" s="139"/>
      <c r="O828" s="140"/>
      <c r="P828" s="139"/>
      <c r="Q828" s="139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</row>
    <row r="829" spans="1:35">
      <c r="A829" s="8"/>
      <c r="B829" s="8"/>
      <c r="C829" s="43"/>
      <c r="D829" s="138"/>
      <c r="E829" s="138"/>
      <c r="F829" s="139"/>
      <c r="G829" s="139"/>
      <c r="H829" s="139"/>
      <c r="I829" s="139"/>
      <c r="J829" s="139"/>
      <c r="K829" s="139"/>
      <c r="L829" s="139"/>
      <c r="M829" s="139"/>
      <c r="N829" s="139"/>
      <c r="O829" s="140"/>
      <c r="P829" s="139"/>
      <c r="Q829" s="139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</row>
    <row r="830" spans="1:35">
      <c r="A830" s="8"/>
      <c r="B830" s="8"/>
      <c r="C830" s="43"/>
      <c r="D830" s="138"/>
      <c r="E830" s="138"/>
      <c r="F830" s="139"/>
      <c r="G830" s="139"/>
      <c r="H830" s="139"/>
      <c r="I830" s="139"/>
      <c r="J830" s="139"/>
      <c r="K830" s="139"/>
      <c r="L830" s="139"/>
      <c r="M830" s="139"/>
      <c r="N830" s="139"/>
      <c r="O830" s="140"/>
      <c r="P830" s="139"/>
      <c r="Q830" s="139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</row>
    <row r="831" spans="1:35">
      <c r="A831" s="8"/>
      <c r="B831" s="8"/>
      <c r="C831" s="43"/>
      <c r="D831" s="138"/>
      <c r="E831" s="138"/>
      <c r="F831" s="139"/>
      <c r="G831" s="139"/>
      <c r="H831" s="139"/>
      <c r="I831" s="139"/>
      <c r="J831" s="139"/>
      <c r="K831" s="139"/>
      <c r="L831" s="139"/>
      <c r="M831" s="139"/>
      <c r="N831" s="139"/>
      <c r="O831" s="140"/>
      <c r="P831" s="139"/>
      <c r="Q831" s="139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</row>
    <row r="832" spans="1:35">
      <c r="A832" s="8"/>
      <c r="B832" s="8"/>
      <c r="C832" s="43"/>
      <c r="D832" s="138"/>
      <c r="E832" s="138"/>
      <c r="F832" s="139"/>
      <c r="G832" s="139"/>
      <c r="H832" s="139"/>
      <c r="I832" s="139"/>
      <c r="J832" s="139"/>
      <c r="K832" s="139"/>
      <c r="L832" s="139"/>
      <c r="M832" s="139"/>
      <c r="N832" s="139"/>
      <c r="O832" s="140"/>
      <c r="P832" s="139"/>
      <c r="Q832" s="139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</row>
    <row r="833" spans="1:35">
      <c r="A833" s="8"/>
      <c r="B833" s="8"/>
      <c r="C833" s="43"/>
      <c r="D833" s="138"/>
      <c r="E833" s="138"/>
      <c r="F833" s="139"/>
      <c r="G833" s="139"/>
      <c r="H833" s="139"/>
      <c r="I833" s="139"/>
      <c r="J833" s="139"/>
      <c r="K833" s="139"/>
      <c r="L833" s="139"/>
      <c r="M833" s="139"/>
      <c r="N833" s="139"/>
      <c r="O833" s="140"/>
      <c r="P833" s="139"/>
      <c r="Q833" s="139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</row>
    <row r="834" spans="1:35">
      <c r="A834" s="8"/>
      <c r="B834" s="8"/>
      <c r="C834" s="43"/>
      <c r="D834" s="138"/>
      <c r="E834" s="138"/>
      <c r="F834" s="139"/>
      <c r="G834" s="139"/>
      <c r="H834" s="139"/>
      <c r="I834" s="139"/>
      <c r="J834" s="139"/>
      <c r="K834" s="139"/>
      <c r="L834" s="139"/>
      <c r="M834" s="139"/>
      <c r="N834" s="139"/>
      <c r="O834" s="140"/>
      <c r="P834" s="139"/>
      <c r="Q834" s="139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</row>
    <row r="835" spans="1:35">
      <c r="A835" s="8"/>
      <c r="B835" s="8"/>
      <c r="C835" s="43"/>
      <c r="D835" s="138"/>
      <c r="E835" s="138"/>
      <c r="F835" s="139"/>
      <c r="G835" s="139"/>
      <c r="H835" s="139"/>
      <c r="I835" s="139"/>
      <c r="J835" s="139"/>
      <c r="K835" s="139"/>
      <c r="L835" s="139"/>
      <c r="M835" s="139"/>
      <c r="N835" s="139"/>
      <c r="O835" s="140"/>
      <c r="P835" s="139"/>
      <c r="Q835" s="139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</row>
    <row r="836" spans="1:35">
      <c r="A836" s="8"/>
      <c r="B836" s="8"/>
      <c r="C836" s="43"/>
      <c r="D836" s="138"/>
      <c r="E836" s="138"/>
      <c r="F836" s="139"/>
      <c r="G836" s="139"/>
      <c r="H836" s="139"/>
      <c r="I836" s="139"/>
      <c r="J836" s="139"/>
      <c r="K836" s="139"/>
      <c r="L836" s="139"/>
      <c r="M836" s="139"/>
      <c r="N836" s="139"/>
      <c r="O836" s="140"/>
      <c r="P836" s="139"/>
      <c r="Q836" s="139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</row>
    <row r="837" spans="1:35">
      <c r="A837" s="8"/>
      <c r="B837" s="8"/>
      <c r="C837" s="43"/>
      <c r="D837" s="138"/>
      <c r="E837" s="138"/>
      <c r="F837" s="139"/>
      <c r="G837" s="139"/>
      <c r="H837" s="139"/>
      <c r="I837" s="139"/>
      <c r="J837" s="139"/>
      <c r="K837" s="139"/>
      <c r="L837" s="139"/>
      <c r="M837" s="139"/>
      <c r="N837" s="139"/>
      <c r="O837" s="140"/>
      <c r="P837" s="139"/>
      <c r="Q837" s="139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</row>
    <row r="838" spans="1:35">
      <c r="A838" s="8"/>
      <c r="B838" s="8"/>
      <c r="C838" s="43"/>
      <c r="D838" s="138"/>
      <c r="E838" s="138"/>
      <c r="F838" s="139"/>
      <c r="G838" s="139"/>
      <c r="H838" s="139"/>
      <c r="I838" s="139"/>
      <c r="J838" s="139"/>
      <c r="K838" s="139"/>
      <c r="L838" s="139"/>
      <c r="M838" s="139"/>
      <c r="N838" s="139"/>
      <c r="O838" s="140"/>
      <c r="P838" s="139"/>
      <c r="Q838" s="139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</row>
    <row r="839" spans="1:35">
      <c r="A839" s="8"/>
      <c r="B839" s="8"/>
      <c r="C839" s="43"/>
      <c r="D839" s="138"/>
      <c r="E839" s="138"/>
      <c r="F839" s="139"/>
      <c r="G839" s="139"/>
      <c r="H839" s="139"/>
      <c r="I839" s="139"/>
      <c r="J839" s="139"/>
      <c r="K839" s="139"/>
      <c r="L839" s="139"/>
      <c r="M839" s="139"/>
      <c r="N839" s="139"/>
      <c r="O839" s="140"/>
      <c r="P839" s="139"/>
      <c r="Q839" s="139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</row>
    <row r="840" spans="1:35">
      <c r="A840" s="8"/>
      <c r="B840" s="8"/>
      <c r="C840" s="43"/>
      <c r="D840" s="138"/>
      <c r="E840" s="138"/>
      <c r="F840" s="139"/>
      <c r="G840" s="139"/>
      <c r="H840" s="139"/>
      <c r="I840" s="139"/>
      <c r="J840" s="139"/>
      <c r="K840" s="139"/>
      <c r="L840" s="139"/>
      <c r="M840" s="139"/>
      <c r="N840" s="139"/>
      <c r="O840" s="140"/>
      <c r="P840" s="139"/>
      <c r="Q840" s="139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</row>
    <row r="841" spans="1:35">
      <c r="A841" s="8"/>
      <c r="B841" s="8"/>
      <c r="C841" s="43"/>
      <c r="D841" s="138"/>
      <c r="E841" s="138"/>
      <c r="F841" s="139"/>
      <c r="G841" s="139"/>
      <c r="H841" s="139"/>
      <c r="I841" s="139"/>
      <c r="J841" s="139"/>
      <c r="K841" s="139"/>
      <c r="L841" s="139"/>
      <c r="M841" s="139"/>
      <c r="N841" s="139"/>
      <c r="O841" s="140"/>
      <c r="P841" s="139"/>
      <c r="Q841" s="139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</row>
    <row r="842" spans="1:35">
      <c r="A842" s="8"/>
      <c r="B842" s="8"/>
      <c r="C842" s="43"/>
      <c r="D842" s="138"/>
      <c r="E842" s="138"/>
      <c r="F842" s="139"/>
      <c r="G842" s="139"/>
      <c r="H842" s="139"/>
      <c r="I842" s="139"/>
      <c r="J842" s="139"/>
      <c r="K842" s="139"/>
      <c r="L842" s="139"/>
      <c r="M842" s="139"/>
      <c r="N842" s="139"/>
      <c r="O842" s="140"/>
      <c r="P842" s="139"/>
      <c r="Q842" s="139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</row>
    <row r="843" spans="1:35">
      <c r="A843" s="8"/>
      <c r="B843" s="8"/>
      <c r="C843" s="43"/>
      <c r="D843" s="138"/>
      <c r="E843" s="138"/>
      <c r="F843" s="139"/>
      <c r="G843" s="139"/>
      <c r="H843" s="139"/>
      <c r="I843" s="139"/>
      <c r="J843" s="139"/>
      <c r="K843" s="139"/>
      <c r="L843" s="139"/>
      <c r="M843" s="139"/>
      <c r="N843" s="139"/>
      <c r="O843" s="140"/>
      <c r="P843" s="139"/>
      <c r="Q843" s="139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</row>
    <row r="844" spans="1:35">
      <c r="A844" s="8"/>
      <c r="B844" s="8"/>
      <c r="C844" s="43"/>
      <c r="D844" s="138"/>
      <c r="E844" s="138"/>
      <c r="F844" s="139"/>
      <c r="G844" s="139"/>
      <c r="H844" s="139"/>
      <c r="I844" s="139"/>
      <c r="J844" s="139"/>
      <c r="K844" s="139"/>
      <c r="L844" s="139"/>
      <c r="M844" s="139"/>
      <c r="N844" s="139"/>
      <c r="O844" s="140"/>
      <c r="P844" s="139"/>
      <c r="Q844" s="139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</row>
    <row r="845" spans="1:35">
      <c r="A845" s="8"/>
      <c r="B845" s="8"/>
      <c r="C845" s="43"/>
      <c r="D845" s="138"/>
      <c r="E845" s="138"/>
      <c r="F845" s="139"/>
      <c r="G845" s="139"/>
      <c r="H845" s="139"/>
      <c r="I845" s="139"/>
      <c r="J845" s="139"/>
      <c r="K845" s="139"/>
      <c r="L845" s="139"/>
      <c r="M845" s="139"/>
      <c r="N845" s="139"/>
      <c r="O845" s="140"/>
      <c r="P845" s="139"/>
      <c r="Q845" s="139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</row>
    <row r="846" spans="1:35">
      <c r="A846" s="8"/>
      <c r="B846" s="8"/>
      <c r="C846" s="43"/>
      <c r="D846" s="138"/>
      <c r="E846" s="138"/>
      <c r="F846" s="139"/>
      <c r="G846" s="139"/>
      <c r="H846" s="139"/>
      <c r="I846" s="139"/>
      <c r="J846" s="139"/>
      <c r="K846" s="139"/>
      <c r="L846" s="139"/>
      <c r="M846" s="139"/>
      <c r="N846" s="139"/>
      <c r="O846" s="140"/>
      <c r="P846" s="139"/>
      <c r="Q846" s="139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</row>
    <row r="847" spans="1:35">
      <c r="A847" s="8"/>
      <c r="B847" s="8"/>
      <c r="C847" s="43"/>
      <c r="D847" s="138"/>
      <c r="E847" s="138"/>
      <c r="F847" s="139"/>
      <c r="G847" s="139"/>
      <c r="H847" s="139"/>
      <c r="I847" s="139"/>
      <c r="J847" s="139"/>
      <c r="K847" s="139"/>
      <c r="L847" s="139"/>
      <c r="M847" s="139"/>
      <c r="N847" s="139"/>
      <c r="O847" s="140"/>
      <c r="P847" s="139"/>
      <c r="Q847" s="139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</row>
    <row r="848" spans="1:35">
      <c r="A848" s="8"/>
      <c r="B848" s="8"/>
      <c r="C848" s="43"/>
      <c r="D848" s="138"/>
      <c r="E848" s="138"/>
      <c r="F848" s="139"/>
      <c r="G848" s="139"/>
      <c r="H848" s="139"/>
      <c r="I848" s="139"/>
      <c r="J848" s="139"/>
      <c r="K848" s="139"/>
      <c r="L848" s="139"/>
      <c r="M848" s="139"/>
      <c r="N848" s="139"/>
      <c r="O848" s="140"/>
      <c r="P848" s="139"/>
      <c r="Q848" s="139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</row>
    <row r="849" spans="1:35">
      <c r="A849" s="8"/>
      <c r="B849" s="8"/>
      <c r="C849" s="43"/>
      <c r="D849" s="138"/>
      <c r="E849" s="138"/>
      <c r="F849" s="139"/>
      <c r="G849" s="139"/>
      <c r="H849" s="139"/>
      <c r="I849" s="139"/>
      <c r="J849" s="139"/>
      <c r="K849" s="139"/>
      <c r="L849" s="139"/>
      <c r="M849" s="139"/>
      <c r="N849" s="139"/>
      <c r="O849" s="140"/>
      <c r="P849" s="139"/>
      <c r="Q849" s="139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</row>
    <row r="850" spans="1:35">
      <c r="A850" s="8"/>
      <c r="B850" s="8"/>
      <c r="C850" s="43"/>
      <c r="D850" s="138"/>
      <c r="E850" s="138"/>
      <c r="F850" s="139"/>
      <c r="G850" s="139"/>
      <c r="H850" s="139"/>
      <c r="I850" s="139"/>
      <c r="J850" s="139"/>
      <c r="K850" s="139"/>
      <c r="L850" s="139"/>
      <c r="M850" s="139"/>
      <c r="N850" s="139"/>
      <c r="O850" s="140"/>
      <c r="P850" s="139"/>
      <c r="Q850" s="139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</row>
    <row r="851" spans="1:35">
      <c r="A851" s="8"/>
      <c r="B851" s="8"/>
      <c r="C851" s="43"/>
      <c r="D851" s="138"/>
      <c r="E851" s="138"/>
      <c r="F851" s="139"/>
      <c r="G851" s="139"/>
      <c r="H851" s="139"/>
      <c r="I851" s="139"/>
      <c r="J851" s="139"/>
      <c r="K851" s="139"/>
      <c r="L851" s="139"/>
      <c r="M851" s="139"/>
      <c r="N851" s="139"/>
      <c r="O851" s="140"/>
      <c r="P851" s="139"/>
      <c r="Q851" s="139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</row>
    <row r="852" spans="1:35">
      <c r="A852" s="8"/>
      <c r="B852" s="8"/>
      <c r="C852" s="43"/>
      <c r="D852" s="138"/>
      <c r="E852" s="138"/>
      <c r="F852" s="139"/>
      <c r="G852" s="139"/>
      <c r="H852" s="139"/>
      <c r="I852" s="139"/>
      <c r="J852" s="139"/>
      <c r="K852" s="139"/>
      <c r="L852" s="139"/>
      <c r="M852" s="139"/>
      <c r="N852" s="139"/>
      <c r="O852" s="140"/>
      <c r="P852" s="139"/>
      <c r="Q852" s="139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</row>
    <row r="853" spans="1:35">
      <c r="A853" s="8"/>
      <c r="B853" s="8"/>
      <c r="C853" s="43"/>
      <c r="D853" s="138"/>
      <c r="E853" s="138"/>
      <c r="F853" s="139"/>
      <c r="G853" s="139"/>
      <c r="H853" s="139"/>
      <c r="I853" s="139"/>
      <c r="J853" s="139"/>
      <c r="K853" s="139"/>
      <c r="L853" s="139"/>
      <c r="M853" s="139"/>
      <c r="N853" s="139"/>
      <c r="O853" s="140"/>
      <c r="P853" s="139"/>
      <c r="Q853" s="139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</row>
    <row r="854" spans="1:35">
      <c r="A854" s="8"/>
      <c r="B854" s="8"/>
      <c r="C854" s="43"/>
      <c r="D854" s="138"/>
      <c r="E854" s="138"/>
      <c r="F854" s="139"/>
      <c r="G854" s="139"/>
      <c r="H854" s="139"/>
      <c r="I854" s="139"/>
      <c r="J854" s="139"/>
      <c r="K854" s="139"/>
      <c r="L854" s="139"/>
      <c r="M854" s="139"/>
      <c r="N854" s="139"/>
      <c r="O854" s="140"/>
      <c r="P854" s="139"/>
      <c r="Q854" s="139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</row>
    <row r="855" spans="1:35">
      <c r="A855" s="8"/>
      <c r="B855" s="8"/>
      <c r="C855" s="43"/>
      <c r="D855" s="138"/>
      <c r="E855" s="138"/>
      <c r="F855" s="139"/>
      <c r="G855" s="139"/>
      <c r="H855" s="139"/>
      <c r="I855" s="139"/>
      <c r="J855" s="139"/>
      <c r="K855" s="139"/>
      <c r="L855" s="139"/>
      <c r="M855" s="139"/>
      <c r="N855" s="139"/>
      <c r="O855" s="140"/>
      <c r="P855" s="139"/>
      <c r="Q855" s="139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</row>
    <row r="856" spans="1:35">
      <c r="A856" s="8"/>
      <c r="B856" s="8"/>
      <c r="C856" s="43"/>
      <c r="D856" s="138"/>
      <c r="E856" s="138"/>
      <c r="F856" s="139"/>
      <c r="G856" s="139"/>
      <c r="H856" s="139"/>
      <c r="I856" s="139"/>
      <c r="J856" s="139"/>
      <c r="K856" s="139"/>
      <c r="L856" s="139"/>
      <c r="M856" s="139"/>
      <c r="N856" s="139"/>
      <c r="O856" s="140"/>
      <c r="P856" s="139"/>
      <c r="Q856" s="139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</row>
    <row r="857" spans="1:35">
      <c r="A857" s="8"/>
      <c r="B857" s="8"/>
      <c r="C857" s="43"/>
      <c r="D857" s="138"/>
      <c r="E857" s="138"/>
      <c r="F857" s="139"/>
      <c r="G857" s="139"/>
      <c r="H857" s="139"/>
      <c r="I857" s="139"/>
      <c r="J857" s="139"/>
      <c r="K857" s="139"/>
      <c r="L857" s="139"/>
      <c r="M857" s="139"/>
      <c r="N857" s="139"/>
      <c r="O857" s="140"/>
      <c r="P857" s="139"/>
      <c r="Q857" s="139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</row>
    <row r="858" spans="1:35">
      <c r="A858" s="8"/>
      <c r="B858" s="8"/>
      <c r="C858" s="43"/>
      <c r="D858" s="138"/>
      <c r="E858" s="138"/>
      <c r="F858" s="139"/>
      <c r="G858" s="139"/>
      <c r="H858" s="139"/>
      <c r="I858" s="139"/>
      <c r="J858" s="139"/>
      <c r="K858" s="139"/>
      <c r="L858" s="139"/>
      <c r="M858" s="139"/>
      <c r="N858" s="139"/>
      <c r="O858" s="140"/>
      <c r="P858" s="139"/>
      <c r="Q858" s="139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</row>
    <row r="859" spans="1:35">
      <c r="A859" s="8"/>
      <c r="B859" s="8"/>
      <c r="C859" s="43"/>
      <c r="D859" s="138"/>
      <c r="E859" s="138"/>
      <c r="F859" s="139"/>
      <c r="G859" s="139"/>
      <c r="H859" s="139"/>
      <c r="I859" s="139"/>
      <c r="J859" s="139"/>
      <c r="K859" s="139"/>
      <c r="L859" s="139"/>
      <c r="M859" s="139"/>
      <c r="N859" s="139"/>
      <c r="O859" s="140"/>
      <c r="P859" s="139"/>
      <c r="Q859" s="139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</row>
    <row r="860" spans="1:35">
      <c r="A860" s="8"/>
      <c r="B860" s="8"/>
      <c r="C860" s="43"/>
      <c r="D860" s="138"/>
      <c r="E860" s="138"/>
      <c r="F860" s="139"/>
      <c r="G860" s="139"/>
      <c r="H860" s="139"/>
      <c r="I860" s="139"/>
      <c r="J860" s="139"/>
      <c r="K860" s="139"/>
      <c r="L860" s="139"/>
      <c r="M860" s="139"/>
      <c r="N860" s="139"/>
      <c r="O860" s="140"/>
      <c r="P860" s="139"/>
      <c r="Q860" s="139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</row>
    <row r="861" spans="1:35">
      <c r="A861" s="8"/>
      <c r="B861" s="8"/>
      <c r="C861" s="43"/>
      <c r="D861" s="138"/>
      <c r="E861" s="138"/>
      <c r="F861" s="139"/>
      <c r="G861" s="139"/>
      <c r="H861" s="139"/>
      <c r="I861" s="139"/>
      <c r="J861" s="139"/>
      <c r="K861" s="139"/>
      <c r="L861" s="139"/>
      <c r="M861" s="139"/>
      <c r="N861" s="139"/>
      <c r="O861" s="140"/>
      <c r="P861" s="139"/>
      <c r="Q861" s="139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</row>
    <row r="862" spans="1:35">
      <c r="A862" s="8"/>
      <c r="B862" s="8"/>
      <c r="C862" s="43"/>
      <c r="D862" s="138"/>
      <c r="E862" s="138"/>
      <c r="F862" s="139"/>
      <c r="G862" s="139"/>
      <c r="H862" s="139"/>
      <c r="I862" s="139"/>
      <c r="J862" s="139"/>
      <c r="K862" s="139"/>
      <c r="L862" s="139"/>
      <c r="M862" s="139"/>
      <c r="N862" s="139"/>
      <c r="O862" s="140"/>
      <c r="P862" s="139"/>
      <c r="Q862" s="139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</row>
    <row r="863" spans="1:35">
      <c r="A863" s="8"/>
      <c r="B863" s="8"/>
      <c r="C863" s="43"/>
      <c r="D863" s="138"/>
      <c r="E863" s="138"/>
      <c r="F863" s="139"/>
      <c r="G863" s="139"/>
      <c r="H863" s="139"/>
      <c r="I863" s="139"/>
      <c r="J863" s="139"/>
      <c r="K863" s="139"/>
      <c r="L863" s="139"/>
      <c r="M863" s="139"/>
      <c r="N863" s="139"/>
      <c r="O863" s="140"/>
      <c r="P863" s="139"/>
      <c r="Q863" s="139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</row>
    <row r="864" spans="1:35">
      <c r="A864" s="8"/>
      <c r="B864" s="8"/>
      <c r="C864" s="43"/>
      <c r="D864" s="138"/>
      <c r="E864" s="138"/>
      <c r="F864" s="139"/>
      <c r="G864" s="139"/>
      <c r="H864" s="139"/>
      <c r="I864" s="139"/>
      <c r="J864" s="139"/>
      <c r="K864" s="139"/>
      <c r="L864" s="139"/>
      <c r="M864" s="139"/>
      <c r="N864" s="139"/>
      <c r="O864" s="140"/>
      <c r="P864" s="139"/>
      <c r="Q864" s="139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</row>
    <row r="865" spans="1:35">
      <c r="A865" s="8"/>
      <c r="B865" s="8"/>
      <c r="C865" s="43"/>
      <c r="D865" s="138"/>
      <c r="E865" s="138"/>
      <c r="F865" s="139"/>
      <c r="G865" s="139"/>
      <c r="H865" s="139"/>
      <c r="I865" s="139"/>
      <c r="J865" s="139"/>
      <c r="K865" s="139"/>
      <c r="L865" s="139"/>
      <c r="M865" s="139"/>
      <c r="N865" s="139"/>
      <c r="O865" s="140"/>
      <c r="P865" s="139"/>
      <c r="Q865" s="139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</row>
    <row r="866" spans="1:35">
      <c r="A866" s="8"/>
      <c r="B866" s="8"/>
      <c r="C866" s="43"/>
      <c r="D866" s="138"/>
      <c r="E866" s="138"/>
      <c r="F866" s="139"/>
      <c r="G866" s="139"/>
      <c r="H866" s="139"/>
      <c r="I866" s="139"/>
      <c r="J866" s="139"/>
      <c r="K866" s="139"/>
      <c r="L866" s="139"/>
      <c r="M866" s="139"/>
      <c r="N866" s="139"/>
      <c r="O866" s="140"/>
      <c r="P866" s="139"/>
      <c r="Q866" s="139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</row>
    <row r="867" spans="1:35">
      <c r="A867" s="8"/>
      <c r="B867" s="8"/>
      <c r="C867" s="43"/>
      <c r="D867" s="138"/>
      <c r="E867" s="138"/>
      <c r="F867" s="139"/>
      <c r="G867" s="139"/>
      <c r="H867" s="139"/>
      <c r="I867" s="139"/>
      <c r="J867" s="139"/>
      <c r="K867" s="139"/>
      <c r="L867" s="139"/>
      <c r="M867" s="139"/>
      <c r="N867" s="139"/>
      <c r="O867" s="140"/>
      <c r="P867" s="139"/>
      <c r="Q867" s="139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</row>
    <row r="868" spans="1:35">
      <c r="A868" s="8"/>
      <c r="B868" s="8"/>
      <c r="C868" s="43"/>
      <c r="D868" s="138"/>
      <c r="E868" s="138"/>
      <c r="F868" s="139"/>
      <c r="G868" s="139"/>
      <c r="H868" s="139"/>
      <c r="I868" s="139"/>
      <c r="J868" s="139"/>
      <c r="K868" s="139"/>
      <c r="L868" s="139"/>
      <c r="M868" s="139"/>
      <c r="N868" s="139"/>
      <c r="O868" s="140"/>
      <c r="P868" s="139"/>
      <c r="Q868" s="139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</row>
    <row r="869" spans="1:35">
      <c r="A869" s="8"/>
      <c r="B869" s="8"/>
      <c r="C869" s="43"/>
      <c r="D869" s="138"/>
      <c r="E869" s="138"/>
      <c r="F869" s="139"/>
      <c r="G869" s="139"/>
      <c r="H869" s="139"/>
      <c r="I869" s="139"/>
      <c r="J869" s="139"/>
      <c r="K869" s="139"/>
      <c r="L869" s="139"/>
      <c r="M869" s="139"/>
      <c r="N869" s="139"/>
      <c r="O869" s="140"/>
      <c r="P869" s="139"/>
      <c r="Q869" s="139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</row>
    <row r="870" spans="1:35">
      <c r="A870" s="8"/>
      <c r="B870" s="8"/>
      <c r="C870" s="43"/>
      <c r="D870" s="138"/>
      <c r="E870" s="138"/>
      <c r="F870" s="139"/>
      <c r="G870" s="139"/>
      <c r="H870" s="139"/>
      <c r="I870" s="139"/>
      <c r="J870" s="139"/>
      <c r="K870" s="139"/>
      <c r="L870" s="139"/>
      <c r="M870" s="139"/>
      <c r="N870" s="139"/>
      <c r="O870" s="140"/>
      <c r="P870" s="139"/>
      <c r="Q870" s="139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</row>
    <row r="871" spans="1:35">
      <c r="A871" s="8"/>
      <c r="B871" s="8"/>
      <c r="C871" s="43"/>
      <c r="D871" s="138"/>
      <c r="E871" s="138"/>
      <c r="F871" s="139"/>
      <c r="G871" s="139"/>
      <c r="H871" s="139"/>
      <c r="I871" s="139"/>
      <c r="J871" s="139"/>
      <c r="K871" s="139"/>
      <c r="L871" s="139"/>
      <c r="M871" s="139"/>
      <c r="N871" s="139"/>
      <c r="O871" s="140"/>
      <c r="P871" s="139"/>
      <c r="Q871" s="139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</row>
    <row r="872" spans="1:35">
      <c r="A872" s="8"/>
      <c r="B872" s="8"/>
      <c r="C872" s="43"/>
      <c r="D872" s="138"/>
      <c r="E872" s="138"/>
      <c r="F872" s="139"/>
      <c r="G872" s="139"/>
      <c r="H872" s="139"/>
      <c r="I872" s="139"/>
      <c r="J872" s="139"/>
      <c r="K872" s="139"/>
      <c r="L872" s="139"/>
      <c r="M872" s="139"/>
      <c r="N872" s="139"/>
      <c r="O872" s="140"/>
      <c r="P872" s="139"/>
      <c r="Q872" s="139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</row>
    <row r="873" spans="1:35">
      <c r="A873" s="8"/>
      <c r="B873" s="8"/>
      <c r="C873" s="43"/>
      <c r="D873" s="138"/>
      <c r="E873" s="138"/>
      <c r="F873" s="139"/>
      <c r="G873" s="139"/>
      <c r="H873" s="139"/>
      <c r="I873" s="139"/>
      <c r="J873" s="139"/>
      <c r="K873" s="139"/>
      <c r="L873" s="139"/>
      <c r="M873" s="139"/>
      <c r="N873" s="139"/>
      <c r="O873" s="140"/>
      <c r="P873" s="139"/>
      <c r="Q873" s="139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</row>
    <row r="874" spans="1:35">
      <c r="A874" s="8"/>
      <c r="B874" s="8"/>
      <c r="C874" s="43"/>
      <c r="D874" s="138"/>
      <c r="E874" s="138"/>
      <c r="F874" s="139"/>
      <c r="G874" s="139"/>
      <c r="H874" s="139"/>
      <c r="I874" s="139"/>
      <c r="J874" s="139"/>
      <c r="K874" s="139"/>
      <c r="L874" s="139"/>
      <c r="M874" s="139"/>
      <c r="N874" s="139"/>
      <c r="O874" s="140"/>
      <c r="P874" s="139"/>
      <c r="Q874" s="139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</row>
    <row r="875" spans="1:35">
      <c r="A875" s="8"/>
      <c r="B875" s="8"/>
      <c r="C875" s="43"/>
      <c r="D875" s="138"/>
      <c r="E875" s="138"/>
      <c r="F875" s="139"/>
      <c r="G875" s="139"/>
      <c r="H875" s="139"/>
      <c r="I875" s="139"/>
      <c r="J875" s="139"/>
      <c r="K875" s="139"/>
      <c r="L875" s="139"/>
      <c r="M875" s="139"/>
      <c r="N875" s="139"/>
      <c r="O875" s="140"/>
      <c r="P875" s="139"/>
      <c r="Q875" s="139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</row>
    <row r="876" spans="1:35">
      <c r="A876" s="8"/>
      <c r="B876" s="8"/>
      <c r="C876" s="43"/>
      <c r="D876" s="138"/>
      <c r="E876" s="138"/>
      <c r="F876" s="139"/>
      <c r="G876" s="139"/>
      <c r="H876" s="139"/>
      <c r="I876" s="139"/>
      <c r="J876" s="139"/>
      <c r="K876" s="139"/>
      <c r="L876" s="139"/>
      <c r="M876" s="139"/>
      <c r="N876" s="139"/>
      <c r="O876" s="140"/>
      <c r="P876" s="139"/>
      <c r="Q876" s="139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</row>
    <row r="877" spans="1:35">
      <c r="A877" s="8"/>
      <c r="B877" s="8"/>
      <c r="C877" s="43"/>
      <c r="D877" s="138"/>
      <c r="E877" s="138"/>
      <c r="F877" s="139"/>
      <c r="G877" s="139"/>
      <c r="H877" s="139"/>
      <c r="I877" s="139"/>
      <c r="J877" s="139"/>
      <c r="K877" s="139"/>
      <c r="L877" s="139"/>
      <c r="M877" s="139"/>
      <c r="N877" s="139"/>
      <c r="O877" s="140"/>
      <c r="P877" s="139"/>
      <c r="Q877" s="139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</row>
    <row r="878" spans="1:35">
      <c r="A878" s="8"/>
      <c r="B878" s="8"/>
      <c r="C878" s="43"/>
      <c r="D878" s="138"/>
      <c r="E878" s="138"/>
      <c r="F878" s="139"/>
      <c r="G878" s="139"/>
      <c r="H878" s="139"/>
      <c r="I878" s="139"/>
      <c r="J878" s="139"/>
      <c r="K878" s="139"/>
      <c r="L878" s="139"/>
      <c r="M878" s="139"/>
      <c r="N878" s="139"/>
      <c r="O878" s="140"/>
      <c r="P878" s="139"/>
      <c r="Q878" s="139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</row>
    <row r="879" spans="1:35">
      <c r="A879" s="8"/>
      <c r="B879" s="8"/>
      <c r="C879" s="43"/>
      <c r="D879" s="138"/>
      <c r="E879" s="138"/>
      <c r="F879" s="139"/>
      <c r="G879" s="139"/>
      <c r="H879" s="139"/>
      <c r="I879" s="139"/>
      <c r="J879" s="139"/>
      <c r="K879" s="139"/>
      <c r="L879" s="139"/>
      <c r="M879" s="139"/>
      <c r="N879" s="139"/>
      <c r="O879" s="140"/>
      <c r="P879" s="139"/>
      <c r="Q879" s="139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</row>
    <row r="880" spans="1:35">
      <c r="A880" s="8"/>
      <c r="B880" s="8"/>
      <c r="C880" s="43"/>
      <c r="D880" s="138"/>
      <c r="E880" s="138"/>
      <c r="F880" s="139"/>
      <c r="G880" s="139"/>
      <c r="H880" s="139"/>
      <c r="I880" s="139"/>
      <c r="J880" s="139"/>
      <c r="K880" s="139"/>
      <c r="L880" s="139"/>
      <c r="M880" s="139"/>
      <c r="N880" s="139"/>
      <c r="O880" s="140"/>
      <c r="P880" s="139"/>
      <c r="Q880" s="139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</row>
    <row r="881" spans="1:35">
      <c r="A881" s="8"/>
      <c r="B881" s="8"/>
      <c r="C881" s="43"/>
      <c r="D881" s="138"/>
      <c r="E881" s="138"/>
      <c r="F881" s="139"/>
      <c r="G881" s="139"/>
      <c r="H881" s="139"/>
      <c r="I881" s="139"/>
      <c r="J881" s="139"/>
      <c r="K881" s="139"/>
      <c r="L881" s="139"/>
      <c r="M881" s="139"/>
      <c r="N881" s="139"/>
      <c r="O881" s="140"/>
      <c r="P881" s="139"/>
      <c r="Q881" s="139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</row>
    <row r="882" spans="1:35">
      <c r="A882" s="8"/>
      <c r="B882" s="8"/>
      <c r="C882" s="43"/>
      <c r="D882" s="138"/>
      <c r="E882" s="138"/>
      <c r="F882" s="139"/>
      <c r="G882" s="139"/>
      <c r="H882" s="139"/>
      <c r="I882" s="139"/>
      <c r="J882" s="139"/>
      <c r="K882" s="139"/>
      <c r="L882" s="139"/>
      <c r="M882" s="139"/>
      <c r="N882" s="139"/>
      <c r="O882" s="140"/>
      <c r="P882" s="139"/>
      <c r="Q882" s="139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</row>
    <row r="883" spans="1:35">
      <c r="A883" s="8"/>
      <c r="B883" s="8"/>
      <c r="C883" s="43"/>
      <c r="D883" s="138"/>
      <c r="E883" s="138"/>
      <c r="F883" s="139"/>
      <c r="G883" s="139"/>
      <c r="H883" s="139"/>
      <c r="I883" s="139"/>
      <c r="J883" s="139"/>
      <c r="K883" s="139"/>
      <c r="L883" s="139"/>
      <c r="M883" s="139"/>
      <c r="N883" s="139"/>
      <c r="O883" s="140"/>
      <c r="P883" s="139"/>
      <c r="Q883" s="139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</row>
    <row r="884" spans="1:35">
      <c r="A884" s="8"/>
      <c r="B884" s="8"/>
      <c r="C884" s="43"/>
      <c r="D884" s="138"/>
      <c r="E884" s="138"/>
      <c r="F884" s="139"/>
      <c r="G884" s="139"/>
      <c r="H884" s="139"/>
      <c r="I884" s="139"/>
      <c r="J884" s="139"/>
      <c r="K884" s="139"/>
      <c r="L884" s="139"/>
      <c r="M884" s="139"/>
      <c r="N884" s="139"/>
      <c r="O884" s="140"/>
      <c r="P884" s="139"/>
      <c r="Q884" s="139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</row>
    <row r="885" spans="1:35">
      <c r="A885" s="8"/>
      <c r="B885" s="8"/>
      <c r="C885" s="43"/>
      <c r="D885" s="138"/>
      <c r="E885" s="138"/>
      <c r="F885" s="139"/>
      <c r="G885" s="139"/>
      <c r="H885" s="139"/>
      <c r="I885" s="139"/>
      <c r="J885" s="139"/>
      <c r="K885" s="139"/>
      <c r="L885" s="139"/>
      <c r="M885" s="139"/>
      <c r="N885" s="139"/>
      <c r="O885" s="140"/>
      <c r="P885" s="139"/>
      <c r="Q885" s="139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</row>
    <row r="886" spans="1:35">
      <c r="A886" s="8"/>
      <c r="B886" s="8"/>
      <c r="C886" s="43"/>
      <c r="D886" s="138"/>
      <c r="E886" s="138"/>
      <c r="F886" s="139"/>
      <c r="G886" s="139"/>
      <c r="H886" s="139"/>
      <c r="I886" s="139"/>
      <c r="J886" s="139"/>
      <c r="K886" s="139"/>
      <c r="L886" s="139"/>
      <c r="M886" s="139"/>
      <c r="N886" s="139"/>
      <c r="O886" s="140"/>
      <c r="P886" s="139"/>
      <c r="Q886" s="139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</row>
    <row r="887" spans="1:35">
      <c r="A887" s="8"/>
      <c r="B887" s="8"/>
      <c r="C887" s="43"/>
      <c r="D887" s="138"/>
      <c r="E887" s="138"/>
      <c r="F887" s="139"/>
      <c r="G887" s="139"/>
      <c r="H887" s="139"/>
      <c r="I887" s="139"/>
      <c r="J887" s="139"/>
      <c r="K887" s="139"/>
      <c r="L887" s="139"/>
      <c r="M887" s="139"/>
      <c r="N887" s="139"/>
      <c r="O887" s="140"/>
      <c r="P887" s="139"/>
      <c r="Q887" s="139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</row>
    <row r="888" spans="1:35">
      <c r="A888" s="8"/>
      <c r="B888" s="8"/>
      <c r="C888" s="43"/>
      <c r="D888" s="138"/>
      <c r="E888" s="138"/>
      <c r="F888" s="139"/>
      <c r="G888" s="139"/>
      <c r="H888" s="139"/>
      <c r="I888" s="139"/>
      <c r="J888" s="139"/>
      <c r="K888" s="139"/>
      <c r="L888" s="139"/>
      <c r="M888" s="139"/>
      <c r="N888" s="139"/>
      <c r="O888" s="140"/>
      <c r="P888" s="139"/>
      <c r="Q888" s="139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</row>
    <row r="889" spans="1:35">
      <c r="A889" s="8"/>
      <c r="B889" s="8"/>
      <c r="C889" s="43"/>
      <c r="D889" s="138"/>
      <c r="E889" s="138"/>
      <c r="F889" s="139"/>
      <c r="G889" s="139"/>
      <c r="H889" s="139"/>
      <c r="I889" s="139"/>
      <c r="J889" s="139"/>
      <c r="K889" s="139"/>
      <c r="L889" s="139"/>
      <c r="M889" s="139"/>
      <c r="N889" s="139"/>
      <c r="O889" s="140"/>
      <c r="P889" s="139"/>
      <c r="Q889" s="139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</row>
    <row r="890" spans="1:35">
      <c r="A890" s="8"/>
      <c r="B890" s="8"/>
      <c r="C890" s="43"/>
      <c r="D890" s="138"/>
      <c r="E890" s="138"/>
      <c r="F890" s="139"/>
      <c r="G890" s="139"/>
      <c r="H890" s="139"/>
      <c r="I890" s="139"/>
      <c r="J890" s="139"/>
      <c r="K890" s="139"/>
      <c r="L890" s="139"/>
      <c r="M890" s="139"/>
      <c r="N890" s="139"/>
      <c r="O890" s="140"/>
      <c r="P890" s="139"/>
      <c r="Q890" s="139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</row>
    <row r="891" spans="1:35">
      <c r="A891" s="8"/>
      <c r="B891" s="8"/>
      <c r="C891" s="43"/>
      <c r="D891" s="138"/>
      <c r="E891" s="138"/>
      <c r="F891" s="139"/>
      <c r="G891" s="139"/>
      <c r="H891" s="139"/>
      <c r="I891" s="139"/>
      <c r="J891" s="139"/>
      <c r="K891" s="139"/>
      <c r="L891" s="139"/>
      <c r="M891" s="139"/>
      <c r="N891" s="139"/>
      <c r="O891" s="140"/>
      <c r="P891" s="139"/>
      <c r="Q891" s="139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</row>
    <row r="892" spans="1:35">
      <c r="A892" s="8"/>
      <c r="B892" s="8"/>
      <c r="C892" s="43"/>
      <c r="D892" s="138"/>
      <c r="E892" s="138"/>
      <c r="F892" s="139"/>
      <c r="G892" s="139"/>
      <c r="H892" s="139"/>
      <c r="I892" s="139"/>
      <c r="J892" s="139"/>
      <c r="K892" s="139"/>
      <c r="L892" s="139"/>
      <c r="M892" s="139"/>
      <c r="N892" s="139"/>
      <c r="O892" s="140"/>
      <c r="P892" s="139"/>
      <c r="Q892" s="139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</row>
    <row r="893" spans="1:35">
      <c r="A893" s="8"/>
      <c r="B893" s="8"/>
      <c r="C893" s="43"/>
      <c r="D893" s="138"/>
      <c r="E893" s="138"/>
      <c r="F893" s="139"/>
      <c r="G893" s="139"/>
      <c r="H893" s="139"/>
      <c r="I893" s="139"/>
      <c r="J893" s="139"/>
      <c r="K893" s="139"/>
      <c r="L893" s="139"/>
      <c r="M893" s="139"/>
      <c r="N893" s="139"/>
      <c r="O893" s="140"/>
      <c r="P893" s="139"/>
      <c r="Q893" s="139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</row>
    <row r="894" spans="1:35">
      <c r="A894" s="8"/>
      <c r="B894" s="8"/>
      <c r="C894" s="43"/>
      <c r="D894" s="138"/>
      <c r="E894" s="138"/>
      <c r="F894" s="139"/>
      <c r="G894" s="139"/>
      <c r="H894" s="139"/>
      <c r="I894" s="139"/>
      <c r="J894" s="139"/>
      <c r="K894" s="139"/>
      <c r="L894" s="139"/>
      <c r="M894" s="139"/>
      <c r="N894" s="139"/>
      <c r="O894" s="140"/>
      <c r="P894" s="139"/>
      <c r="Q894" s="139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</row>
    <row r="895" spans="1:35">
      <c r="A895" s="8"/>
      <c r="B895" s="8"/>
      <c r="C895" s="43"/>
      <c r="D895" s="138"/>
      <c r="E895" s="138"/>
      <c r="F895" s="139"/>
      <c r="G895" s="139"/>
      <c r="H895" s="139"/>
      <c r="I895" s="139"/>
      <c r="J895" s="139"/>
      <c r="K895" s="139"/>
      <c r="L895" s="139"/>
      <c r="M895" s="139"/>
      <c r="N895" s="139"/>
      <c r="O895" s="140"/>
      <c r="P895" s="139"/>
      <c r="Q895" s="139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</row>
    <row r="896" spans="1:35">
      <c r="A896" s="8"/>
      <c r="B896" s="8"/>
      <c r="C896" s="43"/>
      <c r="D896" s="138"/>
      <c r="E896" s="138"/>
      <c r="F896" s="139"/>
      <c r="G896" s="139"/>
      <c r="H896" s="139"/>
      <c r="I896" s="139"/>
      <c r="J896" s="139"/>
      <c r="K896" s="139"/>
      <c r="L896" s="139"/>
      <c r="M896" s="139"/>
      <c r="N896" s="139"/>
      <c r="O896" s="140"/>
      <c r="P896" s="139"/>
      <c r="Q896" s="139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</row>
    <row r="897" spans="1:35">
      <c r="A897" s="8"/>
      <c r="B897" s="8"/>
      <c r="C897" s="43"/>
      <c r="D897" s="138"/>
      <c r="E897" s="138"/>
      <c r="F897" s="139"/>
      <c r="G897" s="139"/>
      <c r="H897" s="139"/>
      <c r="I897" s="139"/>
      <c r="J897" s="139"/>
      <c r="K897" s="139"/>
      <c r="L897" s="139"/>
      <c r="M897" s="139"/>
      <c r="N897" s="139"/>
      <c r="O897" s="140"/>
      <c r="P897" s="139"/>
      <c r="Q897" s="139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</row>
    <row r="898" spans="1:35">
      <c r="A898" s="8"/>
      <c r="B898" s="8"/>
      <c r="C898" s="43"/>
      <c r="D898" s="138"/>
      <c r="E898" s="138"/>
      <c r="F898" s="139"/>
      <c r="G898" s="139"/>
      <c r="H898" s="139"/>
      <c r="I898" s="139"/>
      <c r="J898" s="139"/>
      <c r="K898" s="139"/>
      <c r="L898" s="139"/>
      <c r="M898" s="139"/>
      <c r="N898" s="139"/>
      <c r="O898" s="140"/>
      <c r="P898" s="139"/>
      <c r="Q898" s="139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</row>
    <row r="899" spans="1:35">
      <c r="A899" s="8"/>
      <c r="B899" s="8"/>
      <c r="C899" s="43"/>
      <c r="D899" s="138"/>
      <c r="E899" s="138"/>
      <c r="F899" s="139"/>
      <c r="G899" s="139"/>
      <c r="H899" s="139"/>
      <c r="I899" s="139"/>
      <c r="J899" s="139"/>
      <c r="K899" s="139"/>
      <c r="L899" s="139"/>
      <c r="M899" s="139"/>
      <c r="N899" s="139"/>
      <c r="O899" s="140"/>
      <c r="P899" s="139"/>
      <c r="Q899" s="139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</row>
    <row r="900" spans="1:35">
      <c r="A900" s="8"/>
      <c r="B900" s="8"/>
      <c r="C900" s="43"/>
      <c r="D900" s="138"/>
      <c r="E900" s="138"/>
      <c r="F900" s="139"/>
      <c r="G900" s="139"/>
      <c r="H900" s="139"/>
      <c r="I900" s="139"/>
      <c r="J900" s="139"/>
      <c r="K900" s="139"/>
      <c r="L900" s="139"/>
      <c r="M900" s="139"/>
      <c r="N900" s="139"/>
      <c r="O900" s="140"/>
      <c r="P900" s="139"/>
      <c r="Q900" s="139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</row>
    <row r="901" spans="1:35">
      <c r="A901" s="8"/>
      <c r="B901" s="8"/>
      <c r="C901" s="43"/>
      <c r="D901" s="138"/>
      <c r="E901" s="138"/>
      <c r="F901" s="139"/>
      <c r="G901" s="139"/>
      <c r="H901" s="139"/>
      <c r="I901" s="139"/>
      <c r="J901" s="139"/>
      <c r="K901" s="139"/>
      <c r="L901" s="139"/>
      <c r="M901" s="139"/>
      <c r="N901" s="139"/>
      <c r="O901" s="140"/>
      <c r="P901" s="139"/>
      <c r="Q901" s="139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</row>
    <row r="902" spans="1:35">
      <c r="A902" s="8"/>
      <c r="B902" s="8"/>
      <c r="C902" s="43"/>
      <c r="D902" s="138"/>
      <c r="E902" s="138"/>
      <c r="F902" s="139"/>
      <c r="G902" s="139"/>
      <c r="H902" s="139"/>
      <c r="I902" s="139"/>
      <c r="J902" s="139"/>
      <c r="K902" s="139"/>
      <c r="L902" s="139"/>
      <c r="M902" s="139"/>
      <c r="N902" s="139"/>
      <c r="O902" s="140"/>
      <c r="P902" s="139"/>
      <c r="Q902" s="139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</row>
    <row r="903" spans="1:35">
      <c r="A903" s="8"/>
      <c r="B903" s="8"/>
      <c r="C903" s="43"/>
      <c r="D903" s="138"/>
      <c r="E903" s="138"/>
      <c r="F903" s="139"/>
      <c r="G903" s="139"/>
      <c r="H903" s="139"/>
      <c r="I903" s="139"/>
      <c r="J903" s="139"/>
      <c r="K903" s="139"/>
      <c r="L903" s="139"/>
      <c r="M903" s="139"/>
      <c r="N903" s="139"/>
      <c r="O903" s="140"/>
      <c r="P903" s="139"/>
      <c r="Q903" s="139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</row>
    <row r="904" spans="1:35">
      <c r="A904" s="8"/>
      <c r="B904" s="8"/>
      <c r="C904" s="43"/>
      <c r="D904" s="138"/>
      <c r="E904" s="138"/>
      <c r="F904" s="139"/>
      <c r="G904" s="139"/>
      <c r="H904" s="139"/>
      <c r="I904" s="139"/>
      <c r="J904" s="139"/>
      <c r="K904" s="139"/>
      <c r="L904" s="139"/>
      <c r="M904" s="139"/>
      <c r="N904" s="139"/>
      <c r="O904" s="140"/>
      <c r="P904" s="139"/>
      <c r="Q904" s="139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</row>
    <row r="905" spans="1:35">
      <c r="A905" s="8"/>
      <c r="B905" s="8"/>
      <c r="C905" s="43"/>
      <c r="D905" s="138"/>
      <c r="E905" s="138"/>
      <c r="F905" s="139"/>
      <c r="G905" s="139"/>
      <c r="H905" s="139"/>
      <c r="I905" s="139"/>
      <c r="J905" s="139"/>
      <c r="K905" s="139"/>
      <c r="L905" s="139"/>
      <c r="M905" s="139"/>
      <c r="N905" s="139"/>
      <c r="O905" s="140"/>
      <c r="P905" s="139"/>
      <c r="Q905" s="139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</row>
    <row r="906" spans="1:35">
      <c r="A906" s="8"/>
      <c r="B906" s="8"/>
      <c r="C906" s="43"/>
      <c r="D906" s="138"/>
      <c r="E906" s="138"/>
      <c r="F906" s="139"/>
      <c r="G906" s="139"/>
      <c r="H906" s="139"/>
      <c r="I906" s="139"/>
      <c r="J906" s="139"/>
      <c r="K906" s="139"/>
      <c r="L906" s="139"/>
      <c r="M906" s="139"/>
      <c r="N906" s="139"/>
      <c r="O906" s="140"/>
      <c r="P906" s="139"/>
      <c r="Q906" s="139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</row>
    <row r="907" spans="1:35">
      <c r="A907" s="8"/>
      <c r="B907" s="8"/>
      <c r="C907" s="43"/>
      <c r="D907" s="138"/>
      <c r="E907" s="138"/>
      <c r="F907" s="139"/>
      <c r="G907" s="139"/>
      <c r="H907" s="139"/>
      <c r="I907" s="139"/>
      <c r="J907" s="139"/>
      <c r="K907" s="139"/>
      <c r="L907" s="139"/>
      <c r="M907" s="139"/>
      <c r="N907" s="139"/>
      <c r="O907" s="140"/>
      <c r="P907" s="139"/>
      <c r="Q907" s="139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</row>
    <row r="908" spans="1:35">
      <c r="A908" s="8"/>
      <c r="B908" s="8"/>
      <c r="C908" s="43"/>
      <c r="D908" s="138"/>
      <c r="E908" s="138"/>
      <c r="F908" s="139"/>
      <c r="G908" s="139"/>
      <c r="H908" s="139"/>
      <c r="I908" s="139"/>
      <c r="J908" s="139"/>
      <c r="K908" s="139"/>
      <c r="L908" s="139"/>
      <c r="M908" s="139"/>
      <c r="N908" s="139"/>
      <c r="O908" s="140"/>
      <c r="P908" s="139"/>
      <c r="Q908" s="139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</row>
    <row r="909" spans="1:35">
      <c r="A909" s="8"/>
      <c r="B909" s="8"/>
      <c r="C909" s="43"/>
      <c r="D909" s="138"/>
      <c r="E909" s="138"/>
      <c r="F909" s="139"/>
      <c r="G909" s="139"/>
      <c r="H909" s="139"/>
      <c r="I909" s="139"/>
      <c r="J909" s="139"/>
      <c r="K909" s="139"/>
      <c r="L909" s="139"/>
      <c r="M909" s="139"/>
      <c r="N909" s="139"/>
      <c r="O909" s="140"/>
      <c r="P909" s="139"/>
      <c r="Q909" s="139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</row>
    <row r="910" spans="1:35">
      <c r="A910" s="8"/>
      <c r="B910" s="8"/>
      <c r="C910" s="43"/>
      <c r="D910" s="138"/>
      <c r="E910" s="138"/>
      <c r="F910" s="139"/>
      <c r="G910" s="139"/>
      <c r="H910" s="139"/>
      <c r="I910" s="139"/>
      <c r="J910" s="139"/>
      <c r="K910" s="139"/>
      <c r="L910" s="139"/>
      <c r="M910" s="139"/>
      <c r="N910" s="139"/>
      <c r="O910" s="140"/>
      <c r="P910" s="139"/>
      <c r="Q910" s="139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</row>
    <row r="911" spans="1:35">
      <c r="A911" s="8"/>
      <c r="B911" s="8"/>
      <c r="C911" s="43"/>
      <c r="D911" s="138"/>
      <c r="E911" s="138"/>
      <c r="F911" s="139"/>
      <c r="G911" s="139"/>
      <c r="H911" s="139"/>
      <c r="I911" s="139"/>
      <c r="J911" s="139"/>
      <c r="K911" s="139"/>
      <c r="L911" s="139"/>
      <c r="M911" s="139"/>
      <c r="N911" s="139"/>
      <c r="O911" s="140"/>
      <c r="P911" s="139"/>
      <c r="Q911" s="139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</row>
    <row r="912" spans="1:35">
      <c r="A912" s="8"/>
      <c r="B912" s="8"/>
      <c r="C912" s="43"/>
      <c r="D912" s="138"/>
      <c r="E912" s="138"/>
      <c r="F912" s="139"/>
      <c r="G912" s="139"/>
      <c r="H912" s="139"/>
      <c r="I912" s="139"/>
      <c r="J912" s="139"/>
      <c r="K912" s="139"/>
      <c r="L912" s="139"/>
      <c r="M912" s="139"/>
      <c r="N912" s="139"/>
      <c r="O912" s="140"/>
      <c r="P912" s="139"/>
      <c r="Q912" s="139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</row>
    <row r="913" spans="1:35">
      <c r="A913" s="8"/>
      <c r="B913" s="8"/>
      <c r="C913" s="43"/>
      <c r="D913" s="138"/>
      <c r="E913" s="138"/>
      <c r="F913" s="139"/>
      <c r="G913" s="139"/>
      <c r="H913" s="139"/>
      <c r="I913" s="139"/>
      <c r="J913" s="139"/>
      <c r="K913" s="139"/>
      <c r="L913" s="139"/>
      <c r="M913" s="139"/>
      <c r="N913" s="139"/>
      <c r="O913" s="140"/>
      <c r="P913" s="139"/>
      <c r="Q913" s="139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</row>
    <row r="914" spans="1:35">
      <c r="A914" s="8"/>
      <c r="B914" s="8"/>
      <c r="C914" s="43"/>
      <c r="D914" s="138"/>
      <c r="E914" s="138"/>
      <c r="F914" s="139"/>
      <c r="G914" s="139"/>
      <c r="H914" s="139"/>
      <c r="I914" s="139"/>
      <c r="J914" s="139"/>
      <c r="K914" s="139"/>
      <c r="L914" s="139"/>
      <c r="M914" s="139"/>
      <c r="N914" s="139"/>
      <c r="O914" s="140"/>
      <c r="P914" s="139"/>
      <c r="Q914" s="139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</row>
    <row r="915" spans="1:35">
      <c r="A915" s="8"/>
      <c r="B915" s="8"/>
      <c r="C915" s="43"/>
      <c r="D915" s="138"/>
      <c r="E915" s="138"/>
      <c r="F915" s="139"/>
      <c r="G915" s="139"/>
      <c r="H915" s="139"/>
      <c r="I915" s="139"/>
      <c r="J915" s="139"/>
      <c r="K915" s="139"/>
      <c r="L915" s="139"/>
      <c r="M915" s="139"/>
      <c r="N915" s="139"/>
      <c r="O915" s="140"/>
      <c r="P915" s="139"/>
      <c r="Q915" s="139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</row>
    <row r="916" spans="1:35">
      <c r="A916" s="8"/>
      <c r="B916" s="8"/>
      <c r="C916" s="43"/>
      <c r="D916" s="138"/>
      <c r="E916" s="138"/>
      <c r="F916" s="139"/>
      <c r="G916" s="139"/>
      <c r="H916" s="139"/>
      <c r="I916" s="139"/>
      <c r="J916" s="139"/>
      <c r="K916" s="139"/>
      <c r="L916" s="139"/>
      <c r="M916" s="139"/>
      <c r="N916" s="139"/>
      <c r="O916" s="140"/>
      <c r="P916" s="139"/>
      <c r="Q916" s="139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</row>
    <row r="917" spans="1:35">
      <c r="A917" s="8"/>
      <c r="B917" s="8"/>
      <c r="C917" s="43"/>
      <c r="D917" s="138"/>
      <c r="E917" s="138"/>
      <c r="F917" s="139"/>
      <c r="G917" s="139"/>
      <c r="H917" s="139"/>
      <c r="I917" s="139"/>
      <c r="J917" s="139"/>
      <c r="K917" s="139"/>
      <c r="L917" s="139"/>
      <c r="M917" s="139"/>
      <c r="N917" s="139"/>
      <c r="O917" s="140"/>
      <c r="P917" s="139"/>
      <c r="Q917" s="139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</row>
    <row r="918" spans="1:35">
      <c r="A918" s="8"/>
      <c r="B918" s="8"/>
      <c r="C918" s="43"/>
      <c r="D918" s="138"/>
      <c r="E918" s="138"/>
      <c r="F918" s="139"/>
      <c r="G918" s="139"/>
      <c r="H918" s="139"/>
      <c r="I918" s="139"/>
      <c r="J918" s="139"/>
      <c r="K918" s="139"/>
      <c r="L918" s="139"/>
      <c r="M918" s="139"/>
      <c r="N918" s="139"/>
      <c r="O918" s="140"/>
      <c r="P918" s="139"/>
      <c r="Q918" s="139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</row>
    <row r="919" spans="1:35">
      <c r="A919" s="8"/>
      <c r="B919" s="8"/>
      <c r="C919" s="43"/>
      <c r="D919" s="138"/>
      <c r="E919" s="138"/>
      <c r="F919" s="139"/>
      <c r="G919" s="139"/>
      <c r="H919" s="139"/>
      <c r="I919" s="139"/>
      <c r="J919" s="139"/>
      <c r="K919" s="139"/>
      <c r="L919" s="139"/>
      <c r="M919" s="139"/>
      <c r="N919" s="139"/>
      <c r="O919" s="140"/>
      <c r="P919" s="139"/>
      <c r="Q919" s="139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</row>
    <row r="920" spans="1:35">
      <c r="A920" s="8"/>
      <c r="B920" s="8"/>
      <c r="C920" s="43"/>
      <c r="D920" s="138"/>
      <c r="E920" s="138"/>
      <c r="F920" s="139"/>
      <c r="G920" s="139"/>
      <c r="H920" s="139"/>
      <c r="I920" s="139"/>
      <c r="J920" s="139"/>
      <c r="K920" s="139"/>
      <c r="L920" s="139"/>
      <c r="M920" s="139"/>
      <c r="N920" s="139"/>
      <c r="O920" s="140"/>
      <c r="P920" s="139"/>
      <c r="Q920" s="139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</row>
    <row r="921" spans="1:35">
      <c r="A921" s="8"/>
      <c r="B921" s="8"/>
      <c r="C921" s="43"/>
      <c r="D921" s="138"/>
      <c r="E921" s="138"/>
      <c r="F921" s="139"/>
      <c r="G921" s="139"/>
      <c r="H921" s="139"/>
      <c r="I921" s="139"/>
      <c r="J921" s="139"/>
      <c r="K921" s="139"/>
      <c r="L921" s="139"/>
      <c r="M921" s="139"/>
      <c r="N921" s="139"/>
      <c r="O921" s="140"/>
      <c r="P921" s="139"/>
      <c r="Q921" s="139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</row>
    <row r="922" spans="1:35">
      <c r="A922" s="8"/>
      <c r="B922" s="8"/>
      <c r="C922" s="43"/>
      <c r="D922" s="138"/>
      <c r="E922" s="138"/>
      <c r="F922" s="139"/>
      <c r="G922" s="139"/>
      <c r="H922" s="139"/>
      <c r="I922" s="139"/>
      <c r="J922" s="139"/>
      <c r="K922" s="139"/>
      <c r="L922" s="139"/>
      <c r="M922" s="139"/>
      <c r="N922" s="139"/>
      <c r="O922" s="140"/>
      <c r="P922" s="139"/>
      <c r="Q922" s="139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</row>
    <row r="923" spans="1:35">
      <c r="A923" s="8"/>
      <c r="B923" s="8"/>
      <c r="C923" s="43"/>
      <c r="D923" s="138"/>
      <c r="E923" s="138"/>
      <c r="F923" s="139"/>
      <c r="G923" s="139"/>
      <c r="H923" s="139"/>
      <c r="I923" s="139"/>
      <c r="J923" s="139"/>
      <c r="K923" s="139"/>
      <c r="L923" s="139"/>
      <c r="M923" s="139"/>
      <c r="N923" s="139"/>
      <c r="O923" s="140"/>
      <c r="P923" s="139"/>
      <c r="Q923" s="139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</row>
    <row r="924" spans="1:35">
      <c r="A924" s="8"/>
      <c r="B924" s="8"/>
      <c r="C924" s="43"/>
      <c r="D924" s="138"/>
      <c r="E924" s="138"/>
      <c r="F924" s="139"/>
      <c r="G924" s="139"/>
      <c r="H924" s="139"/>
      <c r="I924" s="139"/>
      <c r="J924" s="139"/>
      <c r="K924" s="139"/>
      <c r="L924" s="139"/>
      <c r="M924" s="139"/>
      <c r="N924" s="139"/>
      <c r="O924" s="140"/>
      <c r="P924" s="139"/>
      <c r="Q924" s="139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</row>
    <row r="925" spans="1:35">
      <c r="A925" s="8"/>
      <c r="B925" s="8"/>
      <c r="C925" s="43"/>
      <c r="D925" s="138"/>
      <c r="E925" s="138"/>
      <c r="F925" s="139"/>
      <c r="G925" s="139"/>
      <c r="H925" s="139"/>
      <c r="I925" s="139"/>
      <c r="J925" s="139"/>
      <c r="K925" s="139"/>
      <c r="L925" s="139"/>
      <c r="M925" s="139"/>
      <c r="N925" s="139"/>
      <c r="O925" s="140"/>
      <c r="P925" s="139"/>
      <c r="Q925" s="139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</row>
    <row r="926" spans="1:35">
      <c r="A926" s="8"/>
      <c r="B926" s="8"/>
      <c r="C926" s="43"/>
      <c r="D926" s="138"/>
      <c r="E926" s="138"/>
      <c r="F926" s="139"/>
      <c r="G926" s="139"/>
      <c r="H926" s="139"/>
      <c r="I926" s="139"/>
      <c r="J926" s="139"/>
      <c r="K926" s="139"/>
      <c r="L926" s="139"/>
      <c r="M926" s="139"/>
      <c r="N926" s="139"/>
      <c r="O926" s="140"/>
      <c r="P926" s="139"/>
      <c r="Q926" s="139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</row>
    <row r="927" spans="1:35">
      <c r="A927" s="8"/>
      <c r="B927" s="8"/>
      <c r="C927" s="43"/>
      <c r="D927" s="138"/>
      <c r="E927" s="138"/>
      <c r="F927" s="139"/>
      <c r="G927" s="139"/>
      <c r="H927" s="139"/>
      <c r="I927" s="139"/>
      <c r="J927" s="139"/>
      <c r="K927" s="139"/>
      <c r="L927" s="139"/>
      <c r="M927" s="139"/>
      <c r="N927" s="139"/>
      <c r="O927" s="140"/>
      <c r="P927" s="139"/>
      <c r="Q927" s="139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</row>
    <row r="928" spans="1:35">
      <c r="A928" s="8"/>
      <c r="B928" s="8"/>
      <c r="C928" s="43"/>
      <c r="D928" s="138"/>
      <c r="E928" s="138"/>
      <c r="F928" s="139"/>
      <c r="G928" s="139"/>
      <c r="H928" s="139"/>
      <c r="I928" s="139"/>
      <c r="J928" s="139"/>
      <c r="K928" s="139"/>
      <c r="L928" s="139"/>
      <c r="M928" s="139"/>
      <c r="N928" s="139"/>
      <c r="O928" s="140"/>
      <c r="P928" s="139"/>
      <c r="Q928" s="139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</row>
    <row r="929" spans="1:35">
      <c r="A929" s="8"/>
      <c r="B929" s="8"/>
      <c r="C929" s="43"/>
      <c r="D929" s="138"/>
      <c r="E929" s="138"/>
      <c r="F929" s="139"/>
      <c r="G929" s="139"/>
      <c r="H929" s="139"/>
      <c r="I929" s="139"/>
      <c r="J929" s="139"/>
      <c r="K929" s="139"/>
      <c r="L929" s="139"/>
      <c r="M929" s="139"/>
      <c r="N929" s="139"/>
      <c r="O929" s="140"/>
      <c r="P929" s="139"/>
      <c r="Q929" s="139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</row>
    <row r="930" spans="1:35">
      <c r="A930" s="8"/>
      <c r="B930" s="8"/>
      <c r="C930" s="43"/>
      <c r="D930" s="138"/>
      <c r="E930" s="138"/>
      <c r="F930" s="139"/>
      <c r="G930" s="139"/>
      <c r="H930" s="139"/>
      <c r="I930" s="139"/>
      <c r="J930" s="139"/>
      <c r="K930" s="139"/>
      <c r="L930" s="139"/>
      <c r="M930" s="139"/>
      <c r="N930" s="139"/>
      <c r="O930" s="140"/>
      <c r="P930" s="139"/>
      <c r="Q930" s="139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</row>
    <row r="931" spans="1:35">
      <c r="A931" s="8"/>
      <c r="B931" s="8"/>
      <c r="C931" s="43"/>
      <c r="D931" s="138"/>
      <c r="E931" s="138"/>
      <c r="F931" s="139"/>
      <c r="G931" s="139"/>
      <c r="H931" s="139"/>
      <c r="I931" s="139"/>
      <c r="J931" s="139"/>
      <c r="K931" s="139"/>
      <c r="L931" s="139"/>
      <c r="M931" s="139"/>
      <c r="N931" s="139"/>
      <c r="O931" s="140"/>
      <c r="P931" s="139"/>
      <c r="Q931" s="139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</row>
    <row r="932" spans="1:35">
      <c r="A932" s="8"/>
      <c r="B932" s="8"/>
      <c r="C932" s="43"/>
      <c r="D932" s="138"/>
      <c r="E932" s="138"/>
      <c r="F932" s="139"/>
      <c r="G932" s="139"/>
      <c r="H932" s="139"/>
      <c r="I932" s="139"/>
      <c r="J932" s="139"/>
      <c r="K932" s="139"/>
      <c r="L932" s="139"/>
      <c r="M932" s="139"/>
      <c r="N932" s="139"/>
      <c r="O932" s="140"/>
      <c r="P932" s="139"/>
      <c r="Q932" s="139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</row>
    <row r="933" spans="1:35">
      <c r="A933" s="8"/>
      <c r="B933" s="8"/>
      <c r="C933" s="43"/>
      <c r="D933" s="138"/>
      <c r="E933" s="138"/>
      <c r="F933" s="139"/>
      <c r="G933" s="139"/>
      <c r="H933" s="139"/>
      <c r="I933" s="139"/>
      <c r="J933" s="139"/>
      <c r="K933" s="139"/>
      <c r="L933" s="139"/>
      <c r="M933" s="139"/>
      <c r="N933" s="139"/>
      <c r="O933" s="140"/>
      <c r="P933" s="139"/>
      <c r="Q933" s="139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</row>
    <row r="934" spans="1:35">
      <c r="A934" s="8"/>
      <c r="B934" s="8"/>
      <c r="C934" s="43"/>
      <c r="D934" s="138"/>
      <c r="E934" s="138"/>
      <c r="F934" s="139"/>
      <c r="G934" s="139"/>
      <c r="H934" s="139"/>
      <c r="I934" s="139"/>
      <c r="J934" s="139"/>
      <c r="K934" s="139"/>
      <c r="L934" s="139"/>
      <c r="M934" s="139"/>
      <c r="N934" s="139"/>
      <c r="O934" s="140"/>
      <c r="P934" s="139"/>
      <c r="Q934" s="139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</row>
    <row r="935" spans="1:35">
      <c r="A935" s="8"/>
      <c r="B935" s="8"/>
      <c r="C935" s="43"/>
      <c r="D935" s="138"/>
      <c r="E935" s="138"/>
      <c r="F935" s="139"/>
      <c r="G935" s="139"/>
      <c r="H935" s="139"/>
      <c r="I935" s="139"/>
      <c r="J935" s="139"/>
      <c r="K935" s="139"/>
      <c r="L935" s="139"/>
      <c r="M935" s="139"/>
      <c r="N935" s="139"/>
      <c r="O935" s="140"/>
      <c r="P935" s="139"/>
      <c r="Q935" s="139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</row>
    <row r="936" spans="1:35">
      <c r="A936" s="8"/>
      <c r="B936" s="8"/>
      <c r="C936" s="43"/>
      <c r="D936" s="138"/>
      <c r="E936" s="138"/>
      <c r="F936" s="139"/>
      <c r="G936" s="139"/>
      <c r="H936" s="139"/>
      <c r="I936" s="139"/>
      <c r="J936" s="139"/>
      <c r="K936" s="139"/>
      <c r="L936" s="139"/>
      <c r="M936" s="139"/>
      <c r="N936" s="139"/>
      <c r="O936" s="140"/>
      <c r="P936" s="139"/>
      <c r="Q936" s="139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</row>
    <row r="937" spans="1:35">
      <c r="A937" s="8"/>
      <c r="B937" s="8"/>
      <c r="C937" s="43"/>
      <c r="D937" s="138"/>
      <c r="E937" s="138"/>
      <c r="F937" s="139"/>
      <c r="G937" s="139"/>
      <c r="H937" s="139"/>
      <c r="I937" s="139"/>
      <c r="J937" s="139"/>
      <c r="K937" s="139"/>
      <c r="L937" s="139"/>
      <c r="M937" s="139"/>
      <c r="N937" s="139"/>
      <c r="O937" s="140"/>
      <c r="P937" s="139"/>
      <c r="Q937" s="139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</row>
    <row r="938" spans="1:35">
      <c r="A938" s="8"/>
      <c r="B938" s="8"/>
      <c r="C938" s="43"/>
      <c r="D938" s="138"/>
      <c r="E938" s="138"/>
      <c r="F938" s="139"/>
      <c r="G938" s="139"/>
      <c r="H938" s="139"/>
      <c r="I938" s="139"/>
      <c r="J938" s="139"/>
      <c r="K938" s="139"/>
      <c r="L938" s="139"/>
      <c r="M938" s="139"/>
      <c r="N938" s="139"/>
      <c r="O938" s="140"/>
      <c r="P938" s="139"/>
      <c r="Q938" s="139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</row>
    <row r="939" spans="1:35">
      <c r="A939" s="8"/>
      <c r="B939" s="8"/>
      <c r="C939" s="43"/>
      <c r="D939" s="138"/>
      <c r="E939" s="138"/>
      <c r="F939" s="139"/>
      <c r="G939" s="139"/>
      <c r="H939" s="139"/>
      <c r="I939" s="139"/>
      <c r="J939" s="139"/>
      <c r="K939" s="139"/>
      <c r="L939" s="139"/>
      <c r="M939" s="139"/>
      <c r="N939" s="139"/>
      <c r="O939" s="140"/>
      <c r="P939" s="139"/>
      <c r="Q939" s="139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</row>
    <row r="940" spans="1:35">
      <c r="A940" s="8"/>
      <c r="B940" s="8"/>
      <c r="C940" s="43"/>
      <c r="D940" s="138"/>
      <c r="E940" s="138"/>
      <c r="F940" s="139"/>
      <c r="G940" s="139"/>
      <c r="H940" s="139"/>
      <c r="I940" s="139"/>
      <c r="J940" s="139"/>
      <c r="K940" s="139"/>
      <c r="L940" s="139"/>
      <c r="M940" s="139"/>
      <c r="N940" s="139"/>
      <c r="O940" s="140"/>
      <c r="P940" s="139"/>
      <c r="Q940" s="139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</row>
    <row r="941" spans="1:35">
      <c r="A941" s="8"/>
      <c r="B941" s="8"/>
      <c r="C941" s="43"/>
      <c r="D941" s="138"/>
      <c r="E941" s="138"/>
      <c r="F941" s="139"/>
      <c r="G941" s="139"/>
      <c r="H941" s="139"/>
      <c r="I941" s="139"/>
      <c r="J941" s="139"/>
      <c r="K941" s="139"/>
      <c r="L941" s="139"/>
      <c r="M941" s="139"/>
      <c r="N941" s="139"/>
      <c r="O941" s="140"/>
      <c r="P941" s="139"/>
      <c r="Q941" s="139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</row>
    <row r="942" spans="1:35">
      <c r="A942" s="8"/>
      <c r="B942" s="8"/>
      <c r="C942" s="43"/>
      <c r="D942" s="138"/>
      <c r="E942" s="138"/>
      <c r="F942" s="139"/>
      <c r="G942" s="139"/>
      <c r="H942" s="139"/>
      <c r="I942" s="139"/>
      <c r="J942" s="139"/>
      <c r="K942" s="139"/>
      <c r="L942" s="139"/>
      <c r="M942" s="139"/>
      <c r="N942" s="139"/>
      <c r="O942" s="140"/>
      <c r="P942" s="139"/>
      <c r="Q942" s="139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</row>
    <row r="943" spans="1:35">
      <c r="A943" s="8"/>
      <c r="B943" s="8"/>
      <c r="C943" s="43"/>
      <c r="D943" s="138"/>
      <c r="E943" s="138"/>
      <c r="F943" s="139"/>
      <c r="G943" s="139"/>
      <c r="H943" s="139"/>
      <c r="I943" s="139"/>
      <c r="J943" s="139"/>
      <c r="K943" s="139"/>
      <c r="L943" s="139"/>
      <c r="M943" s="139"/>
      <c r="N943" s="139"/>
      <c r="O943" s="140"/>
      <c r="P943" s="139"/>
      <c r="Q943" s="139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</row>
    <row r="944" spans="1:35">
      <c r="A944" s="8"/>
      <c r="B944" s="8"/>
      <c r="C944" s="43"/>
      <c r="D944" s="138"/>
      <c r="E944" s="138"/>
      <c r="F944" s="139"/>
      <c r="G944" s="139"/>
      <c r="H944" s="139"/>
      <c r="I944" s="139"/>
      <c r="J944" s="139"/>
      <c r="K944" s="139"/>
      <c r="L944" s="139"/>
      <c r="M944" s="139"/>
      <c r="N944" s="139"/>
      <c r="O944" s="140"/>
      <c r="P944" s="139"/>
      <c r="Q944" s="139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</row>
    <row r="945" spans="1:35">
      <c r="A945" s="8"/>
      <c r="B945" s="8"/>
      <c r="C945" s="43"/>
      <c r="D945" s="138"/>
      <c r="E945" s="138"/>
      <c r="F945" s="139"/>
      <c r="G945" s="139"/>
      <c r="H945" s="139"/>
      <c r="I945" s="139"/>
      <c r="J945" s="139"/>
      <c r="K945" s="139"/>
      <c r="L945" s="139"/>
      <c r="M945" s="139"/>
      <c r="N945" s="139"/>
      <c r="O945" s="140"/>
      <c r="P945" s="139"/>
      <c r="Q945" s="139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</row>
    <row r="946" spans="1:35">
      <c r="A946" s="8"/>
      <c r="B946" s="8"/>
      <c r="C946" s="43"/>
      <c r="D946" s="138"/>
      <c r="E946" s="138"/>
      <c r="F946" s="139"/>
      <c r="G946" s="139"/>
      <c r="H946" s="139"/>
      <c r="I946" s="139"/>
      <c r="J946" s="139"/>
      <c r="K946" s="139"/>
      <c r="L946" s="139"/>
      <c r="M946" s="139"/>
      <c r="N946" s="139"/>
      <c r="O946" s="140"/>
      <c r="P946" s="139"/>
      <c r="Q946" s="139"/>
      <c r="R946" s="8"/>
    </row>
    <row r="947" spans="1:35">
      <c r="A947" s="8"/>
      <c r="B947" s="8"/>
      <c r="C947" s="43"/>
      <c r="D947" s="138"/>
      <c r="E947" s="138"/>
      <c r="F947" s="139"/>
      <c r="G947" s="139"/>
      <c r="H947" s="139"/>
      <c r="I947" s="139"/>
      <c r="J947" s="139"/>
      <c r="K947" s="139"/>
      <c r="L947" s="139"/>
      <c r="M947" s="139"/>
      <c r="N947" s="139"/>
      <c r="O947" s="140"/>
      <c r="P947" s="139"/>
      <c r="Q947" s="139"/>
      <c r="R947" s="8"/>
    </row>
    <row r="948" spans="1:35">
      <c r="A948" s="8"/>
      <c r="B948" s="8"/>
      <c r="C948" s="43"/>
      <c r="D948" s="138"/>
      <c r="E948" s="138"/>
      <c r="F948" s="139"/>
      <c r="G948" s="139"/>
      <c r="H948" s="139"/>
      <c r="I948" s="139"/>
      <c r="J948" s="139"/>
      <c r="K948" s="139"/>
      <c r="L948" s="139"/>
      <c r="M948" s="139"/>
      <c r="N948" s="139"/>
      <c r="O948" s="140"/>
      <c r="P948" s="139"/>
      <c r="Q948" s="139"/>
      <c r="R948" s="8"/>
    </row>
    <row r="949" spans="1:35">
      <c r="A949" s="8"/>
      <c r="B949" s="8"/>
      <c r="C949" s="43"/>
      <c r="D949" s="138"/>
      <c r="E949" s="138"/>
      <c r="F949" s="139"/>
      <c r="G949" s="139"/>
      <c r="H949" s="139"/>
      <c r="I949" s="139"/>
      <c r="J949" s="139"/>
      <c r="K949" s="139"/>
      <c r="L949" s="139"/>
      <c r="M949" s="139"/>
      <c r="N949" s="139"/>
      <c r="O949" s="140"/>
      <c r="P949" s="139"/>
      <c r="Q949" s="139"/>
      <c r="R949" s="8"/>
    </row>
    <row r="950" spans="1:35">
      <c r="A950" s="8"/>
      <c r="B950" s="8"/>
      <c r="C950" s="43"/>
      <c r="D950" s="138"/>
      <c r="E950" s="138"/>
      <c r="F950" s="139"/>
      <c r="G950" s="139"/>
      <c r="H950" s="139"/>
      <c r="I950" s="139"/>
      <c r="J950" s="139"/>
      <c r="K950" s="139"/>
      <c r="L950" s="139"/>
      <c r="M950" s="139"/>
      <c r="N950" s="139"/>
      <c r="O950" s="140"/>
      <c r="P950" s="139"/>
      <c r="Q950" s="139"/>
      <c r="R950" s="8"/>
    </row>
    <row r="951" spans="1:35">
      <c r="A951" s="8"/>
      <c r="B951" s="8"/>
      <c r="C951" s="43"/>
      <c r="D951" s="138"/>
      <c r="E951" s="138"/>
      <c r="F951" s="139"/>
      <c r="G951" s="139"/>
      <c r="H951" s="139"/>
      <c r="I951" s="139"/>
      <c r="J951" s="139"/>
      <c r="K951" s="139"/>
      <c r="L951" s="139"/>
      <c r="M951" s="139"/>
      <c r="N951" s="139"/>
      <c r="O951" s="140"/>
      <c r="P951" s="139"/>
      <c r="Q951" s="139"/>
      <c r="R951" s="8"/>
    </row>
    <row r="952" spans="1:35">
      <c r="A952" s="8"/>
      <c r="B952" s="8"/>
      <c r="C952" s="43"/>
      <c r="D952" s="138"/>
      <c r="E952" s="138"/>
      <c r="F952" s="139"/>
      <c r="G952" s="139"/>
      <c r="H952" s="139"/>
      <c r="I952" s="139"/>
      <c r="J952" s="139"/>
      <c r="K952" s="139"/>
      <c r="L952" s="139"/>
      <c r="M952" s="139"/>
      <c r="N952" s="139"/>
      <c r="O952" s="140"/>
      <c r="P952" s="139"/>
      <c r="Q952" s="139"/>
      <c r="R952" s="8"/>
    </row>
    <row r="953" spans="1:35">
      <c r="A953" s="8"/>
      <c r="B953" s="8"/>
      <c r="C953" s="43"/>
      <c r="D953" s="138"/>
      <c r="E953" s="138"/>
      <c r="F953" s="139"/>
      <c r="G953" s="139"/>
      <c r="H953" s="139"/>
      <c r="I953" s="139"/>
      <c r="J953" s="139"/>
      <c r="K953" s="139"/>
      <c r="L953" s="139"/>
      <c r="M953" s="139"/>
      <c r="N953" s="139"/>
      <c r="O953" s="140"/>
      <c r="P953" s="139"/>
      <c r="Q953" s="139"/>
      <c r="R953" s="8"/>
    </row>
    <row r="954" spans="1:35">
      <c r="A954" s="8"/>
      <c r="B954" s="8"/>
      <c r="C954" s="43"/>
      <c r="D954" s="138"/>
      <c r="E954" s="138"/>
      <c r="F954" s="139"/>
      <c r="G954" s="139"/>
      <c r="H954" s="139"/>
      <c r="I954" s="139"/>
      <c r="J954" s="139"/>
      <c r="K954" s="139"/>
      <c r="L954" s="139"/>
      <c r="M954" s="139"/>
      <c r="N954" s="139"/>
      <c r="O954" s="140"/>
      <c r="P954" s="139"/>
      <c r="Q954" s="139"/>
      <c r="R954" s="8"/>
    </row>
    <row r="955" spans="1:35">
      <c r="A955" s="8"/>
      <c r="B955" s="8"/>
      <c r="C955" s="43"/>
      <c r="D955" s="138"/>
      <c r="E955" s="138"/>
      <c r="F955" s="139"/>
      <c r="G955" s="139"/>
      <c r="H955" s="139"/>
      <c r="I955" s="139"/>
      <c r="J955" s="139"/>
      <c r="K955" s="139"/>
      <c r="L955" s="139"/>
      <c r="M955" s="139"/>
      <c r="N955" s="139"/>
      <c r="O955" s="140"/>
      <c r="P955" s="139"/>
      <c r="Q955" s="139"/>
      <c r="R955" s="8"/>
    </row>
    <row r="956" spans="1:35">
      <c r="A956" s="8"/>
      <c r="B956" s="8"/>
      <c r="C956" s="43"/>
      <c r="D956" s="138"/>
      <c r="E956" s="138"/>
      <c r="F956" s="139"/>
      <c r="G956" s="139"/>
      <c r="H956" s="139"/>
      <c r="I956" s="139"/>
      <c r="J956" s="139"/>
      <c r="K956" s="139"/>
      <c r="L956" s="139"/>
      <c r="M956" s="139"/>
      <c r="N956" s="139"/>
      <c r="O956" s="140"/>
      <c r="P956" s="139"/>
      <c r="Q956" s="139"/>
      <c r="R956" s="8"/>
    </row>
    <row r="957" spans="1:35">
      <c r="A957" s="8"/>
      <c r="B957" s="8"/>
      <c r="C957" s="43"/>
      <c r="D957" s="138"/>
      <c r="E957" s="138"/>
      <c r="F957" s="139"/>
      <c r="G957" s="139"/>
      <c r="H957" s="139"/>
      <c r="I957" s="139"/>
      <c r="J957" s="139"/>
      <c r="K957" s="139"/>
      <c r="L957" s="139"/>
      <c r="M957" s="139"/>
      <c r="N957" s="139"/>
      <c r="O957" s="140"/>
      <c r="P957" s="139"/>
      <c r="Q957" s="139"/>
      <c r="R957" s="8"/>
    </row>
    <row r="958" spans="1:35">
      <c r="A958" s="8"/>
      <c r="B958" s="8"/>
      <c r="C958" s="43"/>
      <c r="D958" s="138"/>
      <c r="E958" s="138"/>
      <c r="F958" s="139"/>
      <c r="G958" s="139"/>
      <c r="H958" s="139"/>
      <c r="I958" s="139"/>
      <c r="J958" s="139"/>
      <c r="K958" s="139"/>
      <c r="L958" s="139"/>
      <c r="M958" s="139"/>
      <c r="N958" s="139"/>
      <c r="O958" s="140"/>
      <c r="P958" s="139"/>
      <c r="Q958" s="139"/>
      <c r="R958" s="8"/>
    </row>
    <row r="959" spans="1:35">
      <c r="A959" s="8"/>
      <c r="B959" s="8"/>
      <c r="C959" s="43"/>
      <c r="D959" s="138"/>
      <c r="E959" s="138"/>
      <c r="F959" s="139"/>
      <c r="G959" s="139"/>
      <c r="H959" s="139"/>
      <c r="I959" s="139"/>
      <c r="J959" s="139"/>
      <c r="K959" s="139"/>
      <c r="L959" s="139"/>
      <c r="M959" s="139"/>
      <c r="N959" s="139"/>
      <c r="O959" s="140"/>
      <c r="P959" s="139"/>
      <c r="Q959" s="139"/>
      <c r="R959" s="8"/>
    </row>
    <row r="960" spans="1:35">
      <c r="A960" s="8"/>
      <c r="B960" s="8"/>
      <c r="C960" s="43"/>
      <c r="D960" s="138"/>
      <c r="E960" s="138"/>
      <c r="F960" s="139"/>
      <c r="G960" s="139"/>
      <c r="H960" s="139"/>
      <c r="I960" s="139"/>
      <c r="J960" s="139"/>
      <c r="K960" s="139"/>
      <c r="L960" s="139"/>
      <c r="M960" s="139"/>
      <c r="N960" s="139"/>
      <c r="O960" s="140"/>
      <c r="P960" s="139"/>
      <c r="Q960" s="139"/>
      <c r="R960" s="8"/>
    </row>
    <row r="961" spans="1:18">
      <c r="A961" s="8"/>
      <c r="B961" s="8"/>
      <c r="C961" s="43"/>
      <c r="D961" s="138"/>
      <c r="E961" s="138"/>
      <c r="F961" s="139"/>
      <c r="G961" s="139"/>
      <c r="H961" s="139"/>
      <c r="I961" s="139"/>
      <c r="J961" s="139"/>
      <c r="K961" s="139"/>
      <c r="L961" s="139"/>
      <c r="M961" s="139"/>
      <c r="N961" s="139"/>
      <c r="O961" s="140"/>
      <c r="P961" s="139"/>
      <c r="Q961" s="139"/>
      <c r="R961" s="8"/>
    </row>
    <row r="962" spans="1:18">
      <c r="A962" s="8"/>
      <c r="B962" s="8"/>
      <c r="C962" s="43"/>
      <c r="D962" s="138"/>
      <c r="E962" s="138"/>
      <c r="F962" s="139"/>
      <c r="G962" s="139"/>
      <c r="H962" s="139"/>
      <c r="I962" s="139"/>
      <c r="J962" s="139"/>
      <c r="K962" s="139"/>
      <c r="L962" s="139"/>
      <c r="M962" s="139"/>
      <c r="N962" s="139"/>
      <c r="O962" s="140"/>
      <c r="P962" s="139"/>
      <c r="Q962" s="139"/>
      <c r="R962" s="8"/>
    </row>
    <row r="963" spans="1:18">
      <c r="A963" s="8"/>
      <c r="B963" s="8"/>
      <c r="C963" s="43"/>
      <c r="D963" s="138"/>
      <c r="E963" s="138"/>
      <c r="F963" s="139"/>
      <c r="G963" s="139"/>
      <c r="H963" s="139"/>
      <c r="I963" s="139"/>
      <c r="J963" s="139"/>
      <c r="K963" s="139"/>
      <c r="L963" s="139"/>
      <c r="M963" s="139"/>
      <c r="N963" s="139"/>
      <c r="O963" s="140"/>
      <c r="P963" s="139"/>
      <c r="Q963" s="139"/>
      <c r="R963" s="8"/>
    </row>
    <row r="964" spans="1:18">
      <c r="A964" s="8"/>
      <c r="B964" s="8"/>
      <c r="C964" s="43"/>
      <c r="D964" s="138"/>
      <c r="E964" s="138"/>
      <c r="F964" s="139"/>
      <c r="G964" s="139"/>
      <c r="H964" s="139"/>
      <c r="I964" s="139"/>
      <c r="J964" s="139"/>
      <c r="K964" s="139"/>
      <c r="L964" s="139"/>
      <c r="M964" s="139"/>
      <c r="N964" s="139"/>
      <c r="O964" s="140"/>
      <c r="P964" s="139"/>
      <c r="Q964" s="139"/>
      <c r="R964" s="8"/>
    </row>
    <row r="965" spans="1:18">
      <c r="A965" s="8"/>
      <c r="B965" s="8"/>
      <c r="C965" s="43"/>
      <c r="D965" s="138"/>
      <c r="E965" s="138"/>
      <c r="F965" s="139"/>
      <c r="G965" s="139"/>
      <c r="H965" s="139"/>
      <c r="I965" s="139"/>
      <c r="J965" s="139"/>
      <c r="K965" s="139"/>
      <c r="L965" s="139"/>
      <c r="M965" s="139"/>
      <c r="N965" s="139"/>
      <c r="O965" s="140"/>
      <c r="P965" s="139"/>
      <c r="Q965" s="139"/>
      <c r="R965" s="8"/>
    </row>
    <row r="966" spans="1:18">
      <c r="A966" s="8"/>
      <c r="B966" s="8"/>
      <c r="C966" s="43"/>
      <c r="D966" s="138"/>
      <c r="E966" s="138"/>
      <c r="F966" s="139"/>
      <c r="G966" s="139"/>
      <c r="H966" s="139"/>
      <c r="I966" s="139"/>
      <c r="J966" s="139"/>
      <c r="K966" s="139"/>
      <c r="L966" s="139"/>
      <c r="M966" s="139"/>
      <c r="N966" s="139"/>
      <c r="O966" s="140"/>
      <c r="P966" s="139"/>
      <c r="Q966" s="139"/>
      <c r="R966" s="8"/>
    </row>
    <row r="967" spans="1:18">
      <c r="A967" s="8"/>
      <c r="B967" s="8"/>
      <c r="C967" s="43"/>
      <c r="D967" s="138"/>
      <c r="E967" s="138"/>
      <c r="F967" s="139"/>
      <c r="G967" s="139"/>
      <c r="H967" s="139"/>
      <c r="I967" s="139"/>
      <c r="J967" s="139"/>
      <c r="K967" s="139"/>
      <c r="L967" s="139"/>
      <c r="M967" s="139"/>
      <c r="N967" s="139"/>
      <c r="O967" s="140"/>
      <c r="P967" s="139"/>
      <c r="Q967" s="139"/>
      <c r="R967" s="8"/>
    </row>
    <row r="968" spans="1:18">
      <c r="A968" s="8"/>
      <c r="B968" s="8"/>
      <c r="C968" s="43"/>
      <c r="D968" s="138"/>
      <c r="E968" s="138"/>
      <c r="F968" s="139"/>
      <c r="G968" s="139"/>
      <c r="H968" s="139"/>
      <c r="I968" s="139"/>
      <c r="J968" s="139"/>
      <c r="K968" s="139"/>
      <c r="L968" s="139"/>
      <c r="M968" s="139"/>
      <c r="N968" s="139"/>
      <c r="O968" s="140"/>
      <c r="P968" s="139"/>
      <c r="Q968" s="139"/>
      <c r="R968" s="8"/>
    </row>
    <row r="969" spans="1:18">
      <c r="A969" s="8"/>
      <c r="B969" s="8"/>
      <c r="C969" s="43"/>
      <c r="D969" s="138"/>
      <c r="E969" s="138"/>
      <c r="F969" s="139"/>
      <c r="G969" s="139"/>
      <c r="H969" s="139"/>
      <c r="I969" s="139"/>
      <c r="J969" s="139"/>
      <c r="K969" s="139"/>
      <c r="L969" s="139"/>
      <c r="M969" s="139"/>
      <c r="N969" s="139"/>
      <c r="O969" s="140"/>
      <c r="P969" s="139"/>
      <c r="Q969" s="139"/>
      <c r="R969" s="8"/>
    </row>
    <row r="970" spans="1:18">
      <c r="A970" s="8"/>
      <c r="B970" s="8"/>
      <c r="C970" s="43"/>
      <c r="D970" s="138"/>
      <c r="E970" s="138"/>
      <c r="F970" s="139"/>
      <c r="G970" s="139"/>
      <c r="H970" s="139"/>
      <c r="I970" s="139"/>
      <c r="J970" s="139"/>
      <c r="K970" s="139"/>
      <c r="L970" s="139"/>
      <c r="M970" s="139"/>
      <c r="N970" s="139"/>
      <c r="O970" s="140"/>
      <c r="P970" s="139"/>
      <c r="Q970" s="139"/>
      <c r="R970" s="8"/>
    </row>
    <row r="971" spans="1:18">
      <c r="A971" s="8"/>
      <c r="B971" s="8"/>
      <c r="C971" s="43"/>
      <c r="D971" s="138"/>
      <c r="E971" s="138"/>
      <c r="F971" s="139"/>
      <c r="G971" s="139"/>
      <c r="H971" s="139"/>
      <c r="I971" s="139"/>
      <c r="J971" s="139"/>
      <c r="K971" s="139"/>
      <c r="L971" s="139"/>
      <c r="M971" s="139"/>
      <c r="N971" s="139"/>
      <c r="O971" s="140"/>
      <c r="P971" s="139"/>
      <c r="Q971" s="139"/>
      <c r="R971" s="8"/>
    </row>
    <row r="972" spans="1:18">
      <c r="A972" s="8"/>
      <c r="B972" s="8"/>
      <c r="C972" s="43"/>
      <c r="D972" s="138"/>
      <c r="E972" s="138"/>
      <c r="F972" s="139"/>
      <c r="G972" s="139"/>
      <c r="H972" s="139"/>
      <c r="I972" s="139"/>
      <c r="J972" s="139"/>
      <c r="K972" s="139"/>
      <c r="L972" s="139"/>
      <c r="M972" s="139"/>
      <c r="N972" s="139"/>
      <c r="O972" s="140"/>
      <c r="P972" s="139"/>
      <c r="Q972" s="139"/>
      <c r="R972" s="8"/>
    </row>
    <row r="973" spans="1:18">
      <c r="A973" s="8"/>
      <c r="B973" s="8"/>
      <c r="C973" s="43"/>
      <c r="D973" s="138"/>
      <c r="E973" s="138"/>
      <c r="F973" s="139"/>
      <c r="G973" s="139"/>
      <c r="H973" s="139"/>
      <c r="I973" s="139"/>
      <c r="J973" s="139"/>
      <c r="K973" s="139"/>
      <c r="L973" s="139"/>
      <c r="M973" s="139"/>
      <c r="N973" s="139"/>
      <c r="O973" s="140"/>
      <c r="P973" s="139"/>
      <c r="Q973" s="139"/>
      <c r="R973" s="8"/>
    </row>
    <row r="974" spans="1:18">
      <c r="A974" s="8"/>
      <c r="B974" s="8"/>
      <c r="C974" s="43"/>
      <c r="D974" s="138"/>
      <c r="E974" s="138"/>
      <c r="F974" s="139"/>
      <c r="G974" s="139"/>
      <c r="H974" s="139"/>
      <c r="I974" s="139"/>
      <c r="J974" s="139"/>
      <c r="K974" s="139"/>
      <c r="L974" s="139"/>
      <c r="M974" s="139"/>
      <c r="N974" s="139"/>
      <c r="O974" s="140"/>
      <c r="P974" s="139"/>
      <c r="Q974" s="139"/>
      <c r="R974" s="8"/>
    </row>
    <row r="975" spans="1:18">
      <c r="A975" s="8"/>
      <c r="B975" s="8"/>
      <c r="C975" s="43"/>
      <c r="D975" s="138"/>
      <c r="E975" s="138"/>
      <c r="F975" s="139"/>
      <c r="G975" s="139"/>
      <c r="H975" s="139"/>
      <c r="I975" s="139"/>
      <c r="J975" s="139"/>
      <c r="K975" s="139"/>
      <c r="L975" s="139"/>
      <c r="M975" s="139"/>
      <c r="N975" s="139"/>
      <c r="O975" s="140"/>
      <c r="P975" s="139"/>
      <c r="Q975" s="139"/>
      <c r="R975" s="8"/>
    </row>
    <row r="976" spans="1:18">
      <c r="A976" s="8"/>
      <c r="B976" s="8"/>
      <c r="C976" s="43"/>
      <c r="D976" s="138"/>
      <c r="E976" s="138"/>
      <c r="F976" s="139"/>
      <c r="G976" s="139"/>
      <c r="H976" s="139"/>
      <c r="I976" s="139"/>
      <c r="J976" s="139"/>
      <c r="K976" s="139"/>
      <c r="L976" s="139"/>
      <c r="M976" s="139"/>
      <c r="N976" s="139"/>
      <c r="O976" s="140"/>
      <c r="P976" s="139"/>
      <c r="Q976" s="139"/>
      <c r="R976" s="8"/>
    </row>
    <row r="977" spans="1:18">
      <c r="A977" s="8"/>
      <c r="B977" s="8"/>
      <c r="C977" s="43"/>
      <c r="D977" s="138"/>
      <c r="E977" s="138"/>
      <c r="F977" s="139"/>
      <c r="G977" s="139"/>
      <c r="H977" s="139"/>
      <c r="I977" s="139"/>
      <c r="J977" s="139"/>
      <c r="K977" s="139"/>
      <c r="L977" s="139"/>
      <c r="M977" s="139"/>
      <c r="N977" s="139"/>
      <c r="O977" s="140"/>
      <c r="P977" s="139"/>
      <c r="Q977" s="139"/>
      <c r="R977" s="8"/>
    </row>
    <row r="978" spans="1:18">
      <c r="A978" s="8"/>
      <c r="B978" s="8"/>
      <c r="C978" s="43"/>
      <c r="D978" s="138"/>
      <c r="E978" s="138"/>
      <c r="F978" s="139"/>
      <c r="G978" s="139"/>
      <c r="H978" s="139"/>
      <c r="I978" s="139"/>
      <c r="J978" s="139"/>
      <c r="K978" s="139"/>
      <c r="L978" s="139"/>
      <c r="M978" s="139"/>
      <c r="N978" s="139"/>
      <c r="O978" s="140"/>
      <c r="P978" s="139"/>
      <c r="Q978" s="139"/>
      <c r="R978" s="8"/>
    </row>
    <row r="979" spans="1:18">
      <c r="A979" s="8"/>
      <c r="B979" s="8"/>
      <c r="C979" s="43"/>
      <c r="D979" s="138"/>
      <c r="E979" s="138"/>
      <c r="F979" s="139"/>
      <c r="G979" s="139"/>
      <c r="H979" s="139"/>
      <c r="I979" s="139"/>
      <c r="J979" s="139"/>
      <c r="K979" s="139"/>
      <c r="L979" s="139"/>
      <c r="M979" s="139"/>
      <c r="N979" s="139"/>
      <c r="O979" s="140"/>
      <c r="P979" s="139"/>
      <c r="Q979" s="139"/>
      <c r="R979" s="8"/>
    </row>
    <row r="980" spans="1:18">
      <c r="A980" s="8"/>
      <c r="B980" s="8"/>
      <c r="C980" s="43"/>
      <c r="D980" s="138"/>
      <c r="E980" s="138"/>
      <c r="F980" s="139"/>
      <c r="G980" s="139"/>
      <c r="H980" s="139"/>
      <c r="I980" s="139"/>
      <c r="J980" s="139"/>
      <c r="K980" s="139"/>
      <c r="L980" s="139"/>
      <c r="M980" s="139"/>
      <c r="N980" s="139"/>
      <c r="O980" s="140"/>
      <c r="P980" s="139"/>
      <c r="Q980" s="139"/>
      <c r="R980" s="8"/>
    </row>
    <row r="981" spans="1:18">
      <c r="A981" s="8"/>
      <c r="B981" s="8"/>
      <c r="C981" s="43"/>
      <c r="D981" s="138"/>
      <c r="E981" s="138"/>
      <c r="F981" s="139"/>
      <c r="G981" s="139"/>
      <c r="H981" s="139"/>
      <c r="I981" s="139"/>
      <c r="J981" s="139"/>
      <c r="K981" s="139"/>
      <c r="L981" s="139"/>
      <c r="M981" s="139"/>
      <c r="N981" s="139"/>
      <c r="O981" s="140"/>
      <c r="P981" s="139"/>
      <c r="Q981" s="139"/>
      <c r="R981" s="8"/>
    </row>
    <row r="982" spans="1:18">
      <c r="A982" s="8"/>
      <c r="B982" s="8"/>
      <c r="C982" s="43"/>
      <c r="D982" s="138"/>
      <c r="E982" s="138"/>
      <c r="F982" s="139"/>
      <c r="G982" s="139"/>
      <c r="H982" s="139"/>
      <c r="I982" s="139"/>
      <c r="J982" s="139"/>
      <c r="K982" s="139"/>
      <c r="L982" s="139"/>
      <c r="M982" s="139"/>
      <c r="N982" s="139"/>
      <c r="O982" s="140"/>
      <c r="P982" s="139"/>
      <c r="Q982" s="139"/>
      <c r="R982" s="8"/>
    </row>
    <row r="983" spans="1:18">
      <c r="A983" s="8"/>
      <c r="B983" s="8"/>
      <c r="C983" s="43"/>
      <c r="D983" s="138"/>
      <c r="E983" s="138"/>
      <c r="F983" s="139"/>
      <c r="G983" s="139"/>
      <c r="H983" s="139"/>
      <c r="I983" s="139"/>
      <c r="J983" s="139"/>
      <c r="K983" s="139"/>
      <c r="L983" s="139"/>
      <c r="M983" s="139"/>
      <c r="N983" s="139"/>
      <c r="O983" s="140"/>
      <c r="P983" s="139"/>
      <c r="Q983" s="139"/>
      <c r="R983" s="8"/>
    </row>
    <row r="984" spans="1:18">
      <c r="A984" s="8"/>
      <c r="B984" s="8"/>
      <c r="C984" s="43"/>
      <c r="D984" s="138"/>
      <c r="E984" s="138"/>
      <c r="F984" s="139"/>
      <c r="G984" s="139"/>
      <c r="H984" s="139"/>
      <c r="I984" s="139"/>
      <c r="J984" s="139"/>
      <c r="K984" s="139"/>
      <c r="L984" s="139"/>
      <c r="M984" s="139"/>
      <c r="N984" s="139"/>
      <c r="O984" s="140"/>
      <c r="P984" s="139"/>
      <c r="Q984" s="139"/>
      <c r="R984" s="8"/>
    </row>
    <row r="985" spans="1:18">
      <c r="A985" s="8"/>
      <c r="B985" s="8"/>
      <c r="C985" s="43"/>
      <c r="D985" s="138"/>
      <c r="E985" s="138"/>
      <c r="F985" s="139"/>
      <c r="G985" s="139"/>
      <c r="H985" s="139"/>
      <c r="I985" s="139"/>
      <c r="J985" s="139"/>
      <c r="K985" s="139"/>
      <c r="L985" s="139"/>
      <c r="M985" s="139"/>
      <c r="N985" s="139"/>
      <c r="O985" s="140"/>
      <c r="P985" s="139"/>
      <c r="Q985" s="139"/>
      <c r="R985" s="8"/>
    </row>
    <row r="986" spans="1:18">
      <c r="A986" s="8"/>
      <c r="B986" s="8"/>
      <c r="C986" s="43"/>
      <c r="D986" s="138"/>
      <c r="E986" s="138"/>
      <c r="F986" s="139"/>
      <c r="G986" s="139"/>
      <c r="H986" s="139"/>
      <c r="I986" s="139"/>
      <c r="J986" s="139"/>
      <c r="K986" s="139"/>
      <c r="L986" s="139"/>
      <c r="M986" s="139"/>
      <c r="N986" s="139"/>
      <c r="O986" s="140"/>
      <c r="P986" s="139"/>
      <c r="Q986" s="139"/>
      <c r="R986" s="8"/>
    </row>
    <row r="987" spans="1:18">
      <c r="A987" s="8"/>
      <c r="B987" s="8"/>
      <c r="C987" s="43"/>
      <c r="D987" s="138"/>
      <c r="E987" s="138"/>
      <c r="F987" s="139"/>
      <c r="G987" s="139"/>
      <c r="H987" s="139"/>
      <c r="I987" s="139"/>
      <c r="J987" s="139"/>
      <c r="K987" s="139"/>
      <c r="L987" s="139"/>
      <c r="M987" s="139"/>
      <c r="N987" s="139"/>
      <c r="O987" s="140"/>
      <c r="P987" s="139"/>
      <c r="Q987" s="139"/>
      <c r="R987" s="8"/>
    </row>
    <row r="988" spans="1:18">
      <c r="A988" s="8"/>
      <c r="B988" s="8"/>
      <c r="C988" s="43"/>
      <c r="D988" s="138"/>
      <c r="E988" s="138"/>
      <c r="F988" s="139"/>
      <c r="G988" s="139"/>
      <c r="H988" s="139"/>
      <c r="I988" s="139"/>
      <c r="J988" s="139"/>
      <c r="K988" s="139"/>
      <c r="L988" s="139"/>
      <c r="M988" s="139"/>
      <c r="N988" s="139"/>
      <c r="O988" s="140"/>
      <c r="P988" s="139"/>
      <c r="Q988" s="139"/>
      <c r="R988" s="8"/>
    </row>
    <row r="989" spans="1:18">
      <c r="A989" s="8"/>
      <c r="B989" s="8"/>
      <c r="C989" s="43"/>
      <c r="D989" s="138"/>
      <c r="E989" s="138"/>
      <c r="F989" s="139"/>
      <c r="G989" s="139"/>
      <c r="H989" s="139"/>
      <c r="I989" s="139"/>
      <c r="J989" s="139"/>
      <c r="K989" s="139"/>
      <c r="L989" s="139"/>
      <c r="M989" s="139"/>
      <c r="N989" s="139"/>
      <c r="O989" s="140"/>
      <c r="P989" s="139"/>
      <c r="Q989" s="139"/>
      <c r="R989" s="8"/>
    </row>
    <row r="990" spans="1:18">
      <c r="A990" s="8"/>
      <c r="B990" s="8"/>
      <c r="C990" s="43"/>
      <c r="D990" s="138"/>
      <c r="E990" s="138"/>
      <c r="F990" s="139"/>
      <c r="G990" s="139"/>
      <c r="H990" s="139"/>
      <c r="I990" s="139"/>
      <c r="J990" s="139"/>
      <c r="K990" s="139"/>
      <c r="L990" s="139"/>
      <c r="M990" s="139"/>
      <c r="N990" s="139"/>
      <c r="O990" s="140"/>
      <c r="P990" s="139"/>
      <c r="Q990" s="139"/>
      <c r="R990" s="8"/>
    </row>
    <row r="991" spans="1:18">
      <c r="A991" s="8"/>
      <c r="B991" s="8"/>
      <c r="C991" s="43"/>
      <c r="D991" s="138"/>
      <c r="E991" s="138"/>
      <c r="F991" s="139"/>
      <c r="G991" s="139"/>
      <c r="H991" s="139"/>
      <c r="I991" s="139"/>
      <c r="J991" s="139"/>
      <c r="K991" s="139"/>
      <c r="L991" s="139"/>
      <c r="M991" s="139"/>
      <c r="N991" s="139"/>
      <c r="O991" s="140"/>
      <c r="P991" s="139"/>
      <c r="Q991" s="139"/>
      <c r="R991" s="8"/>
    </row>
    <row r="992" spans="1:18">
      <c r="A992" s="8"/>
      <c r="B992" s="8"/>
      <c r="C992" s="43"/>
      <c r="D992" s="138"/>
      <c r="E992" s="138"/>
      <c r="F992" s="139"/>
      <c r="G992" s="139"/>
      <c r="H992" s="139"/>
      <c r="I992" s="139"/>
      <c r="J992" s="139"/>
      <c r="K992" s="139"/>
      <c r="L992" s="139"/>
      <c r="M992" s="139"/>
      <c r="N992" s="139"/>
      <c r="O992" s="140"/>
      <c r="P992" s="139"/>
      <c r="Q992" s="139"/>
      <c r="R992" s="8"/>
    </row>
    <row r="993" spans="1:18">
      <c r="A993" s="8"/>
      <c r="B993" s="8"/>
      <c r="C993" s="43"/>
      <c r="D993" s="138"/>
      <c r="E993" s="138"/>
      <c r="F993" s="139"/>
      <c r="G993" s="139"/>
      <c r="H993" s="139"/>
      <c r="I993" s="139"/>
      <c r="J993" s="139"/>
      <c r="K993" s="139"/>
      <c r="L993" s="139"/>
      <c r="M993" s="139"/>
      <c r="N993" s="139"/>
      <c r="O993" s="140"/>
      <c r="P993" s="139"/>
      <c r="Q993" s="139"/>
      <c r="R993" s="8"/>
    </row>
    <row r="994" spans="1:18">
      <c r="A994" s="8"/>
      <c r="B994" s="8"/>
      <c r="C994" s="43"/>
      <c r="D994" s="138"/>
      <c r="E994" s="138"/>
      <c r="F994" s="139"/>
      <c r="G994" s="139"/>
      <c r="H994" s="139"/>
      <c r="I994" s="139"/>
      <c r="J994" s="139"/>
      <c r="K994" s="139"/>
      <c r="L994" s="139"/>
      <c r="M994" s="139"/>
      <c r="N994" s="139"/>
      <c r="O994" s="140"/>
      <c r="P994" s="139"/>
      <c r="Q994" s="139"/>
      <c r="R994" s="8"/>
    </row>
    <row r="995" spans="1:18">
      <c r="A995" s="8"/>
      <c r="B995" s="8"/>
      <c r="C995" s="43"/>
      <c r="D995" s="138"/>
      <c r="E995" s="138"/>
      <c r="F995" s="139"/>
      <c r="G995" s="139"/>
      <c r="H995" s="139"/>
      <c r="I995" s="139"/>
      <c r="J995" s="139"/>
      <c r="K995" s="139"/>
      <c r="L995" s="139"/>
      <c r="M995" s="139"/>
      <c r="N995" s="139"/>
      <c r="O995" s="140"/>
      <c r="P995" s="139"/>
      <c r="Q995" s="139"/>
      <c r="R995" s="8"/>
    </row>
    <row r="996" spans="1:18">
      <c r="A996" s="8"/>
      <c r="B996" s="8"/>
      <c r="C996" s="43"/>
      <c r="D996" s="138"/>
      <c r="E996" s="138"/>
      <c r="F996" s="139"/>
      <c r="G996" s="139"/>
      <c r="H996" s="139"/>
      <c r="I996" s="139"/>
      <c r="J996" s="139"/>
      <c r="K996" s="139"/>
      <c r="L996" s="139"/>
      <c r="M996" s="139"/>
      <c r="N996" s="139"/>
      <c r="O996" s="140"/>
      <c r="P996" s="139"/>
      <c r="Q996" s="139"/>
      <c r="R996" s="8"/>
    </row>
    <row r="997" spans="1:18">
      <c r="A997" s="8"/>
      <c r="B997" s="8"/>
      <c r="C997" s="43"/>
      <c r="D997" s="138"/>
      <c r="E997" s="138"/>
      <c r="F997" s="139"/>
      <c r="G997" s="139"/>
      <c r="H997" s="139"/>
      <c r="I997" s="139"/>
      <c r="J997" s="139"/>
      <c r="K997" s="139"/>
      <c r="L997" s="139"/>
      <c r="M997" s="139"/>
      <c r="N997" s="139"/>
      <c r="O997" s="140"/>
      <c r="P997" s="139"/>
      <c r="Q997" s="139"/>
      <c r="R997" s="8"/>
    </row>
    <row r="998" spans="1:18">
      <c r="A998" s="8"/>
      <c r="B998" s="8"/>
      <c r="C998" s="43"/>
      <c r="D998" s="138"/>
      <c r="E998" s="138"/>
      <c r="F998" s="139"/>
      <c r="G998" s="139"/>
      <c r="H998" s="139"/>
      <c r="I998" s="139"/>
      <c r="J998" s="139"/>
      <c r="K998" s="139"/>
      <c r="L998" s="139"/>
      <c r="M998" s="139"/>
      <c r="N998" s="139"/>
      <c r="O998" s="140"/>
      <c r="P998" s="139"/>
      <c r="Q998" s="139"/>
      <c r="R998" s="8"/>
    </row>
    <row r="999" spans="1:18">
      <c r="A999" s="8"/>
      <c r="B999" s="8"/>
      <c r="C999" s="43"/>
      <c r="D999" s="138"/>
      <c r="E999" s="138"/>
      <c r="F999" s="139"/>
      <c r="G999" s="139"/>
      <c r="H999" s="139"/>
      <c r="I999" s="139"/>
      <c r="J999" s="139"/>
      <c r="K999" s="139"/>
      <c r="L999" s="139"/>
      <c r="M999" s="139"/>
      <c r="N999" s="139"/>
      <c r="O999" s="140"/>
      <c r="P999" s="139"/>
      <c r="Q999" s="139"/>
      <c r="R999" s="8"/>
    </row>
    <row r="1000" spans="1:18">
      <c r="A1000" s="8"/>
      <c r="B1000" s="8"/>
      <c r="C1000" s="43"/>
      <c r="D1000" s="138"/>
      <c r="E1000" s="138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40"/>
      <c r="P1000" s="139"/>
      <c r="Q1000" s="139"/>
      <c r="R1000" s="8"/>
    </row>
    <row r="1001" spans="1:18">
      <c r="A1001" s="8"/>
      <c r="B1001" s="8"/>
      <c r="C1001" s="43"/>
      <c r="D1001" s="138"/>
      <c r="E1001" s="138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40"/>
      <c r="P1001" s="139"/>
      <c r="Q1001" s="139"/>
      <c r="R1001" s="8"/>
    </row>
    <row r="1002" spans="1:18">
      <c r="A1002" s="8"/>
      <c r="B1002" s="8"/>
      <c r="C1002" s="43"/>
      <c r="D1002" s="138"/>
      <c r="E1002" s="138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40"/>
      <c r="P1002" s="139"/>
      <c r="Q1002" s="139"/>
      <c r="R1002" s="8"/>
    </row>
    <row r="1003" spans="1:18">
      <c r="A1003" s="8"/>
      <c r="B1003" s="8"/>
      <c r="C1003" s="43"/>
      <c r="D1003" s="138"/>
      <c r="E1003" s="138"/>
      <c r="F1003" s="139"/>
      <c r="G1003" s="139"/>
      <c r="H1003" s="139"/>
      <c r="I1003" s="139"/>
      <c r="J1003" s="139"/>
      <c r="K1003" s="139"/>
      <c r="L1003" s="139"/>
      <c r="M1003" s="139"/>
      <c r="N1003" s="139"/>
      <c r="O1003" s="140"/>
      <c r="P1003" s="139"/>
      <c r="Q1003" s="139"/>
      <c r="R1003" s="8"/>
    </row>
    <row r="1004" spans="1:18">
      <c r="A1004" s="8"/>
      <c r="B1004" s="8"/>
      <c r="C1004" s="43"/>
      <c r="D1004" s="138"/>
      <c r="E1004" s="138"/>
      <c r="F1004" s="139"/>
      <c r="G1004" s="139"/>
      <c r="H1004" s="139"/>
      <c r="I1004" s="139"/>
      <c r="J1004" s="139"/>
      <c r="K1004" s="139"/>
      <c r="L1004" s="139"/>
      <c r="M1004" s="139"/>
      <c r="N1004" s="139"/>
      <c r="O1004" s="140"/>
      <c r="P1004" s="139"/>
      <c r="Q1004" s="139"/>
      <c r="R1004" s="8"/>
    </row>
    <row r="1005" spans="1:18">
      <c r="A1005" s="8"/>
      <c r="B1005" s="8"/>
      <c r="C1005" s="43"/>
      <c r="D1005" s="138"/>
      <c r="E1005" s="138"/>
      <c r="F1005" s="139"/>
      <c r="G1005" s="139"/>
      <c r="H1005" s="139"/>
      <c r="I1005" s="139"/>
      <c r="J1005" s="139"/>
      <c r="K1005" s="139"/>
      <c r="L1005" s="139"/>
      <c r="M1005" s="139"/>
      <c r="N1005" s="139"/>
      <c r="O1005" s="140"/>
      <c r="P1005" s="139"/>
      <c r="Q1005" s="139"/>
      <c r="R1005" s="8"/>
    </row>
    <row r="1006" spans="1:18">
      <c r="A1006" s="8"/>
      <c r="B1006" s="8"/>
      <c r="C1006" s="43"/>
      <c r="D1006" s="138"/>
      <c r="E1006" s="138"/>
      <c r="F1006" s="139"/>
      <c r="G1006" s="139"/>
      <c r="H1006" s="139"/>
      <c r="I1006" s="139"/>
      <c r="J1006" s="139"/>
      <c r="K1006" s="139"/>
      <c r="L1006" s="139"/>
      <c r="M1006" s="139"/>
      <c r="N1006" s="139"/>
      <c r="O1006" s="140"/>
      <c r="P1006" s="139"/>
      <c r="Q1006" s="139"/>
      <c r="R1006" s="8"/>
    </row>
    <row r="1007" spans="1:18">
      <c r="A1007" s="8"/>
      <c r="B1007" s="8"/>
      <c r="C1007" s="43"/>
      <c r="D1007" s="138"/>
      <c r="E1007" s="138"/>
      <c r="F1007" s="139"/>
      <c r="G1007" s="139"/>
      <c r="H1007" s="139"/>
      <c r="I1007" s="139"/>
      <c r="J1007" s="139"/>
      <c r="K1007" s="139"/>
      <c r="L1007" s="139"/>
      <c r="M1007" s="139"/>
      <c r="N1007" s="139"/>
      <c r="O1007" s="140"/>
      <c r="P1007" s="139"/>
      <c r="Q1007" s="139"/>
      <c r="R1007" s="8"/>
    </row>
    <row r="1008" spans="1:18">
      <c r="A1008" s="8"/>
      <c r="B1008" s="8"/>
      <c r="C1008" s="43"/>
      <c r="D1008" s="138"/>
      <c r="E1008" s="138"/>
      <c r="F1008" s="139"/>
      <c r="G1008" s="139"/>
      <c r="H1008" s="139"/>
      <c r="I1008" s="139"/>
      <c r="J1008" s="139"/>
      <c r="K1008" s="139"/>
      <c r="L1008" s="139"/>
      <c r="M1008" s="139"/>
      <c r="N1008" s="139"/>
      <c r="O1008" s="140"/>
      <c r="P1008" s="139"/>
      <c r="Q1008" s="139"/>
      <c r="R1008" s="8"/>
    </row>
    <row r="1009" spans="1:18">
      <c r="A1009" s="8"/>
      <c r="B1009" s="8"/>
      <c r="C1009" s="43"/>
      <c r="D1009" s="138"/>
      <c r="E1009" s="138"/>
      <c r="F1009" s="139"/>
      <c r="G1009" s="139"/>
      <c r="H1009" s="139"/>
      <c r="I1009" s="139"/>
      <c r="J1009" s="139"/>
      <c r="K1009" s="139"/>
      <c r="L1009" s="139"/>
      <c r="M1009" s="139"/>
      <c r="N1009" s="139"/>
      <c r="O1009" s="140"/>
      <c r="P1009" s="139"/>
      <c r="Q1009" s="139"/>
      <c r="R1009" s="8"/>
    </row>
    <row r="1010" spans="1:18">
      <c r="A1010" s="8"/>
      <c r="B1010" s="8"/>
      <c r="C1010" s="43"/>
      <c r="D1010" s="138"/>
      <c r="E1010" s="138"/>
      <c r="F1010" s="139"/>
      <c r="G1010" s="139"/>
      <c r="H1010" s="139"/>
      <c r="I1010" s="139"/>
      <c r="J1010" s="139"/>
      <c r="K1010" s="139"/>
      <c r="L1010" s="139"/>
      <c r="M1010" s="139"/>
      <c r="N1010" s="139"/>
      <c r="O1010" s="140"/>
      <c r="P1010" s="139"/>
      <c r="Q1010" s="139"/>
      <c r="R1010" s="8"/>
    </row>
    <row r="1011" spans="1:18">
      <c r="A1011" s="8"/>
      <c r="B1011" s="8"/>
      <c r="C1011" s="43"/>
      <c r="D1011" s="138"/>
      <c r="E1011" s="138"/>
      <c r="F1011" s="139"/>
      <c r="G1011" s="139"/>
      <c r="H1011" s="139"/>
      <c r="I1011" s="139"/>
      <c r="J1011" s="139"/>
      <c r="K1011" s="139"/>
      <c r="L1011" s="139"/>
      <c r="M1011" s="139"/>
      <c r="N1011" s="139"/>
      <c r="O1011" s="140"/>
      <c r="P1011" s="139"/>
      <c r="Q1011" s="139"/>
      <c r="R1011" s="8"/>
    </row>
    <row r="1012" spans="1:18">
      <c r="A1012" s="8"/>
      <c r="B1012" s="8"/>
      <c r="C1012" s="43"/>
      <c r="D1012" s="138"/>
      <c r="E1012" s="138"/>
      <c r="F1012" s="139"/>
      <c r="G1012" s="139"/>
      <c r="H1012" s="139"/>
      <c r="I1012" s="139"/>
      <c r="J1012" s="139"/>
      <c r="K1012" s="139"/>
      <c r="L1012" s="139"/>
      <c r="M1012" s="139"/>
      <c r="N1012" s="139"/>
      <c r="O1012" s="140"/>
      <c r="P1012" s="139"/>
      <c r="Q1012" s="139"/>
      <c r="R1012" s="8"/>
    </row>
    <row r="1013" spans="1:18">
      <c r="A1013" s="8"/>
      <c r="B1013" s="8"/>
      <c r="C1013" s="43"/>
      <c r="D1013" s="138"/>
      <c r="E1013" s="138"/>
      <c r="F1013" s="139"/>
      <c r="G1013" s="139"/>
      <c r="H1013" s="139"/>
      <c r="I1013" s="139"/>
      <c r="J1013" s="139"/>
      <c r="K1013" s="139"/>
      <c r="L1013" s="139"/>
      <c r="M1013" s="139"/>
      <c r="N1013" s="139"/>
      <c r="O1013" s="140"/>
      <c r="P1013" s="139"/>
      <c r="Q1013" s="139"/>
      <c r="R1013" s="8"/>
    </row>
    <row r="1014" spans="1:18">
      <c r="A1014" s="8"/>
      <c r="B1014" s="8"/>
      <c r="C1014" s="43"/>
      <c r="D1014" s="138"/>
      <c r="E1014" s="138"/>
      <c r="F1014" s="139"/>
      <c r="G1014" s="139"/>
      <c r="H1014" s="139"/>
      <c r="I1014" s="139"/>
      <c r="J1014" s="139"/>
      <c r="K1014" s="139"/>
      <c r="L1014" s="139"/>
      <c r="M1014" s="139"/>
      <c r="N1014" s="139"/>
      <c r="O1014" s="140"/>
      <c r="P1014" s="139"/>
      <c r="Q1014" s="139"/>
      <c r="R1014" s="8"/>
    </row>
    <row r="1015" spans="1:18">
      <c r="A1015" s="8"/>
      <c r="B1015" s="8"/>
      <c r="C1015" s="43"/>
      <c r="D1015" s="138"/>
      <c r="E1015" s="138"/>
      <c r="F1015" s="139"/>
      <c r="G1015" s="139"/>
      <c r="H1015" s="139"/>
      <c r="I1015" s="139"/>
      <c r="J1015" s="139"/>
      <c r="K1015" s="139"/>
      <c r="L1015" s="139"/>
      <c r="M1015" s="139"/>
      <c r="N1015" s="139"/>
      <c r="O1015" s="140"/>
      <c r="P1015" s="139"/>
      <c r="Q1015" s="139"/>
      <c r="R1015" s="8"/>
    </row>
    <row r="1016" spans="1:18">
      <c r="A1016" s="8"/>
      <c r="B1016" s="8"/>
      <c r="C1016" s="43"/>
      <c r="D1016" s="138"/>
      <c r="E1016" s="138"/>
      <c r="F1016" s="139"/>
      <c r="G1016" s="139"/>
      <c r="H1016" s="139"/>
      <c r="I1016" s="139"/>
      <c r="J1016" s="139"/>
      <c r="K1016" s="139"/>
      <c r="L1016" s="139"/>
      <c r="M1016" s="139"/>
      <c r="N1016" s="139"/>
      <c r="O1016" s="140"/>
      <c r="P1016" s="139"/>
      <c r="Q1016" s="139"/>
      <c r="R1016" s="8"/>
    </row>
    <row r="1017" spans="1:18">
      <c r="A1017" s="8"/>
      <c r="B1017" s="8"/>
      <c r="C1017" s="43"/>
      <c r="D1017" s="138"/>
      <c r="E1017" s="138"/>
      <c r="F1017" s="139"/>
      <c r="G1017" s="139"/>
      <c r="H1017" s="139"/>
      <c r="I1017" s="139"/>
      <c r="J1017" s="139"/>
      <c r="K1017" s="139"/>
      <c r="L1017" s="139"/>
      <c r="M1017" s="139"/>
      <c r="N1017" s="139"/>
      <c r="O1017" s="140"/>
      <c r="P1017" s="139"/>
      <c r="Q1017" s="139"/>
      <c r="R1017" s="8"/>
    </row>
    <row r="1018" spans="1:18">
      <c r="A1018" s="8"/>
      <c r="B1018" s="8"/>
      <c r="C1018" s="43"/>
      <c r="D1018" s="138"/>
      <c r="E1018" s="138"/>
      <c r="F1018" s="139"/>
      <c r="G1018" s="139"/>
      <c r="H1018" s="139"/>
      <c r="I1018" s="139"/>
      <c r="J1018" s="139"/>
      <c r="K1018" s="139"/>
      <c r="L1018" s="139"/>
      <c r="M1018" s="139"/>
      <c r="N1018" s="139"/>
      <c r="O1018" s="140"/>
      <c r="P1018" s="139"/>
      <c r="Q1018" s="139"/>
      <c r="R1018" s="8"/>
    </row>
    <row r="1019" spans="1:18">
      <c r="A1019" s="8"/>
      <c r="B1019" s="8"/>
      <c r="C1019" s="43"/>
      <c r="D1019" s="138"/>
      <c r="E1019" s="138"/>
      <c r="F1019" s="139"/>
      <c r="G1019" s="139"/>
      <c r="H1019" s="139"/>
      <c r="I1019" s="139"/>
      <c r="J1019" s="139"/>
      <c r="K1019" s="139"/>
      <c r="L1019" s="139"/>
      <c r="M1019" s="139"/>
      <c r="N1019" s="139"/>
      <c r="O1019" s="140"/>
      <c r="P1019" s="139"/>
      <c r="Q1019" s="139"/>
      <c r="R1019" s="8"/>
    </row>
    <row r="1020" spans="1:18">
      <c r="A1020" s="8"/>
      <c r="B1020" s="8"/>
      <c r="C1020" s="43"/>
      <c r="D1020" s="138"/>
      <c r="E1020" s="138"/>
      <c r="F1020" s="139"/>
      <c r="G1020" s="139"/>
      <c r="H1020" s="139"/>
      <c r="I1020" s="139"/>
      <c r="J1020" s="139"/>
      <c r="K1020" s="139"/>
      <c r="L1020" s="139"/>
      <c r="M1020" s="139"/>
      <c r="N1020" s="139"/>
      <c r="O1020" s="140"/>
      <c r="P1020" s="139"/>
      <c r="Q1020" s="139"/>
      <c r="R1020" s="8"/>
    </row>
    <row r="1021" spans="1:18">
      <c r="A1021" s="8"/>
      <c r="B1021" s="8"/>
      <c r="C1021" s="43"/>
      <c r="D1021" s="138"/>
      <c r="E1021" s="138"/>
      <c r="F1021" s="139"/>
      <c r="G1021" s="139"/>
      <c r="H1021" s="139"/>
      <c r="I1021" s="139"/>
      <c r="J1021" s="139"/>
      <c r="K1021" s="139"/>
      <c r="L1021" s="139"/>
      <c r="M1021" s="139"/>
      <c r="N1021" s="139"/>
      <c r="O1021" s="140"/>
      <c r="P1021" s="139"/>
      <c r="Q1021" s="139"/>
      <c r="R1021" s="8"/>
    </row>
    <row r="1022" spans="1:18">
      <c r="A1022" s="8"/>
      <c r="B1022" s="8"/>
      <c r="C1022" s="43"/>
      <c r="D1022" s="138"/>
      <c r="E1022" s="138"/>
      <c r="F1022" s="139"/>
      <c r="G1022" s="139"/>
      <c r="H1022" s="139"/>
      <c r="I1022" s="139"/>
      <c r="J1022" s="139"/>
      <c r="K1022" s="139"/>
      <c r="L1022" s="139"/>
      <c r="M1022" s="139"/>
      <c r="N1022" s="139"/>
      <c r="O1022" s="140"/>
      <c r="P1022" s="139"/>
      <c r="Q1022" s="139"/>
      <c r="R1022" s="8"/>
    </row>
    <row r="1023" spans="1:18">
      <c r="A1023" s="8"/>
      <c r="B1023" s="8"/>
      <c r="C1023" s="43"/>
      <c r="D1023" s="138"/>
      <c r="E1023" s="138"/>
      <c r="F1023" s="139"/>
      <c r="G1023" s="139"/>
      <c r="H1023" s="139"/>
      <c r="I1023" s="139"/>
      <c r="J1023" s="139"/>
      <c r="K1023" s="139"/>
      <c r="L1023" s="139"/>
      <c r="M1023" s="139"/>
      <c r="N1023" s="139"/>
      <c r="O1023" s="140"/>
      <c r="P1023" s="139"/>
      <c r="Q1023" s="139"/>
      <c r="R1023" s="8"/>
    </row>
    <row r="1024" spans="1:18">
      <c r="A1024" s="8"/>
      <c r="B1024" s="8"/>
      <c r="C1024" s="43"/>
      <c r="D1024" s="138"/>
      <c r="E1024" s="138"/>
      <c r="F1024" s="139"/>
      <c r="G1024" s="139"/>
      <c r="H1024" s="139"/>
      <c r="I1024" s="139"/>
      <c r="J1024" s="139"/>
      <c r="K1024" s="139"/>
      <c r="L1024" s="139"/>
      <c r="M1024" s="139"/>
      <c r="N1024" s="139"/>
      <c r="O1024" s="140"/>
      <c r="P1024" s="139"/>
      <c r="Q1024" s="139"/>
      <c r="R1024" s="8"/>
    </row>
    <row r="1025" spans="1:18">
      <c r="A1025" s="8"/>
      <c r="B1025" s="8"/>
      <c r="C1025" s="43"/>
      <c r="D1025" s="138"/>
      <c r="E1025" s="138"/>
      <c r="F1025" s="139"/>
      <c r="G1025" s="139"/>
      <c r="H1025" s="139"/>
      <c r="I1025" s="139"/>
      <c r="J1025" s="139"/>
      <c r="K1025" s="139"/>
      <c r="L1025" s="139"/>
      <c r="M1025" s="139"/>
      <c r="N1025" s="139"/>
      <c r="O1025" s="140"/>
      <c r="P1025" s="139"/>
      <c r="Q1025" s="139"/>
      <c r="R1025" s="8"/>
    </row>
    <row r="1026" spans="1:18">
      <c r="A1026" s="8"/>
      <c r="B1026" s="8"/>
      <c r="C1026" s="43"/>
      <c r="D1026" s="138"/>
      <c r="E1026" s="138"/>
      <c r="F1026" s="139"/>
      <c r="G1026" s="139"/>
      <c r="H1026" s="139"/>
      <c r="I1026" s="139"/>
      <c r="J1026" s="139"/>
      <c r="K1026" s="139"/>
      <c r="L1026" s="139"/>
      <c r="M1026" s="139"/>
      <c r="N1026" s="139"/>
      <c r="O1026" s="140"/>
      <c r="P1026" s="139"/>
      <c r="Q1026" s="139"/>
      <c r="R1026" s="8"/>
    </row>
    <row r="1027" spans="1:18">
      <c r="A1027" s="8"/>
      <c r="B1027" s="8"/>
      <c r="C1027" s="43"/>
      <c r="D1027" s="138"/>
      <c r="E1027" s="138"/>
      <c r="F1027" s="139"/>
      <c r="G1027" s="139"/>
      <c r="H1027" s="139"/>
      <c r="I1027" s="139"/>
      <c r="J1027" s="139"/>
      <c r="K1027" s="139"/>
      <c r="L1027" s="139"/>
      <c r="M1027" s="139"/>
      <c r="N1027" s="139"/>
      <c r="O1027" s="140"/>
      <c r="P1027" s="139"/>
      <c r="Q1027" s="139"/>
      <c r="R1027" s="8"/>
    </row>
    <row r="1028" spans="1:18">
      <c r="A1028" s="8"/>
      <c r="B1028" s="8"/>
      <c r="C1028" s="43"/>
      <c r="D1028" s="138"/>
      <c r="E1028" s="138"/>
      <c r="F1028" s="139"/>
      <c r="G1028" s="139"/>
      <c r="H1028" s="139"/>
      <c r="I1028" s="139"/>
      <c r="J1028" s="139"/>
      <c r="K1028" s="139"/>
      <c r="L1028" s="139"/>
      <c r="M1028" s="139"/>
      <c r="N1028" s="139"/>
      <c r="O1028" s="140"/>
      <c r="P1028" s="139"/>
      <c r="Q1028" s="139"/>
      <c r="R1028" s="8"/>
    </row>
    <row r="1029" spans="1:18">
      <c r="A1029" s="8"/>
      <c r="B1029" s="8"/>
      <c r="C1029" s="43"/>
      <c r="D1029" s="138"/>
      <c r="E1029" s="138"/>
      <c r="F1029" s="139"/>
      <c r="G1029" s="139"/>
      <c r="H1029" s="139"/>
      <c r="I1029" s="139"/>
      <c r="J1029" s="139"/>
      <c r="K1029" s="139"/>
      <c r="L1029" s="139"/>
      <c r="M1029" s="139"/>
      <c r="N1029" s="139"/>
      <c r="O1029" s="140"/>
      <c r="P1029" s="139"/>
      <c r="Q1029" s="139"/>
      <c r="R1029" s="8"/>
    </row>
    <row r="1030" spans="1:18">
      <c r="A1030" s="8"/>
      <c r="B1030" s="8"/>
      <c r="C1030" s="43"/>
      <c r="D1030" s="138"/>
      <c r="E1030" s="138"/>
      <c r="F1030" s="139"/>
      <c r="G1030" s="139"/>
      <c r="H1030" s="139"/>
      <c r="I1030" s="139"/>
      <c r="J1030" s="139"/>
      <c r="K1030" s="139"/>
      <c r="L1030" s="139"/>
      <c r="M1030" s="139"/>
      <c r="N1030" s="139"/>
      <c r="O1030" s="140"/>
      <c r="P1030" s="139"/>
      <c r="Q1030" s="139"/>
      <c r="R1030" s="8"/>
    </row>
    <row r="1031" spans="1:18">
      <c r="A1031" s="8"/>
      <c r="B1031" s="8"/>
      <c r="C1031" s="43"/>
      <c r="D1031" s="138"/>
      <c r="E1031" s="138"/>
      <c r="F1031" s="139"/>
      <c r="G1031" s="139"/>
      <c r="H1031" s="139"/>
      <c r="I1031" s="139"/>
      <c r="J1031" s="139"/>
      <c r="K1031" s="139"/>
      <c r="L1031" s="139"/>
      <c r="M1031" s="139"/>
      <c r="N1031" s="139"/>
      <c r="O1031" s="140"/>
      <c r="P1031" s="139"/>
      <c r="Q1031" s="139"/>
      <c r="R1031" s="8"/>
    </row>
    <row r="1032" spans="1:18">
      <c r="A1032" s="8"/>
      <c r="B1032" s="8"/>
      <c r="C1032" s="43"/>
      <c r="D1032" s="138"/>
      <c r="E1032" s="138"/>
      <c r="F1032" s="139"/>
      <c r="G1032" s="139"/>
      <c r="H1032" s="139"/>
      <c r="I1032" s="139"/>
      <c r="J1032" s="139"/>
      <c r="K1032" s="139"/>
      <c r="L1032" s="139"/>
      <c r="M1032" s="139"/>
      <c r="N1032" s="139"/>
      <c r="O1032" s="140"/>
      <c r="P1032" s="139"/>
      <c r="Q1032" s="139"/>
      <c r="R1032" s="8"/>
    </row>
    <row r="1033" spans="1:18">
      <c r="A1033" s="8"/>
      <c r="B1033" s="8"/>
      <c r="C1033" s="43"/>
      <c r="D1033" s="138"/>
      <c r="E1033" s="138"/>
      <c r="F1033" s="139"/>
      <c r="G1033" s="139"/>
      <c r="H1033" s="139"/>
      <c r="I1033" s="139"/>
      <c r="J1033" s="139"/>
      <c r="K1033" s="139"/>
      <c r="L1033" s="139"/>
      <c r="M1033" s="139"/>
      <c r="N1033" s="139"/>
      <c r="O1033" s="140"/>
      <c r="P1033" s="139"/>
      <c r="Q1033" s="139"/>
      <c r="R1033" s="8"/>
    </row>
    <row r="1034" spans="1:18">
      <c r="A1034" s="8"/>
      <c r="B1034" s="8"/>
      <c r="C1034" s="43"/>
      <c r="D1034" s="138"/>
      <c r="E1034" s="138"/>
      <c r="F1034" s="139"/>
      <c r="G1034" s="139"/>
      <c r="H1034" s="139"/>
      <c r="I1034" s="139"/>
      <c r="J1034" s="139"/>
      <c r="K1034" s="139"/>
      <c r="L1034" s="139"/>
      <c r="M1034" s="139"/>
      <c r="N1034" s="139"/>
      <c r="O1034" s="140"/>
      <c r="P1034" s="139"/>
      <c r="Q1034" s="139"/>
      <c r="R1034" s="8"/>
    </row>
    <row r="1035" spans="1:18">
      <c r="A1035" s="8"/>
      <c r="B1035" s="8"/>
      <c r="C1035" s="43"/>
      <c r="D1035" s="138"/>
      <c r="E1035" s="138"/>
      <c r="F1035" s="139"/>
      <c r="G1035" s="139"/>
      <c r="H1035" s="139"/>
      <c r="I1035" s="139"/>
      <c r="J1035" s="139"/>
      <c r="K1035" s="139"/>
      <c r="L1035" s="139"/>
      <c r="M1035" s="139"/>
      <c r="N1035" s="139"/>
      <c r="O1035" s="140"/>
      <c r="P1035" s="139"/>
      <c r="Q1035" s="139"/>
      <c r="R1035" s="8"/>
    </row>
    <row r="1036" spans="1:18">
      <c r="A1036" s="8"/>
      <c r="B1036" s="8"/>
      <c r="C1036" s="43"/>
      <c r="D1036" s="138"/>
      <c r="E1036" s="138"/>
      <c r="F1036" s="139"/>
      <c r="G1036" s="139"/>
      <c r="H1036" s="139"/>
      <c r="I1036" s="139"/>
      <c r="J1036" s="139"/>
      <c r="K1036" s="139"/>
      <c r="L1036" s="139"/>
      <c r="M1036" s="139"/>
      <c r="N1036" s="139"/>
      <c r="O1036" s="140"/>
      <c r="P1036" s="139"/>
      <c r="Q1036" s="139"/>
      <c r="R1036" s="8"/>
    </row>
    <row r="1037" spans="1:18">
      <c r="A1037" s="8"/>
      <c r="B1037" s="8"/>
      <c r="C1037" s="43"/>
      <c r="D1037" s="138"/>
      <c r="E1037" s="138"/>
      <c r="F1037" s="139"/>
      <c r="G1037" s="139"/>
      <c r="H1037" s="139"/>
      <c r="I1037" s="139"/>
      <c r="J1037" s="139"/>
      <c r="K1037" s="139"/>
      <c r="L1037" s="139"/>
      <c r="M1037" s="139"/>
      <c r="N1037" s="139"/>
      <c r="O1037" s="140"/>
      <c r="P1037" s="139"/>
      <c r="Q1037" s="139"/>
      <c r="R1037" s="8"/>
    </row>
    <row r="1038" spans="1:18">
      <c r="A1038" s="8"/>
      <c r="B1038" s="8"/>
      <c r="C1038" s="43"/>
      <c r="D1038" s="138"/>
      <c r="E1038" s="138"/>
      <c r="F1038" s="139"/>
      <c r="G1038" s="139"/>
      <c r="H1038" s="139"/>
      <c r="I1038" s="139"/>
      <c r="J1038" s="139"/>
      <c r="K1038" s="139"/>
      <c r="L1038" s="139"/>
      <c r="M1038" s="139"/>
      <c r="N1038" s="139"/>
      <c r="O1038" s="140"/>
      <c r="P1038" s="139"/>
      <c r="Q1038" s="139"/>
      <c r="R1038" s="8"/>
    </row>
    <row r="1039" spans="1:18">
      <c r="A1039" s="8"/>
      <c r="B1039" s="8"/>
      <c r="C1039" s="43"/>
      <c r="D1039" s="138"/>
      <c r="E1039" s="138"/>
      <c r="F1039" s="139"/>
      <c r="G1039" s="139"/>
      <c r="H1039" s="139"/>
      <c r="I1039" s="139"/>
      <c r="J1039" s="139"/>
      <c r="K1039" s="139"/>
      <c r="L1039" s="139"/>
      <c r="M1039" s="139"/>
      <c r="N1039" s="139"/>
      <c r="O1039" s="140"/>
      <c r="P1039" s="139"/>
      <c r="Q1039" s="139"/>
      <c r="R1039" s="8"/>
    </row>
    <row r="1040" spans="1:18">
      <c r="A1040" s="8"/>
      <c r="B1040" s="8"/>
      <c r="C1040" s="43"/>
      <c r="D1040" s="138"/>
      <c r="E1040" s="138"/>
      <c r="F1040" s="139"/>
      <c r="G1040" s="139"/>
      <c r="H1040" s="139"/>
      <c r="I1040" s="139"/>
      <c r="J1040" s="139"/>
      <c r="K1040" s="139"/>
      <c r="L1040" s="139"/>
      <c r="M1040" s="139"/>
      <c r="N1040" s="139"/>
      <c r="O1040" s="140"/>
      <c r="P1040" s="139"/>
      <c r="Q1040" s="139"/>
      <c r="R1040" s="8"/>
    </row>
    <row r="1041" spans="1:18">
      <c r="A1041" s="8"/>
      <c r="B1041" s="8"/>
      <c r="C1041" s="43"/>
      <c r="D1041" s="138"/>
      <c r="E1041" s="138"/>
      <c r="F1041" s="139"/>
      <c r="G1041" s="139"/>
      <c r="H1041" s="139"/>
      <c r="I1041" s="139"/>
      <c r="J1041" s="139"/>
      <c r="K1041" s="139"/>
      <c r="L1041" s="139"/>
      <c r="M1041" s="139"/>
      <c r="N1041" s="139"/>
      <c r="O1041" s="140"/>
      <c r="P1041" s="139"/>
      <c r="Q1041" s="139"/>
      <c r="R1041" s="8"/>
    </row>
    <row r="1042" spans="1:18">
      <c r="A1042" s="8"/>
      <c r="B1042" s="8"/>
      <c r="C1042" s="43"/>
      <c r="D1042" s="138"/>
      <c r="E1042" s="138"/>
      <c r="F1042" s="139"/>
      <c r="G1042" s="139"/>
      <c r="H1042" s="139"/>
      <c r="I1042" s="139"/>
      <c r="J1042" s="139"/>
      <c r="K1042" s="139"/>
      <c r="L1042" s="139"/>
      <c r="M1042" s="139"/>
      <c r="N1042" s="139"/>
      <c r="O1042" s="140"/>
      <c r="P1042" s="139"/>
      <c r="Q1042" s="139"/>
      <c r="R1042" s="8"/>
    </row>
    <row r="1043" spans="1:18">
      <c r="A1043" s="8"/>
      <c r="B1043" s="8"/>
      <c r="C1043" s="43"/>
      <c r="D1043" s="138"/>
      <c r="E1043" s="138"/>
      <c r="F1043" s="139"/>
      <c r="G1043" s="139"/>
      <c r="H1043" s="139"/>
      <c r="I1043" s="139"/>
      <c r="J1043" s="139"/>
      <c r="K1043" s="139"/>
      <c r="L1043" s="139"/>
      <c r="M1043" s="139"/>
      <c r="N1043" s="139"/>
      <c r="O1043" s="140"/>
      <c r="P1043" s="139"/>
      <c r="Q1043" s="139"/>
      <c r="R1043" s="8"/>
    </row>
    <row r="1044" spans="1:18">
      <c r="A1044" s="8"/>
      <c r="B1044" s="8"/>
      <c r="C1044" s="43"/>
      <c r="D1044" s="138"/>
      <c r="E1044" s="138"/>
      <c r="F1044" s="139"/>
      <c r="G1044" s="139"/>
      <c r="H1044" s="139"/>
      <c r="I1044" s="139"/>
      <c r="J1044" s="139"/>
      <c r="K1044" s="139"/>
      <c r="L1044" s="139"/>
      <c r="M1044" s="139"/>
      <c r="N1044" s="139"/>
      <c r="O1044" s="140"/>
      <c r="P1044" s="139"/>
      <c r="Q1044" s="139"/>
      <c r="R1044" s="8"/>
    </row>
    <row r="1045" spans="1:18">
      <c r="A1045" s="8"/>
      <c r="B1045" s="8"/>
      <c r="C1045" s="43"/>
      <c r="D1045" s="138"/>
      <c r="E1045" s="138"/>
      <c r="F1045" s="139"/>
      <c r="G1045" s="139"/>
      <c r="H1045" s="139"/>
      <c r="I1045" s="139"/>
      <c r="J1045" s="139"/>
      <c r="K1045" s="139"/>
      <c r="L1045" s="139"/>
      <c r="M1045" s="139"/>
      <c r="N1045" s="139"/>
      <c r="O1045" s="140"/>
      <c r="P1045" s="139"/>
      <c r="Q1045" s="139"/>
      <c r="R1045" s="8"/>
    </row>
    <row r="1046" spans="1:18">
      <c r="A1046" s="8"/>
      <c r="B1046" s="8"/>
      <c r="C1046" s="43"/>
      <c r="D1046" s="138"/>
      <c r="E1046" s="138"/>
      <c r="F1046" s="139"/>
      <c r="G1046" s="139"/>
      <c r="H1046" s="139"/>
      <c r="I1046" s="139"/>
      <c r="J1046" s="139"/>
      <c r="K1046" s="139"/>
      <c r="L1046" s="139"/>
      <c r="M1046" s="139"/>
      <c r="N1046" s="139"/>
      <c r="O1046" s="140"/>
      <c r="P1046" s="139"/>
      <c r="Q1046" s="139"/>
      <c r="R1046" s="8"/>
    </row>
    <row r="1047" spans="1:18">
      <c r="A1047" s="8"/>
      <c r="B1047" s="8"/>
      <c r="C1047" s="43"/>
      <c r="D1047" s="138"/>
      <c r="E1047" s="138"/>
      <c r="F1047" s="139"/>
      <c r="G1047" s="139"/>
      <c r="H1047" s="139"/>
      <c r="I1047" s="139"/>
      <c r="J1047" s="139"/>
      <c r="K1047" s="139"/>
      <c r="L1047" s="139"/>
      <c r="M1047" s="139"/>
      <c r="N1047" s="139"/>
      <c r="O1047" s="140"/>
      <c r="P1047" s="139"/>
      <c r="Q1047" s="139"/>
      <c r="R1047" s="8"/>
    </row>
    <row r="1048" spans="1:18">
      <c r="A1048" s="8"/>
      <c r="B1048" s="8"/>
      <c r="C1048" s="43"/>
      <c r="D1048" s="138"/>
      <c r="E1048" s="138"/>
      <c r="F1048" s="139"/>
      <c r="G1048" s="139"/>
      <c r="H1048" s="139"/>
      <c r="I1048" s="139"/>
      <c r="J1048" s="139"/>
      <c r="K1048" s="139"/>
      <c r="L1048" s="139"/>
      <c r="M1048" s="139"/>
      <c r="N1048" s="139"/>
      <c r="O1048" s="140"/>
      <c r="P1048" s="139"/>
      <c r="Q1048" s="139"/>
      <c r="R1048" s="8"/>
    </row>
    <row r="1049" spans="1:18">
      <c r="A1049" s="8"/>
      <c r="B1049" s="8"/>
      <c r="C1049" s="43"/>
      <c r="D1049" s="138"/>
      <c r="E1049" s="138"/>
      <c r="F1049" s="139"/>
      <c r="G1049" s="139"/>
      <c r="H1049" s="139"/>
      <c r="I1049" s="139"/>
      <c r="J1049" s="139"/>
      <c r="K1049" s="139"/>
      <c r="L1049" s="139"/>
      <c r="M1049" s="139"/>
      <c r="N1049" s="139"/>
      <c r="O1049" s="140"/>
      <c r="P1049" s="139"/>
      <c r="Q1049" s="139"/>
      <c r="R1049" s="8"/>
    </row>
    <row r="1050" spans="1:18">
      <c r="A1050" s="8"/>
      <c r="B1050" s="8"/>
      <c r="C1050" s="43"/>
      <c r="D1050" s="138"/>
      <c r="E1050" s="138"/>
      <c r="F1050" s="139"/>
      <c r="G1050" s="139"/>
      <c r="H1050" s="139"/>
      <c r="I1050" s="139"/>
      <c r="J1050" s="139"/>
      <c r="K1050" s="139"/>
      <c r="L1050" s="139"/>
      <c r="M1050" s="139"/>
      <c r="N1050" s="139"/>
      <c r="O1050" s="140"/>
      <c r="P1050" s="139"/>
      <c r="Q1050" s="139"/>
      <c r="R1050" s="8"/>
    </row>
    <row r="1051" spans="1:18">
      <c r="A1051" s="8"/>
      <c r="B1051" s="8"/>
      <c r="C1051" s="43"/>
      <c r="D1051" s="138"/>
      <c r="E1051" s="138"/>
      <c r="F1051" s="139"/>
      <c r="G1051" s="139"/>
      <c r="H1051" s="139"/>
      <c r="I1051" s="139"/>
      <c r="J1051" s="139"/>
      <c r="K1051" s="139"/>
      <c r="L1051" s="139"/>
      <c r="M1051" s="139"/>
      <c r="N1051" s="139"/>
      <c r="O1051" s="140"/>
      <c r="P1051" s="139"/>
      <c r="Q1051" s="139"/>
      <c r="R1051" s="8"/>
    </row>
    <row r="1052" spans="1:18">
      <c r="A1052" s="8"/>
      <c r="B1052" s="8"/>
      <c r="C1052" s="43"/>
      <c r="D1052" s="138"/>
      <c r="E1052" s="138"/>
      <c r="F1052" s="139"/>
      <c r="G1052" s="139"/>
      <c r="H1052" s="139"/>
      <c r="I1052" s="139"/>
      <c r="J1052" s="139"/>
      <c r="K1052" s="139"/>
      <c r="L1052" s="139"/>
      <c r="M1052" s="139"/>
      <c r="N1052" s="139"/>
      <c r="O1052" s="140"/>
      <c r="P1052" s="139"/>
      <c r="Q1052" s="139"/>
      <c r="R1052" s="8"/>
    </row>
    <row r="1053" spans="1:18">
      <c r="A1053" s="8"/>
      <c r="B1053" s="8"/>
      <c r="C1053" s="43"/>
      <c r="D1053" s="138"/>
      <c r="E1053" s="138"/>
      <c r="F1053" s="139"/>
      <c r="G1053" s="139"/>
      <c r="H1053" s="139"/>
      <c r="I1053" s="139"/>
      <c r="J1053" s="139"/>
      <c r="K1053" s="139"/>
      <c r="L1053" s="139"/>
      <c r="M1053" s="139"/>
      <c r="N1053" s="139"/>
      <c r="O1053" s="140"/>
      <c r="P1053" s="139"/>
      <c r="Q1053" s="139"/>
      <c r="R1053" s="8"/>
    </row>
    <row r="1054" spans="1:18">
      <c r="A1054" s="8"/>
      <c r="B1054" s="8"/>
      <c r="C1054" s="43"/>
      <c r="D1054" s="138"/>
      <c r="E1054" s="138"/>
      <c r="F1054" s="139"/>
      <c r="G1054" s="139"/>
      <c r="H1054" s="139"/>
      <c r="I1054" s="139"/>
      <c r="J1054" s="139"/>
      <c r="K1054" s="139"/>
      <c r="L1054" s="139"/>
      <c r="M1054" s="139"/>
      <c r="N1054" s="139"/>
      <c r="O1054" s="140"/>
      <c r="P1054" s="139"/>
      <c r="Q1054" s="139"/>
      <c r="R1054" s="8"/>
    </row>
    <row r="1055" spans="1:18">
      <c r="A1055" s="8"/>
      <c r="B1055" s="8"/>
      <c r="C1055" s="43"/>
      <c r="D1055" s="138"/>
      <c r="E1055" s="138"/>
      <c r="F1055" s="139"/>
      <c r="G1055" s="139"/>
      <c r="H1055" s="139"/>
      <c r="I1055" s="139"/>
      <c r="J1055" s="139"/>
      <c r="K1055" s="139"/>
      <c r="L1055" s="139"/>
      <c r="M1055" s="139"/>
      <c r="N1055" s="139"/>
      <c r="O1055" s="140"/>
      <c r="P1055" s="139"/>
      <c r="Q1055" s="139"/>
      <c r="R1055" s="8"/>
    </row>
    <row r="1056" spans="1:18">
      <c r="A1056" s="8"/>
      <c r="B1056" s="8"/>
      <c r="C1056" s="43"/>
      <c r="D1056" s="138"/>
      <c r="E1056" s="138"/>
      <c r="F1056" s="139"/>
      <c r="G1056" s="139"/>
      <c r="H1056" s="139"/>
      <c r="I1056" s="139"/>
      <c r="J1056" s="139"/>
      <c r="K1056" s="139"/>
      <c r="L1056" s="139"/>
      <c r="M1056" s="139"/>
      <c r="N1056" s="139"/>
      <c r="O1056" s="140"/>
      <c r="P1056" s="139"/>
      <c r="Q1056" s="139"/>
      <c r="R1056" s="8"/>
    </row>
    <row r="1057" spans="1:18">
      <c r="A1057" s="8"/>
      <c r="B1057" s="8"/>
      <c r="C1057" s="43"/>
      <c r="D1057" s="138"/>
      <c r="E1057" s="138"/>
      <c r="F1057" s="139"/>
      <c r="G1057" s="139"/>
      <c r="H1057" s="139"/>
      <c r="I1057" s="139"/>
      <c r="J1057" s="139"/>
      <c r="K1057" s="139"/>
      <c r="L1057" s="139"/>
      <c r="M1057" s="139"/>
      <c r="N1057" s="139"/>
      <c r="O1057" s="140"/>
      <c r="P1057" s="139"/>
      <c r="Q1057" s="139"/>
      <c r="R1057" s="8"/>
    </row>
    <row r="1058" spans="1:18">
      <c r="A1058" s="8"/>
      <c r="B1058" s="8"/>
      <c r="C1058" s="43"/>
      <c r="D1058" s="138"/>
      <c r="E1058" s="138"/>
      <c r="F1058" s="139"/>
      <c r="G1058" s="139"/>
      <c r="H1058" s="139"/>
      <c r="I1058" s="139"/>
      <c r="J1058" s="139"/>
      <c r="K1058" s="139"/>
      <c r="L1058" s="139"/>
      <c r="M1058" s="139"/>
      <c r="N1058" s="139"/>
      <c r="O1058" s="140"/>
      <c r="P1058" s="139"/>
      <c r="Q1058" s="139"/>
      <c r="R1058" s="8"/>
    </row>
    <row r="1059" spans="1:18">
      <c r="A1059" s="8"/>
      <c r="B1059" s="8"/>
      <c r="C1059" s="43"/>
      <c r="D1059" s="138"/>
      <c r="E1059" s="138"/>
      <c r="F1059" s="139"/>
      <c r="G1059" s="139"/>
      <c r="H1059" s="139"/>
      <c r="I1059" s="139"/>
      <c r="J1059" s="139"/>
      <c r="K1059" s="139"/>
      <c r="L1059" s="139"/>
      <c r="M1059" s="139"/>
      <c r="N1059" s="139"/>
      <c r="O1059" s="140"/>
      <c r="P1059" s="139"/>
      <c r="Q1059" s="139"/>
      <c r="R1059" s="8"/>
    </row>
    <row r="1060" spans="1:18">
      <c r="A1060" s="8"/>
      <c r="B1060" s="8"/>
      <c r="C1060" s="43"/>
      <c r="D1060" s="138"/>
      <c r="E1060" s="138"/>
      <c r="F1060" s="139"/>
      <c r="G1060" s="139"/>
      <c r="H1060" s="139"/>
      <c r="I1060" s="139"/>
      <c r="J1060" s="139"/>
      <c r="K1060" s="139"/>
      <c r="L1060" s="139"/>
      <c r="M1060" s="139"/>
      <c r="N1060" s="139"/>
      <c r="O1060" s="140"/>
      <c r="P1060" s="139"/>
      <c r="Q1060" s="139"/>
      <c r="R1060" s="8"/>
    </row>
    <row r="1061" spans="1:18">
      <c r="A1061" s="8"/>
      <c r="B1061" s="8"/>
      <c r="C1061" s="43"/>
      <c r="D1061" s="138"/>
      <c r="E1061" s="138"/>
      <c r="F1061" s="139"/>
      <c r="G1061" s="139"/>
      <c r="H1061" s="139"/>
      <c r="I1061" s="139"/>
      <c r="J1061" s="139"/>
      <c r="K1061" s="139"/>
      <c r="L1061" s="139"/>
      <c r="M1061" s="139"/>
      <c r="N1061" s="139"/>
      <c r="O1061" s="140"/>
      <c r="P1061" s="139"/>
      <c r="Q1061" s="139"/>
      <c r="R1061" s="8"/>
    </row>
    <row r="1062" spans="1:18">
      <c r="A1062" s="8"/>
      <c r="B1062" s="8"/>
      <c r="C1062" s="43"/>
      <c r="D1062" s="138"/>
      <c r="E1062" s="138"/>
      <c r="F1062" s="139"/>
      <c r="G1062" s="139"/>
      <c r="H1062" s="139"/>
      <c r="I1062" s="139"/>
      <c r="J1062" s="139"/>
      <c r="K1062" s="139"/>
      <c r="L1062" s="139"/>
      <c r="M1062" s="139"/>
      <c r="N1062" s="139"/>
      <c r="O1062" s="140"/>
      <c r="P1062" s="139"/>
      <c r="Q1062" s="139"/>
      <c r="R1062" s="8"/>
    </row>
    <row r="1063" spans="1:18">
      <c r="A1063" s="8"/>
      <c r="B1063" s="8"/>
      <c r="C1063" s="43"/>
      <c r="D1063" s="138"/>
      <c r="E1063" s="138"/>
      <c r="F1063" s="139"/>
      <c r="G1063" s="139"/>
      <c r="H1063" s="139"/>
      <c r="I1063" s="139"/>
      <c r="J1063" s="139"/>
      <c r="K1063" s="139"/>
      <c r="L1063" s="139"/>
      <c r="M1063" s="139"/>
      <c r="N1063" s="139"/>
      <c r="O1063" s="140"/>
      <c r="P1063" s="139"/>
      <c r="Q1063" s="139"/>
      <c r="R1063" s="8"/>
    </row>
    <row r="1064" spans="1:18">
      <c r="A1064" s="8"/>
      <c r="B1064" s="8"/>
      <c r="C1064" s="43"/>
      <c r="D1064" s="138"/>
      <c r="E1064" s="138"/>
      <c r="F1064" s="139"/>
      <c r="G1064" s="139"/>
      <c r="H1064" s="139"/>
      <c r="I1064" s="139"/>
      <c r="J1064" s="139"/>
      <c r="K1064" s="139"/>
      <c r="L1064" s="139"/>
      <c r="M1064" s="139"/>
      <c r="N1064" s="139"/>
      <c r="O1064" s="140"/>
      <c r="P1064" s="139"/>
      <c r="Q1064" s="139"/>
      <c r="R1064" s="8"/>
    </row>
    <row r="1065" spans="1:18">
      <c r="A1065" s="8"/>
      <c r="B1065" s="8"/>
      <c r="C1065" s="43"/>
      <c r="D1065" s="138"/>
      <c r="E1065" s="138"/>
      <c r="F1065" s="139"/>
      <c r="G1065" s="139"/>
      <c r="H1065" s="139"/>
      <c r="I1065" s="139"/>
      <c r="J1065" s="139"/>
      <c r="K1065" s="139"/>
      <c r="L1065" s="139"/>
      <c r="M1065" s="139"/>
      <c r="N1065" s="139"/>
      <c r="O1065" s="140"/>
      <c r="P1065" s="139"/>
      <c r="Q1065" s="139"/>
      <c r="R1065" s="8"/>
    </row>
    <row r="1066" spans="1:18">
      <c r="A1066" s="8"/>
      <c r="B1066" s="8"/>
      <c r="C1066" s="43"/>
      <c r="D1066" s="138"/>
      <c r="E1066" s="138"/>
      <c r="F1066" s="139"/>
      <c r="G1066" s="139"/>
      <c r="H1066" s="139"/>
      <c r="I1066" s="139"/>
      <c r="J1066" s="139"/>
      <c r="K1066" s="139"/>
      <c r="L1066" s="139"/>
      <c r="M1066" s="139"/>
      <c r="N1066" s="139"/>
      <c r="O1066" s="140"/>
      <c r="P1066" s="139"/>
      <c r="Q1066" s="139"/>
      <c r="R1066" s="8"/>
    </row>
    <row r="1067" spans="1:18">
      <c r="A1067" s="8"/>
      <c r="B1067" s="8"/>
      <c r="C1067" s="43"/>
      <c r="D1067" s="138"/>
      <c r="E1067" s="138"/>
      <c r="F1067" s="139"/>
      <c r="G1067" s="139"/>
      <c r="H1067" s="139"/>
      <c r="I1067" s="139"/>
      <c r="J1067" s="139"/>
      <c r="K1067" s="139"/>
      <c r="L1067" s="139"/>
      <c r="M1067" s="139"/>
      <c r="N1067" s="139"/>
      <c r="O1067" s="140"/>
      <c r="P1067" s="139"/>
      <c r="Q1067" s="139"/>
      <c r="R1067" s="8"/>
    </row>
    <row r="1068" spans="1:18">
      <c r="A1068" s="8"/>
      <c r="B1068" s="8"/>
      <c r="C1068" s="43"/>
      <c r="D1068" s="138"/>
      <c r="E1068" s="138"/>
      <c r="F1068" s="139"/>
      <c r="G1068" s="139"/>
      <c r="H1068" s="139"/>
      <c r="I1068" s="139"/>
      <c r="J1068" s="139"/>
      <c r="K1068" s="139"/>
      <c r="L1068" s="139"/>
      <c r="M1068" s="139"/>
      <c r="N1068" s="139"/>
      <c r="O1068" s="140"/>
      <c r="P1068" s="139"/>
      <c r="Q1068" s="139"/>
      <c r="R1068" s="8"/>
    </row>
    <row r="1069" spans="1:18">
      <c r="A1069" s="8"/>
      <c r="B1069" s="8"/>
      <c r="C1069" s="43"/>
      <c r="D1069" s="138"/>
      <c r="E1069" s="138"/>
      <c r="F1069" s="139"/>
      <c r="G1069" s="139"/>
      <c r="H1069" s="139"/>
      <c r="I1069" s="139"/>
      <c r="J1069" s="139"/>
      <c r="K1069" s="139"/>
      <c r="L1069" s="139"/>
      <c r="M1069" s="139"/>
      <c r="N1069" s="139"/>
      <c r="O1069" s="140"/>
      <c r="P1069" s="139"/>
      <c r="Q1069" s="139"/>
      <c r="R1069" s="8"/>
    </row>
    <row r="1070" spans="1:18">
      <c r="A1070" s="8"/>
      <c r="B1070" s="8"/>
      <c r="C1070" s="43"/>
      <c r="D1070" s="138"/>
      <c r="E1070" s="138"/>
      <c r="F1070" s="139"/>
      <c r="G1070" s="139"/>
      <c r="H1070" s="139"/>
      <c r="I1070" s="139"/>
      <c r="J1070" s="139"/>
      <c r="K1070" s="139"/>
      <c r="L1070" s="139"/>
      <c r="M1070" s="139"/>
      <c r="N1070" s="139"/>
      <c r="O1070" s="140"/>
      <c r="P1070" s="139"/>
      <c r="Q1070" s="139"/>
      <c r="R1070" s="8"/>
    </row>
    <row r="1071" spans="1:18">
      <c r="A1071" s="8"/>
      <c r="B1071" s="8"/>
      <c r="C1071" s="43"/>
      <c r="D1071" s="138"/>
      <c r="E1071" s="138"/>
      <c r="F1071" s="139"/>
      <c r="G1071" s="139"/>
      <c r="H1071" s="139"/>
      <c r="I1071" s="139"/>
      <c r="J1071" s="139"/>
      <c r="K1071" s="139"/>
      <c r="L1071" s="139"/>
      <c r="M1071" s="139"/>
      <c r="N1071" s="139"/>
      <c r="O1071" s="140"/>
      <c r="P1071" s="139"/>
      <c r="Q1071" s="139"/>
      <c r="R1071" s="8"/>
    </row>
    <row r="1072" spans="1:18">
      <c r="A1072" s="8"/>
      <c r="B1072" s="8"/>
      <c r="C1072" s="43"/>
      <c r="D1072" s="138"/>
      <c r="E1072" s="138"/>
      <c r="F1072" s="139"/>
      <c r="G1072" s="139"/>
      <c r="H1072" s="139"/>
      <c r="I1072" s="139"/>
      <c r="J1072" s="139"/>
      <c r="K1072" s="139"/>
      <c r="L1072" s="139"/>
      <c r="M1072" s="139"/>
      <c r="N1072" s="139"/>
      <c r="O1072" s="140"/>
      <c r="P1072" s="139"/>
      <c r="Q1072" s="139"/>
      <c r="R1072" s="8"/>
    </row>
    <row r="1073" spans="1:18">
      <c r="A1073" s="8"/>
      <c r="B1073" s="8"/>
      <c r="C1073" s="43"/>
      <c r="D1073" s="138"/>
      <c r="E1073" s="138"/>
      <c r="F1073" s="139"/>
      <c r="G1073" s="139"/>
      <c r="H1073" s="139"/>
      <c r="I1073" s="139"/>
      <c r="J1073" s="139"/>
      <c r="K1073" s="139"/>
      <c r="L1073" s="139"/>
      <c r="M1073" s="139"/>
      <c r="N1073" s="139"/>
      <c r="O1073" s="140"/>
      <c r="P1073" s="139"/>
      <c r="Q1073" s="139"/>
      <c r="R1073" s="8"/>
    </row>
    <row r="1074" spans="1:18">
      <c r="A1074" s="8"/>
      <c r="B1074" s="8"/>
      <c r="C1074" s="43"/>
      <c r="D1074" s="138"/>
      <c r="E1074" s="138"/>
      <c r="F1074" s="139"/>
      <c r="G1074" s="139"/>
      <c r="H1074" s="139"/>
      <c r="I1074" s="139"/>
      <c r="J1074" s="139"/>
      <c r="K1074" s="139"/>
      <c r="L1074" s="139"/>
      <c r="M1074" s="139"/>
      <c r="N1074" s="139"/>
      <c r="O1074" s="140"/>
      <c r="P1074" s="139"/>
      <c r="Q1074" s="139"/>
      <c r="R1074" s="8"/>
    </row>
    <row r="1075" spans="1:18">
      <c r="A1075" s="8"/>
      <c r="B1075" s="8"/>
      <c r="C1075" s="43"/>
      <c r="D1075" s="138"/>
      <c r="E1075" s="138"/>
      <c r="F1075" s="139"/>
      <c r="G1075" s="139"/>
      <c r="H1075" s="139"/>
      <c r="I1075" s="139"/>
      <c r="J1075" s="139"/>
      <c r="K1075" s="139"/>
      <c r="L1075" s="139"/>
      <c r="M1075" s="139"/>
      <c r="N1075" s="139"/>
      <c r="O1075" s="140"/>
      <c r="P1075" s="139"/>
      <c r="Q1075" s="139"/>
      <c r="R1075" s="8"/>
    </row>
    <row r="1076" spans="1:18">
      <c r="A1076" s="8"/>
      <c r="B1076" s="8"/>
      <c r="C1076" s="43"/>
      <c r="D1076" s="138"/>
      <c r="E1076" s="138"/>
      <c r="F1076" s="139"/>
      <c r="G1076" s="139"/>
      <c r="H1076" s="139"/>
      <c r="I1076" s="139"/>
      <c r="J1076" s="139"/>
      <c r="K1076" s="139"/>
      <c r="L1076" s="139"/>
      <c r="M1076" s="139"/>
      <c r="N1076" s="139"/>
      <c r="O1076" s="140"/>
      <c r="P1076" s="139"/>
      <c r="Q1076" s="139"/>
      <c r="R1076" s="8"/>
    </row>
    <row r="1077" spans="1:18">
      <c r="A1077" s="8"/>
      <c r="B1077" s="8"/>
      <c r="C1077" s="43"/>
      <c r="D1077" s="138"/>
      <c r="E1077" s="138"/>
      <c r="F1077" s="139"/>
      <c r="G1077" s="139"/>
      <c r="H1077" s="139"/>
      <c r="I1077" s="139"/>
      <c r="J1077" s="139"/>
      <c r="K1077" s="139"/>
      <c r="L1077" s="139"/>
      <c r="M1077" s="139"/>
      <c r="N1077" s="139"/>
      <c r="O1077" s="140"/>
      <c r="P1077" s="139"/>
      <c r="Q1077" s="139"/>
      <c r="R1077" s="8"/>
    </row>
    <row r="1078" spans="1:18">
      <c r="A1078" s="8"/>
      <c r="B1078" s="8"/>
      <c r="C1078" s="43"/>
      <c r="D1078" s="138"/>
      <c r="E1078" s="138"/>
      <c r="F1078" s="139"/>
      <c r="G1078" s="139"/>
      <c r="H1078" s="139"/>
      <c r="I1078" s="139"/>
      <c r="J1078" s="139"/>
      <c r="K1078" s="139"/>
      <c r="L1078" s="139"/>
      <c r="M1078" s="139"/>
      <c r="N1078" s="139"/>
      <c r="O1078" s="140"/>
      <c r="P1078" s="139"/>
      <c r="Q1078" s="139"/>
      <c r="R1078" s="8"/>
    </row>
    <row r="1079" spans="1:18">
      <c r="A1079" s="8"/>
      <c r="B1079" s="8"/>
      <c r="C1079" s="43"/>
      <c r="D1079" s="138"/>
      <c r="E1079" s="138"/>
      <c r="F1079" s="139"/>
      <c r="G1079" s="139"/>
      <c r="H1079" s="139"/>
      <c r="I1079" s="139"/>
      <c r="J1079" s="139"/>
      <c r="K1079" s="139"/>
      <c r="L1079" s="139"/>
      <c r="M1079" s="139"/>
      <c r="N1079" s="139"/>
      <c r="O1079" s="140"/>
      <c r="P1079" s="139"/>
      <c r="Q1079" s="139"/>
      <c r="R1079" s="8"/>
    </row>
    <row r="1080" spans="1:18">
      <c r="A1080" s="8"/>
      <c r="B1080" s="8"/>
      <c r="C1080" s="43"/>
      <c r="D1080" s="138"/>
      <c r="E1080" s="138"/>
      <c r="F1080" s="139"/>
      <c r="G1080" s="139"/>
      <c r="H1080" s="139"/>
      <c r="I1080" s="139"/>
      <c r="J1080" s="139"/>
      <c r="K1080" s="139"/>
      <c r="L1080" s="139"/>
      <c r="M1080" s="139"/>
      <c r="N1080" s="139"/>
      <c r="O1080" s="140"/>
      <c r="P1080" s="139"/>
      <c r="Q1080" s="139"/>
      <c r="R1080" s="8"/>
    </row>
    <row r="1081" spans="1:18">
      <c r="A1081" s="8"/>
      <c r="B1081" s="8"/>
      <c r="C1081" s="43"/>
      <c r="D1081" s="138"/>
      <c r="E1081" s="138"/>
      <c r="F1081" s="139"/>
      <c r="G1081" s="139"/>
      <c r="H1081" s="139"/>
      <c r="I1081" s="139"/>
      <c r="J1081" s="139"/>
      <c r="K1081" s="139"/>
      <c r="L1081" s="139"/>
      <c r="M1081" s="139"/>
      <c r="N1081" s="139"/>
      <c r="O1081" s="140"/>
      <c r="P1081" s="139"/>
      <c r="Q1081" s="139"/>
      <c r="R1081" s="8"/>
    </row>
    <row r="1082" spans="1:18">
      <c r="A1082" s="8"/>
      <c r="B1082" s="8"/>
      <c r="C1082" s="43"/>
      <c r="D1082" s="138"/>
      <c r="E1082" s="138"/>
      <c r="F1082" s="139"/>
      <c r="G1082" s="139"/>
      <c r="H1082" s="139"/>
      <c r="I1082" s="139"/>
      <c r="J1082" s="139"/>
      <c r="K1082" s="139"/>
      <c r="L1082" s="139"/>
      <c r="M1082" s="139"/>
      <c r="N1082" s="139"/>
      <c r="O1082" s="140"/>
      <c r="P1082" s="139"/>
      <c r="Q1082" s="139"/>
      <c r="R1082" s="8"/>
    </row>
    <row r="1083" spans="1:18">
      <c r="A1083" s="8"/>
      <c r="B1083" s="8"/>
      <c r="C1083" s="43"/>
      <c r="D1083" s="138"/>
      <c r="E1083" s="138"/>
      <c r="F1083" s="139"/>
      <c r="G1083" s="139"/>
      <c r="H1083" s="139"/>
      <c r="I1083" s="139"/>
      <c r="J1083" s="139"/>
      <c r="K1083" s="139"/>
      <c r="L1083" s="139"/>
      <c r="M1083" s="139"/>
      <c r="N1083" s="139"/>
      <c r="O1083" s="140"/>
      <c r="P1083" s="139"/>
      <c r="Q1083" s="139"/>
      <c r="R1083" s="8"/>
    </row>
    <row r="1084" spans="1:18">
      <c r="A1084" s="8"/>
      <c r="B1084" s="8"/>
      <c r="C1084" s="43"/>
      <c r="D1084" s="138"/>
      <c r="E1084" s="138"/>
      <c r="F1084" s="139"/>
      <c r="G1084" s="139"/>
      <c r="H1084" s="139"/>
      <c r="I1084" s="139"/>
      <c r="J1084" s="139"/>
      <c r="K1084" s="139"/>
      <c r="L1084" s="139"/>
      <c r="M1084" s="139"/>
      <c r="N1084" s="139"/>
      <c r="O1084" s="140"/>
      <c r="P1084" s="139"/>
      <c r="Q1084" s="139"/>
      <c r="R1084" s="8"/>
    </row>
    <row r="1085" spans="1:18">
      <c r="A1085" s="8"/>
      <c r="B1085" s="8"/>
      <c r="C1085" s="43"/>
      <c r="D1085" s="138"/>
      <c r="E1085" s="138"/>
      <c r="F1085" s="139"/>
      <c r="G1085" s="139"/>
      <c r="H1085" s="139"/>
      <c r="I1085" s="139"/>
      <c r="J1085" s="139"/>
      <c r="K1085" s="139"/>
      <c r="L1085" s="139"/>
      <c r="M1085" s="139"/>
      <c r="N1085" s="139"/>
      <c r="O1085" s="140"/>
      <c r="P1085" s="139"/>
      <c r="Q1085" s="139"/>
      <c r="R1085" s="8"/>
    </row>
    <row r="1086" spans="1:18">
      <c r="A1086" s="8"/>
      <c r="B1086" s="8"/>
      <c r="C1086" s="43"/>
      <c r="D1086" s="138"/>
      <c r="E1086" s="138"/>
      <c r="F1086" s="139"/>
      <c r="G1086" s="139"/>
      <c r="H1086" s="139"/>
      <c r="I1086" s="139"/>
      <c r="J1086" s="139"/>
      <c r="K1086" s="139"/>
      <c r="L1086" s="139"/>
      <c r="M1086" s="139"/>
      <c r="N1086" s="139"/>
      <c r="O1086" s="140"/>
      <c r="P1086" s="139"/>
      <c r="Q1086" s="139"/>
      <c r="R1086" s="8"/>
    </row>
    <row r="1087" spans="1:18">
      <c r="A1087" s="8"/>
      <c r="B1087" s="8"/>
      <c r="C1087" s="43"/>
      <c r="D1087" s="138"/>
      <c r="E1087" s="138"/>
      <c r="F1087" s="139"/>
      <c r="G1087" s="139"/>
      <c r="H1087" s="139"/>
      <c r="I1087" s="139"/>
      <c r="J1087" s="139"/>
      <c r="K1087" s="139"/>
      <c r="L1087" s="139"/>
      <c r="M1087" s="139"/>
      <c r="N1087" s="139"/>
      <c r="O1087" s="140"/>
      <c r="P1087" s="139"/>
      <c r="Q1087" s="139"/>
      <c r="R1087" s="8"/>
    </row>
    <row r="1088" spans="1:18">
      <c r="A1088" s="8"/>
      <c r="B1088" s="8"/>
      <c r="C1088" s="43"/>
      <c r="D1088" s="138"/>
      <c r="E1088" s="138"/>
      <c r="F1088" s="139"/>
      <c r="G1088" s="139"/>
      <c r="H1088" s="139"/>
      <c r="I1088" s="139"/>
      <c r="J1088" s="139"/>
      <c r="K1088" s="139"/>
      <c r="L1088" s="139"/>
      <c r="M1088" s="139"/>
      <c r="N1088" s="139"/>
      <c r="O1088" s="140"/>
      <c r="P1088" s="139"/>
      <c r="Q1088" s="139"/>
      <c r="R1088" s="8"/>
    </row>
    <row r="1089" spans="1:18">
      <c r="A1089" s="8"/>
      <c r="B1089" s="8"/>
      <c r="C1089" s="43"/>
      <c r="D1089" s="138"/>
      <c r="E1089" s="138"/>
      <c r="F1089" s="139"/>
      <c r="G1089" s="139"/>
      <c r="H1089" s="139"/>
      <c r="I1089" s="139"/>
      <c r="J1089" s="139"/>
      <c r="K1089" s="139"/>
      <c r="L1089" s="139"/>
      <c r="M1089" s="139"/>
      <c r="N1089" s="139"/>
      <c r="O1089" s="140"/>
      <c r="P1089" s="139"/>
      <c r="Q1089" s="139"/>
      <c r="R1089" s="8"/>
    </row>
    <row r="1090" spans="1:18">
      <c r="A1090" s="8"/>
      <c r="B1090" s="8"/>
      <c r="C1090" s="43"/>
      <c r="D1090" s="138"/>
      <c r="E1090" s="138"/>
      <c r="F1090" s="139"/>
      <c r="G1090" s="139"/>
      <c r="H1090" s="139"/>
      <c r="I1090" s="139"/>
      <c r="J1090" s="139"/>
      <c r="K1090" s="139"/>
      <c r="L1090" s="139"/>
      <c r="M1090" s="139"/>
      <c r="N1090" s="139"/>
      <c r="O1090" s="140"/>
      <c r="P1090" s="139"/>
      <c r="Q1090" s="139"/>
      <c r="R1090" s="8"/>
    </row>
    <row r="1091" spans="1:18">
      <c r="A1091" s="8"/>
      <c r="B1091" s="8"/>
      <c r="C1091" s="43"/>
      <c r="D1091" s="138"/>
      <c r="E1091" s="138"/>
      <c r="F1091" s="139"/>
      <c r="G1091" s="139"/>
      <c r="H1091" s="139"/>
      <c r="I1091" s="139"/>
      <c r="J1091" s="139"/>
      <c r="K1091" s="139"/>
      <c r="L1091" s="139"/>
      <c r="M1091" s="139"/>
      <c r="N1091" s="139"/>
      <c r="O1091" s="140"/>
      <c r="P1091" s="139"/>
      <c r="Q1091" s="139"/>
      <c r="R1091" s="8"/>
    </row>
    <row r="1092" spans="1:18">
      <c r="A1092" s="8"/>
      <c r="B1092" s="8"/>
      <c r="C1092" s="43"/>
      <c r="D1092" s="138"/>
      <c r="E1092" s="138"/>
      <c r="F1092" s="139"/>
      <c r="G1092" s="139"/>
      <c r="H1092" s="139"/>
      <c r="I1092" s="139"/>
      <c r="J1092" s="139"/>
      <c r="K1092" s="139"/>
      <c r="L1092" s="139"/>
      <c r="M1092" s="139"/>
      <c r="N1092" s="139"/>
      <c r="O1092" s="140"/>
      <c r="P1092" s="139"/>
      <c r="Q1092" s="139"/>
      <c r="R1092" s="8"/>
    </row>
    <row r="1093" spans="1:18">
      <c r="A1093" s="8"/>
      <c r="B1093" s="8"/>
      <c r="C1093" s="43"/>
      <c r="D1093" s="138"/>
      <c r="E1093" s="138"/>
      <c r="F1093" s="139"/>
      <c r="G1093" s="139"/>
      <c r="H1093" s="139"/>
      <c r="I1093" s="139"/>
      <c r="J1093" s="139"/>
      <c r="K1093" s="139"/>
      <c r="L1093" s="139"/>
      <c r="M1093" s="139"/>
      <c r="N1093" s="139"/>
      <c r="O1093" s="140"/>
      <c r="P1093" s="139"/>
      <c r="Q1093" s="139"/>
      <c r="R1093" s="8"/>
    </row>
    <row r="1094" spans="1:18">
      <c r="A1094" s="8"/>
      <c r="B1094" s="8"/>
      <c r="C1094" s="43"/>
      <c r="D1094" s="138"/>
      <c r="E1094" s="138"/>
      <c r="F1094" s="139"/>
      <c r="G1094" s="139"/>
      <c r="H1094" s="139"/>
      <c r="I1094" s="139"/>
      <c r="J1094" s="139"/>
      <c r="K1094" s="139"/>
      <c r="L1094" s="139"/>
      <c r="M1094" s="139"/>
      <c r="N1094" s="139"/>
      <c r="O1094" s="140"/>
      <c r="P1094" s="139"/>
      <c r="Q1094" s="139"/>
      <c r="R1094" s="8"/>
    </row>
    <row r="1095" spans="1:18">
      <c r="A1095" s="8"/>
      <c r="B1095" s="8"/>
      <c r="C1095" s="43"/>
      <c r="D1095" s="138"/>
      <c r="E1095" s="138"/>
      <c r="F1095" s="139"/>
      <c r="G1095" s="139"/>
      <c r="H1095" s="139"/>
      <c r="I1095" s="139"/>
      <c r="J1095" s="139"/>
      <c r="K1095" s="139"/>
      <c r="L1095" s="139"/>
      <c r="M1095" s="139"/>
      <c r="N1095" s="139"/>
      <c r="O1095" s="140"/>
      <c r="P1095" s="139"/>
      <c r="Q1095" s="139"/>
      <c r="R1095" s="8"/>
    </row>
    <row r="1096" spans="1:18">
      <c r="A1096" s="8"/>
      <c r="B1096" s="8"/>
      <c r="C1096" s="43"/>
      <c r="D1096" s="138"/>
      <c r="E1096" s="138"/>
      <c r="F1096" s="139"/>
      <c r="G1096" s="139"/>
      <c r="H1096" s="139"/>
      <c r="I1096" s="139"/>
      <c r="J1096" s="139"/>
      <c r="K1096" s="139"/>
      <c r="L1096" s="139"/>
      <c r="M1096" s="139"/>
      <c r="N1096" s="139"/>
      <c r="O1096" s="140"/>
      <c r="P1096" s="139"/>
      <c r="Q1096" s="139"/>
      <c r="R1096" s="8"/>
    </row>
    <row r="1097" spans="1:18">
      <c r="A1097" s="8"/>
      <c r="B1097" s="8"/>
      <c r="C1097" s="43"/>
      <c r="D1097" s="138"/>
      <c r="E1097" s="138"/>
      <c r="F1097" s="139"/>
      <c r="G1097" s="139"/>
      <c r="H1097" s="139"/>
      <c r="I1097" s="139"/>
      <c r="J1097" s="139"/>
      <c r="K1097" s="139"/>
      <c r="L1097" s="139"/>
      <c r="M1097" s="139"/>
      <c r="N1097" s="139"/>
      <c r="O1097" s="140"/>
      <c r="P1097" s="139"/>
      <c r="Q1097" s="139"/>
      <c r="R1097" s="8"/>
    </row>
    <row r="1098" spans="1:18">
      <c r="A1098" s="8"/>
      <c r="B1098" s="8"/>
      <c r="C1098" s="43"/>
      <c r="D1098" s="138"/>
      <c r="E1098" s="138"/>
      <c r="F1098" s="139"/>
      <c r="G1098" s="139"/>
      <c r="H1098" s="139"/>
      <c r="I1098" s="139"/>
      <c r="J1098" s="139"/>
      <c r="K1098" s="139"/>
      <c r="L1098" s="139"/>
      <c r="M1098" s="139"/>
      <c r="N1098" s="139"/>
      <c r="O1098" s="140"/>
      <c r="P1098" s="139"/>
      <c r="Q1098" s="139"/>
      <c r="R1098" s="8"/>
    </row>
    <row r="1099" spans="1:18">
      <c r="A1099" s="8"/>
      <c r="B1099" s="8"/>
      <c r="C1099" s="43"/>
      <c r="D1099" s="138"/>
      <c r="E1099" s="138"/>
      <c r="F1099" s="139"/>
      <c r="G1099" s="139"/>
      <c r="H1099" s="139"/>
      <c r="I1099" s="139"/>
      <c r="J1099" s="139"/>
      <c r="K1099" s="139"/>
      <c r="L1099" s="139"/>
      <c r="M1099" s="139"/>
      <c r="N1099" s="139"/>
      <c r="O1099" s="140"/>
      <c r="P1099" s="139"/>
      <c r="Q1099" s="139"/>
      <c r="R1099" s="8"/>
    </row>
    <row r="1100" spans="1:18">
      <c r="A1100" s="8"/>
      <c r="B1100" s="8"/>
      <c r="C1100" s="43"/>
      <c r="D1100" s="138"/>
      <c r="E1100" s="138"/>
      <c r="F1100" s="139"/>
      <c r="G1100" s="139"/>
      <c r="H1100" s="139"/>
      <c r="I1100" s="139"/>
      <c r="J1100" s="139"/>
      <c r="K1100" s="139"/>
      <c r="L1100" s="139"/>
      <c r="M1100" s="139"/>
      <c r="N1100" s="139"/>
      <c r="O1100" s="140"/>
      <c r="P1100" s="139"/>
      <c r="Q1100" s="139"/>
      <c r="R1100" s="8"/>
    </row>
    <row r="1101" spans="1:18">
      <c r="A1101" s="8"/>
      <c r="B1101" s="8"/>
      <c r="C1101" s="43"/>
      <c r="D1101" s="138"/>
      <c r="E1101" s="138"/>
      <c r="F1101" s="139"/>
      <c r="G1101" s="139"/>
      <c r="H1101" s="139"/>
      <c r="I1101" s="139"/>
      <c r="J1101" s="139"/>
      <c r="K1101" s="139"/>
      <c r="L1101" s="139"/>
      <c r="M1101" s="139"/>
      <c r="N1101" s="139"/>
      <c r="O1101" s="140"/>
      <c r="P1101" s="139"/>
      <c r="Q1101" s="139"/>
      <c r="R1101" s="8"/>
    </row>
    <row r="1102" spans="1:18">
      <c r="A1102" s="8"/>
      <c r="B1102" s="8"/>
      <c r="C1102" s="43"/>
      <c r="D1102" s="138"/>
      <c r="E1102" s="138"/>
      <c r="F1102" s="139"/>
      <c r="G1102" s="139"/>
      <c r="H1102" s="139"/>
      <c r="I1102" s="139"/>
      <c r="J1102" s="139"/>
      <c r="K1102" s="139"/>
      <c r="L1102" s="139"/>
      <c r="M1102" s="139"/>
      <c r="N1102" s="139"/>
      <c r="O1102" s="140"/>
      <c r="P1102" s="139"/>
      <c r="Q1102" s="139"/>
      <c r="R1102" s="8"/>
    </row>
    <row r="1103" spans="1:18">
      <c r="A1103" s="8"/>
      <c r="B1103" s="8"/>
      <c r="C1103" s="43"/>
      <c r="D1103" s="138"/>
      <c r="E1103" s="138"/>
      <c r="F1103" s="139"/>
      <c r="G1103" s="139"/>
      <c r="H1103" s="139"/>
      <c r="I1103" s="139"/>
      <c r="J1103" s="139"/>
      <c r="K1103" s="139"/>
      <c r="L1103" s="139"/>
      <c r="M1103" s="139"/>
      <c r="N1103" s="139"/>
      <c r="O1103" s="140"/>
      <c r="P1103" s="139"/>
      <c r="Q1103" s="139"/>
      <c r="R1103" s="8"/>
    </row>
    <row r="1104" spans="1:18">
      <c r="A1104" s="8"/>
      <c r="B1104" s="8"/>
      <c r="C1104" s="43"/>
      <c r="D1104" s="138"/>
      <c r="E1104" s="138"/>
      <c r="F1104" s="139"/>
      <c r="G1104" s="139"/>
      <c r="H1104" s="139"/>
      <c r="I1104" s="139"/>
      <c r="J1104" s="139"/>
      <c r="K1104" s="139"/>
      <c r="L1104" s="139"/>
      <c r="M1104" s="139"/>
      <c r="N1104" s="139"/>
      <c r="O1104" s="140"/>
      <c r="P1104" s="139"/>
      <c r="Q1104" s="139"/>
      <c r="R1104" s="8"/>
    </row>
    <row r="1105" spans="1:18">
      <c r="A1105" s="8"/>
      <c r="B1105" s="8"/>
      <c r="C1105" s="43"/>
      <c r="D1105" s="138"/>
      <c r="E1105" s="138"/>
      <c r="F1105" s="139"/>
      <c r="G1105" s="139"/>
      <c r="H1105" s="139"/>
      <c r="I1105" s="139"/>
      <c r="J1105" s="139"/>
      <c r="K1105" s="139"/>
      <c r="L1105" s="139"/>
      <c r="M1105" s="139"/>
      <c r="N1105" s="139"/>
      <c r="O1105" s="140"/>
      <c r="P1105" s="139"/>
      <c r="Q1105" s="139"/>
      <c r="R1105" s="8"/>
    </row>
    <row r="1106" spans="1:18">
      <c r="A1106" s="8"/>
      <c r="B1106" s="8"/>
      <c r="C1106" s="43"/>
      <c r="D1106" s="138"/>
      <c r="E1106" s="138"/>
      <c r="F1106" s="139"/>
      <c r="G1106" s="139"/>
      <c r="H1106" s="139"/>
      <c r="I1106" s="139"/>
      <c r="J1106" s="139"/>
      <c r="K1106" s="139"/>
      <c r="L1106" s="139"/>
      <c r="M1106" s="139"/>
      <c r="N1106" s="139"/>
      <c r="O1106" s="140"/>
      <c r="P1106" s="139"/>
      <c r="Q1106" s="139"/>
      <c r="R1106" s="8"/>
    </row>
    <row r="1107" spans="1:18">
      <c r="A1107" s="8"/>
      <c r="B1107" s="8"/>
      <c r="C1107" s="43"/>
      <c r="D1107" s="138"/>
      <c r="E1107" s="138"/>
      <c r="F1107" s="139"/>
      <c r="G1107" s="139"/>
      <c r="H1107" s="139"/>
      <c r="I1107" s="139"/>
      <c r="J1107" s="139"/>
      <c r="K1107" s="139"/>
      <c r="L1107" s="139"/>
      <c r="M1107" s="139"/>
      <c r="N1107" s="139"/>
      <c r="O1107" s="140"/>
      <c r="P1107" s="139"/>
      <c r="Q1107" s="139"/>
      <c r="R1107" s="8"/>
    </row>
    <row r="1108" spans="1:18">
      <c r="A1108" s="8"/>
      <c r="B1108" s="8"/>
      <c r="C1108" s="43"/>
      <c r="D1108" s="138"/>
      <c r="E1108" s="138"/>
      <c r="F1108" s="139"/>
      <c r="G1108" s="139"/>
      <c r="H1108" s="139"/>
      <c r="I1108" s="139"/>
      <c r="J1108" s="139"/>
      <c r="K1108" s="139"/>
      <c r="L1108" s="139"/>
      <c r="M1108" s="139"/>
      <c r="N1108" s="139"/>
      <c r="O1108" s="140"/>
      <c r="P1108" s="139"/>
      <c r="Q1108" s="139"/>
      <c r="R1108" s="8"/>
    </row>
    <row r="1109" spans="1:18">
      <c r="A1109" s="8"/>
      <c r="B1109" s="8"/>
      <c r="C1109" s="43"/>
      <c r="D1109" s="138"/>
      <c r="E1109" s="138"/>
      <c r="F1109" s="139"/>
      <c r="G1109" s="139"/>
      <c r="H1109" s="139"/>
      <c r="I1109" s="139"/>
      <c r="J1109" s="139"/>
      <c r="K1109" s="139"/>
      <c r="L1109" s="139"/>
      <c r="M1109" s="139"/>
      <c r="N1109" s="139"/>
      <c r="O1109" s="140"/>
      <c r="P1109" s="139"/>
      <c r="Q1109" s="139"/>
      <c r="R1109" s="8"/>
    </row>
    <row r="1110" spans="1:18">
      <c r="A1110" s="8"/>
      <c r="B1110" s="8"/>
      <c r="C1110" s="43"/>
      <c r="D1110" s="138"/>
      <c r="E1110" s="138"/>
      <c r="F1110" s="139"/>
      <c r="G1110" s="139"/>
      <c r="H1110" s="139"/>
      <c r="I1110" s="139"/>
      <c r="J1110" s="139"/>
      <c r="K1110" s="139"/>
      <c r="L1110" s="139"/>
      <c r="M1110" s="139"/>
      <c r="N1110" s="139"/>
      <c r="O1110" s="140"/>
      <c r="P1110" s="139"/>
      <c r="Q1110" s="139"/>
      <c r="R1110" s="8"/>
    </row>
    <row r="1111" spans="1:18">
      <c r="A1111" s="8"/>
      <c r="B1111" s="8"/>
      <c r="C1111" s="43"/>
      <c r="D1111" s="138"/>
      <c r="E1111" s="138"/>
      <c r="F1111" s="139"/>
      <c r="G1111" s="139"/>
      <c r="H1111" s="139"/>
      <c r="I1111" s="139"/>
      <c r="J1111" s="139"/>
      <c r="K1111" s="139"/>
      <c r="L1111" s="139"/>
      <c r="M1111" s="139"/>
      <c r="N1111" s="139"/>
      <c r="O1111" s="140"/>
      <c r="P1111" s="139"/>
      <c r="Q1111" s="139"/>
      <c r="R1111" s="8"/>
    </row>
    <row r="1112" spans="1:18">
      <c r="A1112" s="8"/>
      <c r="B1112" s="8"/>
      <c r="C1112" s="43"/>
      <c r="D1112" s="138"/>
      <c r="E1112" s="138"/>
      <c r="F1112" s="139"/>
      <c r="G1112" s="139"/>
      <c r="H1112" s="139"/>
      <c r="I1112" s="139"/>
      <c r="J1112" s="139"/>
      <c r="K1112" s="139"/>
      <c r="L1112" s="139"/>
      <c r="M1112" s="139"/>
      <c r="N1112" s="139"/>
      <c r="O1112" s="140"/>
      <c r="P1112" s="139"/>
      <c r="Q1112" s="139"/>
      <c r="R1112" s="8"/>
    </row>
    <row r="1113" spans="1:18">
      <c r="A1113" s="8"/>
      <c r="B1113" s="8"/>
      <c r="C1113" s="43"/>
      <c r="D1113" s="138"/>
      <c r="E1113" s="138"/>
      <c r="F1113" s="139"/>
      <c r="G1113" s="139"/>
      <c r="H1113" s="139"/>
      <c r="I1113" s="139"/>
      <c r="J1113" s="139"/>
      <c r="K1113" s="139"/>
      <c r="L1113" s="139"/>
      <c r="M1113" s="139"/>
      <c r="N1113" s="139"/>
      <c r="O1113" s="140"/>
      <c r="P1113" s="139"/>
      <c r="Q1113" s="139"/>
      <c r="R1113" s="8"/>
    </row>
    <row r="1114" spans="1:18">
      <c r="A1114" s="8"/>
      <c r="B1114" s="8"/>
      <c r="C1114" s="43"/>
      <c r="D1114" s="138"/>
      <c r="E1114" s="138"/>
      <c r="F1114" s="139"/>
      <c r="G1114" s="139"/>
      <c r="H1114" s="139"/>
      <c r="I1114" s="139"/>
      <c r="J1114" s="139"/>
      <c r="K1114" s="139"/>
      <c r="L1114" s="139"/>
      <c r="M1114" s="139"/>
      <c r="N1114" s="139"/>
      <c r="O1114" s="140"/>
      <c r="P1114" s="139"/>
      <c r="Q1114" s="139"/>
      <c r="R1114" s="8"/>
    </row>
    <row r="1115" spans="1:18">
      <c r="A1115" s="8"/>
      <c r="B1115" s="8"/>
      <c r="C1115" s="43"/>
      <c r="D1115" s="138"/>
      <c r="E1115" s="138"/>
      <c r="F1115" s="139"/>
      <c r="G1115" s="139"/>
      <c r="H1115" s="139"/>
      <c r="I1115" s="139"/>
      <c r="J1115" s="139"/>
      <c r="K1115" s="139"/>
      <c r="L1115" s="139"/>
      <c r="M1115" s="139"/>
      <c r="N1115" s="139"/>
      <c r="O1115" s="140"/>
      <c r="P1115" s="139"/>
      <c r="Q1115" s="139"/>
      <c r="R1115" s="8"/>
    </row>
    <row r="1116" spans="1:18">
      <c r="A1116" s="8"/>
      <c r="B1116" s="8"/>
      <c r="C1116" s="43"/>
      <c r="D1116" s="138"/>
      <c r="E1116" s="138"/>
      <c r="F1116" s="139"/>
      <c r="G1116" s="139"/>
      <c r="H1116" s="139"/>
      <c r="I1116" s="139"/>
      <c r="J1116" s="139"/>
      <c r="K1116" s="139"/>
      <c r="L1116" s="139"/>
      <c r="M1116" s="139"/>
      <c r="N1116" s="139"/>
      <c r="O1116" s="140"/>
      <c r="P1116" s="139"/>
      <c r="Q1116" s="139"/>
      <c r="R1116" s="8"/>
    </row>
    <row r="1117" spans="1:18">
      <c r="A1117" s="8"/>
      <c r="B1117" s="8"/>
      <c r="C1117" s="43"/>
      <c r="D1117" s="138"/>
      <c r="E1117" s="138"/>
      <c r="F1117" s="139"/>
      <c r="G1117" s="139"/>
      <c r="H1117" s="139"/>
      <c r="I1117" s="139"/>
      <c r="J1117" s="139"/>
      <c r="K1117" s="139"/>
      <c r="L1117" s="139"/>
      <c r="M1117" s="139"/>
      <c r="N1117" s="139"/>
      <c r="O1117" s="140"/>
      <c r="P1117" s="139"/>
      <c r="Q1117" s="139"/>
      <c r="R1117" s="8"/>
    </row>
    <row r="1118" spans="1:18">
      <c r="A1118" s="8"/>
      <c r="B1118" s="8"/>
      <c r="C1118" s="43"/>
      <c r="D1118" s="138"/>
      <c r="E1118" s="138"/>
      <c r="F1118" s="139"/>
      <c r="G1118" s="139"/>
      <c r="H1118" s="139"/>
      <c r="I1118" s="139"/>
      <c r="J1118" s="139"/>
      <c r="K1118" s="139"/>
      <c r="L1118" s="139"/>
      <c r="M1118" s="139"/>
      <c r="N1118" s="139"/>
      <c r="O1118" s="140"/>
      <c r="P1118" s="139"/>
      <c r="Q1118" s="139"/>
      <c r="R1118" s="8"/>
    </row>
    <row r="1119" spans="1:18">
      <c r="A1119" s="8"/>
      <c r="B1119" s="8"/>
      <c r="C1119" s="43"/>
      <c r="D1119" s="138"/>
      <c r="E1119" s="138"/>
      <c r="F1119" s="139"/>
      <c r="G1119" s="139"/>
      <c r="H1119" s="139"/>
      <c r="I1119" s="139"/>
      <c r="J1119" s="139"/>
      <c r="K1119" s="139"/>
      <c r="L1119" s="139"/>
      <c r="M1119" s="139"/>
      <c r="N1119" s="139"/>
      <c r="O1119" s="140"/>
      <c r="P1119" s="139"/>
      <c r="Q1119" s="139"/>
      <c r="R1119" s="8"/>
    </row>
    <row r="1120" spans="1:18">
      <c r="A1120" s="8"/>
      <c r="B1120" s="8"/>
      <c r="C1120" s="43"/>
      <c r="D1120" s="138"/>
      <c r="E1120" s="138"/>
      <c r="F1120" s="139"/>
      <c r="G1120" s="139"/>
      <c r="H1120" s="139"/>
      <c r="I1120" s="139"/>
      <c r="J1120" s="139"/>
      <c r="K1120" s="139"/>
      <c r="L1120" s="139"/>
      <c r="M1120" s="139"/>
      <c r="N1120" s="139"/>
      <c r="O1120" s="140"/>
      <c r="P1120" s="139"/>
      <c r="Q1120" s="139"/>
      <c r="R1120" s="8"/>
    </row>
    <row r="1121" spans="1:18">
      <c r="A1121" s="8"/>
      <c r="B1121" s="8"/>
      <c r="C1121" s="43"/>
      <c r="D1121" s="138"/>
      <c r="E1121" s="138"/>
      <c r="F1121" s="139"/>
      <c r="G1121" s="139"/>
      <c r="H1121" s="139"/>
      <c r="I1121" s="139"/>
      <c r="J1121" s="139"/>
      <c r="K1121" s="139"/>
      <c r="L1121" s="139"/>
      <c r="M1121" s="139"/>
      <c r="N1121" s="139"/>
      <c r="O1121" s="140"/>
      <c r="P1121" s="139"/>
      <c r="Q1121" s="139"/>
      <c r="R1121" s="8"/>
    </row>
    <row r="1122" spans="1:18">
      <c r="A1122" s="8"/>
      <c r="B1122" s="8"/>
      <c r="C1122" s="43"/>
      <c r="D1122" s="138"/>
      <c r="E1122" s="138"/>
      <c r="F1122" s="139"/>
      <c r="G1122" s="139"/>
      <c r="H1122" s="139"/>
      <c r="I1122" s="139"/>
      <c r="J1122" s="139"/>
      <c r="K1122" s="139"/>
      <c r="L1122" s="139"/>
      <c r="M1122" s="139"/>
      <c r="N1122" s="139"/>
      <c r="O1122" s="140"/>
      <c r="P1122" s="139"/>
      <c r="Q1122" s="139"/>
      <c r="R1122" s="8"/>
    </row>
    <row r="1123" spans="1:18">
      <c r="A1123" s="8"/>
      <c r="B1123" s="8"/>
      <c r="C1123" s="43"/>
      <c r="D1123" s="138"/>
      <c r="E1123" s="138"/>
      <c r="F1123" s="139"/>
      <c r="G1123" s="139"/>
      <c r="H1123" s="139"/>
      <c r="I1123" s="139"/>
      <c r="J1123" s="139"/>
      <c r="K1123" s="139"/>
      <c r="L1123" s="139"/>
      <c r="M1123" s="139"/>
      <c r="N1123" s="139"/>
      <c r="O1123" s="140"/>
      <c r="P1123" s="139"/>
      <c r="Q1123" s="139"/>
      <c r="R1123" s="8"/>
    </row>
    <row r="1124" spans="1:18">
      <c r="A1124" s="8"/>
      <c r="B1124" s="8"/>
      <c r="C1124" s="43"/>
      <c r="D1124" s="138"/>
      <c r="E1124" s="138"/>
      <c r="F1124" s="139"/>
      <c r="G1124" s="139"/>
      <c r="H1124" s="139"/>
      <c r="I1124" s="139"/>
      <c r="J1124" s="139"/>
      <c r="K1124" s="139"/>
      <c r="L1124" s="139"/>
      <c r="M1124" s="139"/>
      <c r="N1124" s="139"/>
      <c r="O1124" s="140"/>
      <c r="P1124" s="139"/>
      <c r="Q1124" s="139"/>
      <c r="R1124" s="8"/>
    </row>
    <row r="1125" spans="1:18">
      <c r="A1125" s="8"/>
      <c r="B1125" s="8"/>
      <c r="C1125" s="43"/>
      <c r="D1125" s="138"/>
      <c r="E1125" s="138"/>
      <c r="F1125" s="139"/>
      <c r="G1125" s="139"/>
      <c r="H1125" s="139"/>
      <c r="I1125" s="139"/>
      <c r="J1125" s="139"/>
      <c r="K1125" s="139"/>
      <c r="L1125" s="139"/>
      <c r="M1125" s="139"/>
      <c r="N1125" s="139"/>
      <c r="O1125" s="140"/>
      <c r="P1125" s="139"/>
      <c r="Q1125" s="139"/>
      <c r="R1125" s="8"/>
    </row>
    <row r="1126" spans="1:18">
      <c r="A1126" s="8"/>
      <c r="B1126" s="8"/>
      <c r="C1126" s="43"/>
      <c r="D1126" s="138"/>
      <c r="E1126" s="138"/>
      <c r="F1126" s="139"/>
      <c r="G1126" s="139"/>
      <c r="H1126" s="139"/>
      <c r="I1126" s="139"/>
      <c r="J1126" s="139"/>
      <c r="K1126" s="139"/>
      <c r="L1126" s="139"/>
      <c r="M1126" s="139"/>
      <c r="N1126" s="139"/>
      <c r="O1126" s="140"/>
      <c r="P1126" s="139"/>
      <c r="Q1126" s="139"/>
      <c r="R1126" s="8"/>
    </row>
    <row r="1127" spans="1:18">
      <c r="A1127" s="8"/>
      <c r="B1127" s="8"/>
      <c r="C1127" s="43"/>
      <c r="D1127" s="138"/>
      <c r="E1127" s="138"/>
      <c r="F1127" s="139"/>
      <c r="G1127" s="139"/>
      <c r="H1127" s="139"/>
      <c r="I1127" s="139"/>
      <c r="J1127" s="139"/>
      <c r="K1127" s="139"/>
      <c r="L1127" s="139"/>
      <c r="M1127" s="139"/>
      <c r="N1127" s="139"/>
      <c r="O1127" s="140"/>
      <c r="P1127" s="139"/>
      <c r="Q1127" s="139"/>
      <c r="R1127" s="8"/>
    </row>
    <row r="1128" spans="1:18">
      <c r="A1128" s="8"/>
      <c r="B1128" s="8"/>
      <c r="C1128" s="43"/>
      <c r="D1128" s="138"/>
      <c r="E1128" s="138"/>
      <c r="F1128" s="139"/>
      <c r="G1128" s="139"/>
      <c r="H1128" s="139"/>
      <c r="I1128" s="139"/>
      <c r="J1128" s="139"/>
      <c r="K1128" s="139"/>
      <c r="L1128" s="139"/>
      <c r="M1128" s="139"/>
      <c r="N1128" s="139"/>
      <c r="O1128" s="140"/>
      <c r="P1128" s="139"/>
      <c r="Q1128" s="139"/>
      <c r="R1128" s="8"/>
    </row>
    <row r="1129" spans="1:18">
      <c r="A1129" s="8"/>
      <c r="B1129" s="8"/>
      <c r="C1129" s="43"/>
      <c r="D1129" s="138"/>
      <c r="E1129" s="138"/>
      <c r="F1129" s="139"/>
      <c r="G1129" s="139"/>
      <c r="H1129" s="139"/>
      <c r="I1129" s="139"/>
      <c r="J1129" s="139"/>
      <c r="K1129" s="139"/>
      <c r="L1129" s="139"/>
      <c r="M1129" s="139"/>
      <c r="N1129" s="139"/>
      <c r="O1129" s="140"/>
      <c r="P1129" s="139"/>
      <c r="Q1129" s="139"/>
      <c r="R1129" s="8"/>
    </row>
    <row r="1130" spans="1:18">
      <c r="A1130" s="8"/>
      <c r="B1130" s="8"/>
      <c r="C1130" s="43"/>
      <c r="D1130" s="138"/>
      <c r="E1130" s="138"/>
      <c r="F1130" s="139"/>
      <c r="G1130" s="139"/>
      <c r="H1130" s="139"/>
      <c r="I1130" s="139"/>
      <c r="J1130" s="139"/>
      <c r="K1130" s="139"/>
      <c r="L1130" s="139"/>
      <c r="M1130" s="139"/>
      <c r="N1130" s="139"/>
      <c r="O1130" s="140"/>
      <c r="P1130" s="139"/>
      <c r="Q1130" s="139"/>
      <c r="R1130" s="8"/>
    </row>
    <row r="1131" spans="1:18">
      <c r="A1131" s="8"/>
      <c r="B1131" s="8"/>
      <c r="C1131" s="43"/>
      <c r="D1131" s="138"/>
      <c r="E1131" s="138"/>
      <c r="F1131" s="139"/>
      <c r="G1131" s="139"/>
      <c r="H1131" s="139"/>
      <c r="I1131" s="139"/>
      <c r="J1131" s="139"/>
      <c r="K1131" s="139"/>
      <c r="L1131" s="139"/>
      <c r="M1131" s="139"/>
      <c r="N1131" s="139"/>
      <c r="O1131" s="140"/>
      <c r="P1131" s="139"/>
      <c r="Q1131" s="139"/>
      <c r="R1131" s="8"/>
    </row>
    <row r="1132" spans="1:18">
      <c r="A1132" s="8"/>
      <c r="B1132" s="8"/>
      <c r="C1132" s="43"/>
      <c r="D1132" s="138"/>
      <c r="E1132" s="138"/>
      <c r="F1132" s="139"/>
      <c r="G1132" s="139"/>
      <c r="H1132" s="139"/>
      <c r="I1132" s="139"/>
      <c r="J1132" s="139"/>
      <c r="K1132" s="139"/>
      <c r="L1132" s="139"/>
      <c r="M1132" s="139"/>
      <c r="N1132" s="139"/>
      <c r="O1132" s="140"/>
      <c r="P1132" s="139"/>
      <c r="Q1132" s="139"/>
      <c r="R1132" s="8"/>
    </row>
    <row r="1133" spans="1:18">
      <c r="A1133" s="8"/>
      <c r="B1133" s="8"/>
      <c r="C1133" s="43"/>
      <c r="D1133" s="138"/>
      <c r="E1133" s="138"/>
      <c r="F1133" s="139"/>
      <c r="G1133" s="139"/>
      <c r="H1133" s="139"/>
      <c r="I1133" s="139"/>
      <c r="J1133" s="139"/>
      <c r="K1133" s="139"/>
      <c r="L1133" s="139"/>
      <c r="M1133" s="139"/>
      <c r="N1133" s="139"/>
      <c r="O1133" s="140"/>
      <c r="P1133" s="139"/>
      <c r="Q1133" s="139"/>
      <c r="R1133" s="8"/>
    </row>
    <row r="1134" spans="1:18">
      <c r="A1134" s="8"/>
      <c r="B1134" s="8"/>
      <c r="C1134" s="43"/>
      <c r="D1134" s="138"/>
      <c r="E1134" s="138"/>
      <c r="F1134" s="139"/>
      <c r="G1134" s="139"/>
      <c r="H1134" s="139"/>
      <c r="I1134" s="139"/>
      <c r="J1134" s="139"/>
      <c r="K1134" s="139"/>
      <c r="L1134" s="139"/>
      <c r="M1134" s="139"/>
      <c r="N1134" s="139"/>
      <c r="O1134" s="140"/>
      <c r="P1134" s="139"/>
      <c r="Q1134" s="139"/>
      <c r="R1134" s="8"/>
    </row>
    <row r="1135" spans="1:18">
      <c r="A1135" s="8"/>
      <c r="B1135" s="8"/>
      <c r="C1135" s="43"/>
      <c r="D1135" s="138"/>
      <c r="E1135" s="138"/>
      <c r="F1135" s="139"/>
      <c r="G1135" s="139"/>
      <c r="H1135" s="139"/>
      <c r="I1135" s="139"/>
      <c r="J1135" s="139"/>
      <c r="K1135" s="139"/>
      <c r="L1135" s="139"/>
      <c r="M1135" s="139"/>
      <c r="N1135" s="139"/>
      <c r="O1135" s="140"/>
      <c r="P1135" s="139"/>
      <c r="Q1135" s="139"/>
      <c r="R1135" s="8"/>
    </row>
    <row r="1136" spans="1:18">
      <c r="A1136" s="8"/>
      <c r="B1136" s="8"/>
      <c r="C1136" s="43"/>
      <c r="D1136" s="138"/>
      <c r="E1136" s="138"/>
      <c r="F1136" s="139"/>
      <c r="G1136" s="139"/>
      <c r="H1136" s="139"/>
      <c r="I1136" s="139"/>
      <c r="J1136" s="139"/>
      <c r="K1136" s="139"/>
      <c r="L1136" s="139"/>
      <c r="M1136" s="139"/>
      <c r="N1136" s="139"/>
      <c r="O1136" s="140"/>
      <c r="P1136" s="139"/>
      <c r="Q1136" s="139"/>
      <c r="R1136" s="8"/>
    </row>
    <row r="1137" spans="1:18">
      <c r="A1137" s="8"/>
      <c r="B1137" s="8"/>
      <c r="C1137" s="43"/>
      <c r="D1137" s="138"/>
      <c r="E1137" s="138"/>
      <c r="F1137" s="139"/>
      <c r="G1137" s="139"/>
      <c r="H1137" s="139"/>
      <c r="I1137" s="139"/>
      <c r="J1137" s="139"/>
      <c r="K1137" s="139"/>
      <c r="L1137" s="139"/>
      <c r="M1137" s="139"/>
      <c r="N1137" s="139"/>
      <c r="O1137" s="140"/>
      <c r="P1137" s="139"/>
      <c r="Q1137" s="139"/>
      <c r="R1137" s="8"/>
    </row>
    <row r="1138" spans="1:18">
      <c r="A1138" s="8"/>
      <c r="B1138" s="8"/>
      <c r="C1138" s="43"/>
      <c r="D1138" s="138"/>
      <c r="E1138" s="138"/>
      <c r="F1138" s="139"/>
      <c r="G1138" s="139"/>
      <c r="H1138" s="139"/>
      <c r="I1138" s="139"/>
      <c r="J1138" s="139"/>
      <c r="K1138" s="139"/>
      <c r="L1138" s="139"/>
      <c r="M1138" s="139"/>
      <c r="N1138" s="139"/>
      <c r="O1138" s="140"/>
      <c r="P1138" s="139"/>
      <c r="Q1138" s="139"/>
      <c r="R1138" s="8"/>
    </row>
    <row r="1139" spans="1:18">
      <c r="A1139" s="8"/>
      <c r="B1139" s="8"/>
      <c r="C1139" s="43"/>
      <c r="D1139" s="138"/>
      <c r="E1139" s="138"/>
      <c r="F1139" s="139"/>
      <c r="G1139" s="139"/>
      <c r="H1139" s="139"/>
      <c r="I1139" s="139"/>
      <c r="J1139" s="139"/>
      <c r="K1139" s="139"/>
      <c r="L1139" s="139"/>
      <c r="M1139" s="139"/>
      <c r="N1139" s="139"/>
      <c r="O1139" s="140"/>
      <c r="P1139" s="139"/>
      <c r="Q1139" s="139"/>
      <c r="R1139" s="8"/>
    </row>
    <row r="1140" spans="1:18">
      <c r="A1140" s="8"/>
      <c r="B1140" s="8"/>
      <c r="C1140" s="43"/>
      <c r="D1140" s="138"/>
      <c r="E1140" s="138"/>
      <c r="F1140" s="139"/>
      <c r="G1140" s="139"/>
      <c r="H1140" s="139"/>
      <c r="I1140" s="139"/>
      <c r="J1140" s="139"/>
      <c r="K1140" s="139"/>
      <c r="L1140" s="139"/>
      <c r="M1140" s="139"/>
      <c r="N1140" s="139"/>
      <c r="O1140" s="140"/>
      <c r="P1140" s="139"/>
      <c r="Q1140" s="139"/>
      <c r="R1140" s="8"/>
    </row>
    <row r="1141" spans="1:18">
      <c r="A1141" s="8"/>
      <c r="B1141" s="8"/>
      <c r="C1141" s="43"/>
      <c r="D1141" s="138"/>
      <c r="E1141" s="138"/>
      <c r="F1141" s="139"/>
      <c r="G1141" s="139"/>
      <c r="H1141" s="139"/>
      <c r="I1141" s="139"/>
      <c r="J1141" s="139"/>
      <c r="K1141" s="139"/>
      <c r="L1141" s="139"/>
      <c r="M1141" s="139"/>
      <c r="N1141" s="139"/>
      <c r="O1141" s="140"/>
      <c r="P1141" s="139"/>
      <c r="Q1141" s="139"/>
      <c r="R1141" s="8"/>
    </row>
    <row r="1142" spans="1:18">
      <c r="A1142" s="8"/>
      <c r="B1142" s="8"/>
      <c r="C1142" s="43"/>
      <c r="D1142" s="138"/>
      <c r="E1142" s="138"/>
      <c r="F1142" s="139"/>
      <c r="G1142" s="139"/>
      <c r="H1142" s="139"/>
      <c r="I1142" s="139"/>
      <c r="J1142" s="139"/>
      <c r="K1142" s="139"/>
      <c r="L1142" s="139"/>
      <c r="M1142" s="139"/>
      <c r="N1142" s="139"/>
      <c r="O1142" s="140"/>
      <c r="P1142" s="139"/>
      <c r="Q1142" s="139"/>
      <c r="R1142" s="8"/>
    </row>
    <row r="1143" spans="1:18">
      <c r="A1143" s="8"/>
      <c r="B1143" s="8"/>
      <c r="C1143" s="43"/>
      <c r="D1143" s="138"/>
      <c r="E1143" s="138"/>
      <c r="F1143" s="139"/>
      <c r="G1143" s="139"/>
      <c r="H1143" s="139"/>
      <c r="I1143" s="139"/>
      <c r="J1143" s="139"/>
      <c r="K1143" s="139"/>
      <c r="L1143" s="139"/>
      <c r="M1143" s="139"/>
      <c r="N1143" s="139"/>
      <c r="O1143" s="140"/>
      <c r="P1143" s="139"/>
      <c r="Q1143" s="139"/>
      <c r="R1143" s="8"/>
    </row>
    <row r="1144" spans="1:18">
      <c r="A1144" s="8"/>
      <c r="B1144" s="8"/>
      <c r="C1144" s="43"/>
      <c r="D1144" s="138"/>
      <c r="E1144" s="138"/>
      <c r="F1144" s="139"/>
      <c r="G1144" s="139"/>
      <c r="H1144" s="139"/>
      <c r="I1144" s="139"/>
      <c r="J1144" s="139"/>
      <c r="K1144" s="139"/>
      <c r="L1144" s="139"/>
      <c r="M1144" s="139"/>
      <c r="N1144" s="139"/>
      <c r="O1144" s="140"/>
      <c r="P1144" s="139"/>
      <c r="Q1144" s="139"/>
      <c r="R1144" s="8"/>
    </row>
    <row r="1145" spans="1:18">
      <c r="A1145" s="8"/>
      <c r="B1145" s="8"/>
      <c r="C1145" s="43"/>
      <c r="D1145" s="138"/>
      <c r="E1145" s="138"/>
      <c r="F1145" s="139"/>
      <c r="G1145" s="139"/>
      <c r="H1145" s="139"/>
      <c r="I1145" s="139"/>
      <c r="J1145" s="139"/>
      <c r="K1145" s="139"/>
      <c r="L1145" s="139"/>
      <c r="M1145" s="139"/>
      <c r="N1145" s="139"/>
      <c r="O1145" s="140"/>
      <c r="P1145" s="139"/>
      <c r="Q1145" s="139"/>
      <c r="R1145" s="8"/>
    </row>
    <row r="1146" spans="1:18">
      <c r="A1146" s="8"/>
      <c r="B1146" s="8"/>
      <c r="C1146" s="43"/>
      <c r="D1146" s="138"/>
      <c r="E1146" s="138"/>
      <c r="F1146" s="139"/>
      <c r="G1146" s="139"/>
      <c r="H1146" s="139"/>
      <c r="I1146" s="139"/>
      <c r="J1146" s="139"/>
      <c r="K1146" s="139"/>
      <c r="L1146" s="139"/>
      <c r="M1146" s="139"/>
      <c r="N1146" s="139"/>
      <c r="O1146" s="140"/>
      <c r="P1146" s="139"/>
      <c r="Q1146" s="139"/>
      <c r="R1146" s="8"/>
    </row>
    <row r="1147" spans="1:18">
      <c r="A1147" s="8"/>
      <c r="B1147" s="8"/>
      <c r="C1147" s="43"/>
      <c r="D1147" s="138"/>
      <c r="E1147" s="138"/>
      <c r="F1147" s="139"/>
      <c r="G1147" s="139"/>
      <c r="H1147" s="139"/>
      <c r="I1147" s="139"/>
      <c r="J1147" s="139"/>
      <c r="K1147" s="139"/>
      <c r="L1147" s="139"/>
      <c r="M1147" s="139"/>
      <c r="N1147" s="139"/>
      <c r="O1147" s="140"/>
      <c r="P1147" s="139"/>
      <c r="Q1147" s="139"/>
      <c r="R1147" s="8"/>
    </row>
    <row r="1148" spans="1:18">
      <c r="A1148" s="8"/>
      <c r="B1148" s="8"/>
      <c r="C1148" s="43"/>
      <c r="D1148" s="138"/>
      <c r="E1148" s="138"/>
      <c r="F1148" s="139"/>
      <c r="G1148" s="139"/>
      <c r="H1148" s="139"/>
      <c r="I1148" s="139"/>
      <c r="J1148" s="139"/>
      <c r="K1148" s="139"/>
      <c r="L1148" s="139"/>
      <c r="M1148" s="139"/>
      <c r="N1148" s="139"/>
      <c r="O1148" s="140"/>
      <c r="P1148" s="139"/>
      <c r="Q1148" s="139"/>
      <c r="R1148" s="8"/>
    </row>
    <row r="1149" spans="1:18">
      <c r="A1149" s="8"/>
      <c r="B1149" s="8"/>
      <c r="C1149" s="43"/>
      <c r="D1149" s="138"/>
      <c r="E1149" s="138"/>
      <c r="F1149" s="139"/>
      <c r="G1149" s="139"/>
      <c r="H1149" s="139"/>
      <c r="I1149" s="139"/>
      <c r="J1149" s="139"/>
      <c r="K1149" s="139"/>
      <c r="L1149" s="139"/>
      <c r="M1149" s="139"/>
      <c r="N1149" s="139"/>
      <c r="O1149" s="140"/>
      <c r="P1149" s="139"/>
      <c r="Q1149" s="139"/>
      <c r="R1149" s="8"/>
    </row>
    <row r="1150" spans="1:18">
      <c r="A1150" s="8"/>
      <c r="B1150" s="8"/>
      <c r="C1150" s="43"/>
      <c r="D1150" s="138"/>
      <c r="E1150" s="138"/>
      <c r="F1150" s="139"/>
      <c r="G1150" s="139"/>
      <c r="H1150" s="139"/>
      <c r="I1150" s="139"/>
      <c r="J1150" s="139"/>
      <c r="K1150" s="139"/>
      <c r="L1150" s="139"/>
      <c r="M1150" s="139"/>
      <c r="N1150" s="139"/>
      <c r="O1150" s="140"/>
      <c r="P1150" s="139"/>
      <c r="Q1150" s="139"/>
      <c r="R1150" s="8"/>
    </row>
    <row r="1151" spans="1:18">
      <c r="A1151" s="8"/>
      <c r="B1151" s="8"/>
      <c r="C1151" s="43"/>
      <c r="D1151" s="138"/>
      <c r="E1151" s="138"/>
      <c r="F1151" s="139"/>
      <c r="G1151" s="139"/>
      <c r="H1151" s="139"/>
      <c r="I1151" s="139"/>
      <c r="J1151" s="139"/>
      <c r="K1151" s="139"/>
      <c r="L1151" s="139"/>
      <c r="M1151" s="139"/>
      <c r="N1151" s="139"/>
      <c r="O1151" s="140"/>
      <c r="P1151" s="139"/>
      <c r="Q1151" s="139"/>
      <c r="R1151" s="8"/>
    </row>
    <row r="1152" spans="1:18">
      <c r="A1152" s="8"/>
      <c r="B1152" s="8"/>
      <c r="C1152" s="43"/>
      <c r="D1152" s="138"/>
      <c r="E1152" s="138"/>
      <c r="F1152" s="139"/>
      <c r="G1152" s="139"/>
      <c r="H1152" s="139"/>
      <c r="I1152" s="139"/>
      <c r="J1152" s="139"/>
      <c r="K1152" s="139"/>
      <c r="L1152" s="139"/>
      <c r="M1152" s="139"/>
      <c r="N1152" s="139"/>
      <c r="O1152" s="140"/>
      <c r="P1152" s="139"/>
      <c r="Q1152" s="139"/>
      <c r="R1152" s="8"/>
    </row>
    <row r="1153" spans="1:18">
      <c r="A1153" s="8"/>
      <c r="B1153" s="8"/>
      <c r="C1153" s="43"/>
      <c r="D1153" s="138"/>
      <c r="E1153" s="138"/>
      <c r="F1153" s="139"/>
      <c r="G1153" s="139"/>
      <c r="H1153" s="139"/>
      <c r="I1153" s="139"/>
      <c r="J1153" s="139"/>
      <c r="K1153" s="139"/>
      <c r="L1153" s="139"/>
      <c r="M1153" s="139"/>
      <c r="N1153" s="139"/>
      <c r="O1153" s="140"/>
      <c r="P1153" s="139"/>
      <c r="Q1153" s="139"/>
      <c r="R1153" s="8"/>
    </row>
    <row r="1154" spans="1:18">
      <c r="A1154" s="8"/>
      <c r="B1154" s="8"/>
      <c r="C1154" s="43"/>
      <c r="D1154" s="138"/>
      <c r="E1154" s="138"/>
      <c r="F1154" s="139"/>
      <c r="G1154" s="139"/>
      <c r="H1154" s="139"/>
      <c r="I1154" s="139"/>
      <c r="J1154" s="139"/>
      <c r="K1154" s="139"/>
      <c r="L1154" s="139"/>
      <c r="M1154" s="139"/>
      <c r="N1154" s="139"/>
      <c r="O1154" s="140"/>
      <c r="P1154" s="139"/>
      <c r="Q1154" s="139"/>
      <c r="R1154" s="8"/>
    </row>
    <row r="1155" spans="1:18">
      <c r="A1155" s="8"/>
      <c r="B1155" s="8"/>
      <c r="C1155" s="43"/>
      <c r="D1155" s="138"/>
      <c r="E1155" s="138"/>
      <c r="F1155" s="139"/>
      <c r="G1155" s="139"/>
      <c r="H1155" s="139"/>
      <c r="I1155" s="139"/>
      <c r="J1155" s="139"/>
      <c r="K1155" s="139"/>
      <c r="L1155" s="139"/>
      <c r="M1155" s="139"/>
      <c r="N1155" s="139"/>
      <c r="O1155" s="140"/>
      <c r="P1155" s="139"/>
      <c r="Q1155" s="139"/>
      <c r="R1155" s="8"/>
    </row>
    <row r="1156" spans="1:18">
      <c r="A1156" s="8"/>
      <c r="B1156" s="8"/>
      <c r="C1156" s="43"/>
      <c r="D1156" s="138"/>
      <c r="E1156" s="138"/>
      <c r="F1156" s="139"/>
      <c r="G1156" s="139"/>
      <c r="H1156" s="139"/>
      <c r="I1156" s="139"/>
      <c r="J1156" s="139"/>
      <c r="K1156" s="139"/>
      <c r="L1156" s="139"/>
      <c r="M1156" s="139"/>
      <c r="N1156" s="139"/>
      <c r="O1156" s="140"/>
      <c r="P1156" s="139"/>
      <c r="Q1156" s="139"/>
      <c r="R1156" s="8"/>
    </row>
    <row r="1157" spans="1:18">
      <c r="A1157" s="8"/>
      <c r="B1157" s="8"/>
      <c r="C1157" s="43"/>
      <c r="D1157" s="138"/>
      <c r="E1157" s="138"/>
      <c r="F1157" s="139"/>
      <c r="G1157" s="139"/>
      <c r="H1157" s="139"/>
      <c r="I1157" s="139"/>
      <c r="J1157" s="139"/>
      <c r="K1157" s="139"/>
      <c r="L1157" s="139"/>
      <c r="M1157" s="139"/>
      <c r="N1157" s="139"/>
      <c r="O1157" s="140"/>
      <c r="P1157" s="139"/>
      <c r="Q1157" s="139"/>
      <c r="R1157" s="8"/>
    </row>
    <row r="1158" spans="1:18">
      <c r="A1158" s="8"/>
      <c r="B1158" s="8"/>
      <c r="C1158" s="43"/>
      <c r="D1158" s="138"/>
      <c r="E1158" s="138"/>
      <c r="F1158" s="139"/>
      <c r="G1158" s="139"/>
      <c r="H1158" s="139"/>
      <c r="I1158" s="139"/>
      <c r="J1158" s="139"/>
      <c r="K1158" s="139"/>
      <c r="L1158" s="139"/>
      <c r="M1158" s="139"/>
      <c r="N1158" s="139"/>
      <c r="O1158" s="140"/>
      <c r="P1158" s="139"/>
      <c r="Q1158" s="139"/>
      <c r="R1158" s="8"/>
    </row>
    <row r="1159" spans="1:18">
      <c r="A1159" s="8"/>
      <c r="B1159" s="8"/>
      <c r="C1159" s="43"/>
      <c r="D1159" s="138"/>
      <c r="E1159" s="138"/>
      <c r="F1159" s="139"/>
      <c r="G1159" s="139"/>
      <c r="H1159" s="139"/>
      <c r="I1159" s="139"/>
      <c r="J1159" s="139"/>
      <c r="K1159" s="139"/>
      <c r="L1159" s="139"/>
      <c r="M1159" s="139"/>
      <c r="N1159" s="139"/>
      <c r="O1159" s="140"/>
      <c r="P1159" s="139"/>
      <c r="Q1159" s="139"/>
      <c r="R1159" s="8"/>
    </row>
    <row r="1160" spans="1:18">
      <c r="A1160" s="8"/>
      <c r="B1160" s="8"/>
      <c r="C1160" s="43"/>
      <c r="D1160" s="138"/>
      <c r="E1160" s="138"/>
      <c r="F1160" s="139"/>
      <c r="G1160" s="139"/>
      <c r="H1160" s="139"/>
      <c r="I1160" s="139"/>
      <c r="J1160" s="139"/>
      <c r="K1160" s="139"/>
      <c r="L1160" s="139"/>
      <c r="M1160" s="139"/>
      <c r="N1160" s="139"/>
      <c r="O1160" s="140"/>
      <c r="P1160" s="139"/>
      <c r="Q1160" s="139"/>
      <c r="R1160" s="8"/>
    </row>
    <row r="1161" spans="1:18">
      <c r="A1161" s="8"/>
      <c r="B1161" s="8"/>
      <c r="C1161" s="43"/>
      <c r="D1161" s="138"/>
      <c r="E1161" s="138"/>
      <c r="F1161" s="139"/>
      <c r="G1161" s="139"/>
      <c r="H1161" s="139"/>
      <c r="I1161" s="139"/>
      <c r="J1161" s="139"/>
      <c r="K1161" s="139"/>
      <c r="L1161" s="139"/>
      <c r="M1161" s="139"/>
      <c r="N1161" s="139"/>
      <c r="O1161" s="140"/>
      <c r="P1161" s="139"/>
      <c r="Q1161" s="139"/>
      <c r="R1161" s="8"/>
    </row>
    <row r="1162" spans="1:18">
      <c r="A1162" s="8"/>
      <c r="B1162" s="8"/>
      <c r="C1162" s="43"/>
      <c r="D1162" s="138"/>
      <c r="E1162" s="138"/>
      <c r="F1162" s="139"/>
      <c r="G1162" s="139"/>
      <c r="H1162" s="139"/>
      <c r="I1162" s="139"/>
      <c r="J1162" s="139"/>
      <c r="K1162" s="139"/>
      <c r="L1162" s="139"/>
      <c r="M1162" s="139"/>
      <c r="N1162" s="139"/>
      <c r="O1162" s="140"/>
      <c r="P1162" s="139"/>
      <c r="Q1162" s="139"/>
      <c r="R1162" s="8"/>
    </row>
    <row r="1163" spans="1:18">
      <c r="A1163" s="8"/>
      <c r="B1163" s="8"/>
      <c r="C1163" s="43"/>
      <c r="D1163" s="138"/>
      <c r="E1163" s="138"/>
      <c r="F1163" s="139"/>
      <c r="G1163" s="139"/>
      <c r="H1163" s="139"/>
      <c r="I1163" s="139"/>
      <c r="J1163" s="139"/>
      <c r="K1163" s="139"/>
      <c r="L1163" s="139"/>
      <c r="M1163" s="139"/>
      <c r="N1163" s="139"/>
      <c r="O1163" s="140"/>
      <c r="P1163" s="139"/>
      <c r="Q1163" s="139"/>
      <c r="R1163" s="8"/>
    </row>
    <row r="1164" spans="1:18">
      <c r="A1164" s="8"/>
      <c r="B1164" s="8"/>
      <c r="C1164" s="43"/>
      <c r="D1164" s="138"/>
      <c r="E1164" s="138"/>
      <c r="F1164" s="139"/>
      <c r="G1164" s="139"/>
      <c r="H1164" s="139"/>
      <c r="I1164" s="139"/>
      <c r="J1164" s="139"/>
      <c r="K1164" s="139"/>
      <c r="L1164" s="139"/>
      <c r="M1164" s="139"/>
      <c r="N1164" s="139"/>
      <c r="O1164" s="140"/>
      <c r="P1164" s="139"/>
      <c r="Q1164" s="139"/>
      <c r="R1164" s="8"/>
    </row>
    <row r="1165" spans="1:18">
      <c r="A1165" s="8"/>
      <c r="B1165" s="8"/>
      <c r="C1165" s="43"/>
      <c r="D1165" s="138"/>
      <c r="E1165" s="138"/>
      <c r="F1165" s="139"/>
      <c r="G1165" s="139"/>
      <c r="H1165" s="139"/>
      <c r="I1165" s="139"/>
      <c r="J1165" s="139"/>
      <c r="K1165" s="139"/>
      <c r="L1165" s="139"/>
      <c r="M1165" s="139"/>
      <c r="N1165" s="139"/>
      <c r="O1165" s="140"/>
      <c r="P1165" s="139"/>
      <c r="Q1165" s="139"/>
      <c r="R1165" s="8"/>
    </row>
    <row r="1166" spans="1:18">
      <c r="A1166" s="8"/>
      <c r="B1166" s="8"/>
      <c r="C1166" s="43"/>
      <c r="D1166" s="138"/>
      <c r="E1166" s="138"/>
      <c r="F1166" s="139"/>
      <c r="G1166" s="139"/>
      <c r="H1166" s="139"/>
      <c r="I1166" s="139"/>
      <c r="J1166" s="139"/>
      <c r="K1166" s="139"/>
      <c r="L1166" s="139"/>
      <c r="M1166" s="139"/>
      <c r="N1166" s="139"/>
      <c r="O1166" s="140"/>
      <c r="P1166" s="139"/>
      <c r="Q1166" s="139"/>
      <c r="R1166" s="8"/>
    </row>
    <row r="1167" spans="1:18">
      <c r="A1167" s="8"/>
      <c r="B1167" s="8"/>
      <c r="C1167" s="43"/>
      <c r="D1167" s="138"/>
      <c r="E1167" s="138"/>
      <c r="F1167" s="139"/>
      <c r="G1167" s="139"/>
      <c r="H1167" s="139"/>
      <c r="I1167" s="139"/>
      <c r="J1167" s="139"/>
      <c r="K1167" s="139"/>
      <c r="L1167" s="139"/>
      <c r="M1167" s="139"/>
      <c r="N1167" s="139"/>
      <c r="O1167" s="140"/>
      <c r="P1167" s="139"/>
      <c r="Q1167" s="139"/>
      <c r="R1167" s="8"/>
    </row>
    <row r="1168" spans="1:18">
      <c r="A1168" s="8"/>
      <c r="B1168" s="8"/>
      <c r="C1168" s="43"/>
      <c r="D1168" s="138"/>
      <c r="E1168" s="138"/>
      <c r="F1168" s="139"/>
      <c r="G1168" s="139"/>
      <c r="H1168" s="139"/>
      <c r="I1168" s="139"/>
      <c r="J1168" s="139"/>
      <c r="K1168" s="139"/>
      <c r="L1168" s="139"/>
      <c r="M1168" s="139"/>
      <c r="N1168" s="139"/>
      <c r="O1168" s="140"/>
      <c r="P1168" s="139"/>
      <c r="Q1168" s="139"/>
      <c r="R1168" s="8"/>
    </row>
    <row r="1169" spans="1:18">
      <c r="A1169" s="8"/>
      <c r="B1169" s="8"/>
      <c r="C1169" s="43"/>
      <c r="D1169" s="138"/>
      <c r="E1169" s="138"/>
      <c r="F1169" s="139"/>
      <c r="G1169" s="139"/>
      <c r="H1169" s="139"/>
      <c r="I1169" s="139"/>
      <c r="J1169" s="139"/>
      <c r="K1169" s="139"/>
      <c r="L1169" s="139"/>
      <c r="M1169" s="139"/>
      <c r="N1169" s="139"/>
      <c r="O1169" s="140"/>
      <c r="P1169" s="139"/>
      <c r="Q1169" s="139"/>
      <c r="R1169" s="8"/>
    </row>
    <row r="1170" spans="1:18">
      <c r="A1170" s="8"/>
      <c r="B1170" s="8"/>
      <c r="C1170" s="43"/>
      <c r="D1170" s="138"/>
      <c r="E1170" s="138"/>
      <c r="F1170" s="139"/>
      <c r="G1170" s="139"/>
      <c r="H1170" s="139"/>
      <c r="I1170" s="139"/>
      <c r="J1170" s="139"/>
      <c r="K1170" s="139"/>
      <c r="L1170" s="139"/>
      <c r="M1170" s="139"/>
      <c r="N1170" s="139"/>
      <c r="O1170" s="140"/>
      <c r="P1170" s="139"/>
      <c r="Q1170" s="139"/>
      <c r="R1170" s="8"/>
    </row>
    <row r="1171" spans="1:18">
      <c r="A1171" s="8"/>
      <c r="B1171" s="8"/>
      <c r="C1171" s="43"/>
      <c r="D1171" s="138"/>
      <c r="E1171" s="138"/>
      <c r="F1171" s="139"/>
      <c r="G1171" s="139"/>
      <c r="H1171" s="139"/>
      <c r="I1171" s="139"/>
      <c r="J1171" s="139"/>
      <c r="K1171" s="139"/>
      <c r="L1171" s="139"/>
      <c r="M1171" s="139"/>
      <c r="N1171" s="139"/>
      <c r="O1171" s="140"/>
      <c r="P1171" s="139"/>
      <c r="Q1171" s="139"/>
      <c r="R1171" s="8"/>
    </row>
    <row r="1172" spans="1:18">
      <c r="A1172" s="8"/>
      <c r="B1172" s="8"/>
      <c r="C1172" s="43"/>
      <c r="D1172" s="138"/>
      <c r="E1172" s="138"/>
      <c r="F1172" s="139"/>
      <c r="G1172" s="139"/>
      <c r="H1172" s="139"/>
      <c r="I1172" s="139"/>
      <c r="J1172" s="139"/>
      <c r="K1172" s="139"/>
      <c r="L1172" s="139"/>
      <c r="M1172" s="139"/>
      <c r="N1172" s="139"/>
      <c r="O1172" s="140"/>
      <c r="P1172" s="139"/>
      <c r="Q1172" s="139"/>
      <c r="R1172" s="8"/>
    </row>
    <row r="1173" spans="1:18">
      <c r="A1173" s="8"/>
      <c r="B1173" s="8"/>
      <c r="C1173" s="43"/>
      <c r="D1173" s="138"/>
      <c r="E1173" s="138"/>
      <c r="F1173" s="139"/>
      <c r="G1173" s="139"/>
      <c r="H1173" s="139"/>
      <c r="I1173" s="139"/>
      <c r="J1173" s="139"/>
      <c r="K1173" s="139"/>
      <c r="L1173" s="139"/>
      <c r="M1173" s="139"/>
      <c r="N1173" s="139"/>
      <c r="O1173" s="140"/>
      <c r="P1173" s="139"/>
      <c r="Q1173" s="139"/>
      <c r="R1173" s="8"/>
    </row>
    <row r="1174" spans="1:18">
      <c r="A1174" s="8"/>
      <c r="B1174" s="8"/>
      <c r="C1174" s="43"/>
      <c r="D1174" s="138"/>
      <c r="E1174" s="138"/>
      <c r="F1174" s="139"/>
      <c r="G1174" s="139"/>
      <c r="H1174" s="139"/>
      <c r="I1174" s="139"/>
      <c r="J1174" s="139"/>
      <c r="K1174" s="139"/>
      <c r="L1174" s="139"/>
      <c r="M1174" s="139"/>
      <c r="N1174" s="139"/>
      <c r="O1174" s="140"/>
      <c r="P1174" s="139"/>
      <c r="Q1174" s="139"/>
      <c r="R1174" s="8"/>
    </row>
    <row r="1175" spans="1:18">
      <c r="A1175" s="8"/>
      <c r="B1175" s="8"/>
      <c r="C1175" s="43"/>
      <c r="D1175" s="138"/>
      <c r="E1175" s="138"/>
      <c r="F1175" s="139"/>
      <c r="G1175" s="139"/>
      <c r="H1175" s="139"/>
      <c r="I1175" s="139"/>
      <c r="J1175" s="139"/>
      <c r="K1175" s="139"/>
      <c r="L1175" s="139"/>
      <c r="M1175" s="139"/>
      <c r="N1175" s="139"/>
      <c r="O1175" s="140"/>
      <c r="P1175" s="139"/>
      <c r="Q1175" s="139"/>
      <c r="R1175" s="8"/>
    </row>
    <row r="1176" spans="1:18">
      <c r="A1176" s="8"/>
      <c r="B1176" s="8"/>
      <c r="C1176" s="43"/>
      <c r="D1176" s="138"/>
      <c r="E1176" s="138"/>
      <c r="F1176" s="139"/>
      <c r="G1176" s="139"/>
      <c r="H1176" s="139"/>
      <c r="I1176" s="139"/>
      <c r="J1176" s="139"/>
      <c r="K1176" s="139"/>
      <c r="L1176" s="139"/>
      <c r="M1176" s="139"/>
      <c r="N1176" s="139"/>
      <c r="O1176" s="140"/>
      <c r="P1176" s="139"/>
      <c r="Q1176" s="139"/>
      <c r="R1176" s="8"/>
    </row>
    <row r="1177" spans="1:18">
      <c r="A1177" s="8"/>
      <c r="B1177" s="8"/>
      <c r="C1177" s="43"/>
      <c r="D1177" s="138"/>
      <c r="E1177" s="138"/>
      <c r="F1177" s="139"/>
      <c r="G1177" s="139"/>
      <c r="H1177" s="139"/>
      <c r="I1177" s="139"/>
      <c r="J1177" s="139"/>
      <c r="K1177" s="139"/>
      <c r="L1177" s="139"/>
      <c r="M1177" s="139"/>
      <c r="N1177" s="139"/>
      <c r="O1177" s="140"/>
      <c r="P1177" s="139"/>
      <c r="Q1177" s="139"/>
      <c r="R1177" s="8"/>
    </row>
    <row r="1178" spans="1:18">
      <c r="A1178" s="8"/>
      <c r="B1178" s="8"/>
      <c r="C1178" s="43"/>
      <c r="D1178" s="138"/>
      <c r="E1178" s="138"/>
      <c r="F1178" s="139"/>
      <c r="G1178" s="139"/>
      <c r="H1178" s="139"/>
      <c r="I1178" s="139"/>
      <c r="J1178" s="139"/>
      <c r="K1178" s="139"/>
      <c r="L1178" s="139"/>
      <c r="M1178" s="139"/>
      <c r="N1178" s="139"/>
      <c r="O1178" s="140"/>
      <c r="P1178" s="139"/>
      <c r="Q1178" s="139"/>
      <c r="R1178" s="8"/>
    </row>
    <row r="1179" spans="1:18">
      <c r="A1179" s="8"/>
      <c r="B1179" s="8"/>
      <c r="C1179" s="43"/>
      <c r="D1179" s="138"/>
      <c r="E1179" s="138"/>
      <c r="F1179" s="139"/>
      <c r="G1179" s="139"/>
      <c r="H1179" s="139"/>
      <c r="I1179" s="139"/>
      <c r="J1179" s="139"/>
      <c r="K1179" s="139"/>
      <c r="L1179" s="139"/>
      <c r="M1179" s="139"/>
      <c r="N1179" s="139"/>
      <c r="O1179" s="140"/>
      <c r="P1179" s="139"/>
      <c r="Q1179" s="139"/>
      <c r="R1179" s="8"/>
    </row>
    <row r="1180" spans="1:18">
      <c r="A1180" s="8"/>
      <c r="B1180" s="8"/>
      <c r="C1180" s="43"/>
      <c r="D1180" s="138"/>
      <c r="E1180" s="138"/>
      <c r="F1180" s="139"/>
      <c r="G1180" s="139"/>
      <c r="H1180" s="139"/>
      <c r="I1180" s="139"/>
      <c r="J1180" s="139"/>
      <c r="K1180" s="139"/>
      <c r="L1180" s="139"/>
      <c r="M1180" s="139"/>
      <c r="N1180" s="139"/>
      <c r="O1180" s="140"/>
      <c r="P1180" s="139"/>
      <c r="Q1180" s="139"/>
      <c r="R1180" s="8"/>
    </row>
    <row r="1181" spans="1:18">
      <c r="A1181" s="8"/>
      <c r="B1181" s="8"/>
      <c r="C1181" s="43"/>
      <c r="D1181" s="138"/>
      <c r="E1181" s="138"/>
      <c r="F1181" s="139"/>
      <c r="G1181" s="139"/>
      <c r="H1181" s="139"/>
      <c r="I1181" s="139"/>
      <c r="J1181" s="139"/>
      <c r="K1181" s="139"/>
      <c r="L1181" s="139"/>
      <c r="M1181" s="139"/>
      <c r="N1181" s="139"/>
      <c r="O1181" s="140"/>
      <c r="P1181" s="139"/>
      <c r="Q1181" s="139"/>
      <c r="R1181" s="8"/>
    </row>
    <row r="1182" spans="1:18">
      <c r="A1182" s="8"/>
      <c r="B1182" s="8"/>
      <c r="C1182" s="43"/>
      <c r="D1182" s="138"/>
      <c r="E1182" s="138"/>
      <c r="F1182" s="139"/>
      <c r="G1182" s="139"/>
      <c r="H1182" s="139"/>
      <c r="I1182" s="139"/>
      <c r="J1182" s="139"/>
      <c r="K1182" s="139"/>
      <c r="L1182" s="139"/>
      <c r="M1182" s="139"/>
      <c r="N1182" s="139"/>
      <c r="O1182" s="140"/>
      <c r="P1182" s="139"/>
      <c r="Q1182" s="139"/>
      <c r="R1182" s="8"/>
    </row>
    <row r="1183" spans="1:18">
      <c r="A1183" s="8"/>
      <c r="B1183" s="8"/>
      <c r="C1183" s="43"/>
      <c r="D1183" s="138"/>
      <c r="E1183" s="138"/>
      <c r="F1183" s="139"/>
      <c r="G1183" s="139"/>
      <c r="H1183" s="139"/>
      <c r="I1183" s="139"/>
      <c r="J1183" s="139"/>
      <c r="K1183" s="139"/>
      <c r="L1183" s="139"/>
      <c r="M1183" s="139"/>
      <c r="N1183" s="139"/>
      <c r="O1183" s="140"/>
      <c r="P1183" s="139"/>
      <c r="Q1183" s="139"/>
      <c r="R1183" s="8"/>
    </row>
    <row r="1184" spans="1:18">
      <c r="A1184" s="8"/>
      <c r="B1184" s="8"/>
      <c r="C1184" s="43"/>
      <c r="D1184" s="138"/>
      <c r="E1184" s="138"/>
      <c r="F1184" s="139"/>
      <c r="G1184" s="139"/>
      <c r="H1184" s="139"/>
      <c r="I1184" s="139"/>
      <c r="J1184" s="139"/>
      <c r="K1184" s="139"/>
      <c r="L1184" s="139"/>
      <c r="M1184" s="139"/>
      <c r="N1184" s="139"/>
      <c r="O1184" s="140"/>
      <c r="P1184" s="139"/>
      <c r="Q1184" s="139"/>
      <c r="R1184" s="8"/>
    </row>
    <row r="1185" spans="1:18">
      <c r="A1185" s="8"/>
      <c r="B1185" s="8"/>
      <c r="C1185" s="43"/>
      <c r="D1185" s="138"/>
      <c r="E1185" s="138"/>
      <c r="F1185" s="139"/>
      <c r="G1185" s="139"/>
      <c r="H1185" s="139"/>
      <c r="I1185" s="139"/>
      <c r="J1185" s="139"/>
      <c r="K1185" s="139"/>
      <c r="L1185" s="139"/>
      <c r="M1185" s="139"/>
      <c r="N1185" s="139"/>
      <c r="O1185" s="140"/>
      <c r="P1185" s="139"/>
      <c r="Q1185" s="139"/>
      <c r="R1185" s="8"/>
    </row>
    <row r="1186" spans="1:18">
      <c r="A1186" s="8"/>
      <c r="B1186" s="8"/>
      <c r="C1186" s="43"/>
      <c r="D1186" s="138"/>
      <c r="E1186" s="138"/>
      <c r="F1186" s="139"/>
      <c r="G1186" s="139"/>
      <c r="H1186" s="139"/>
      <c r="I1186" s="139"/>
      <c r="J1186" s="139"/>
      <c r="K1186" s="139"/>
      <c r="L1186" s="139"/>
      <c r="M1186" s="139"/>
      <c r="N1186" s="139"/>
      <c r="O1186" s="140"/>
      <c r="P1186" s="139"/>
      <c r="Q1186" s="139"/>
      <c r="R1186" s="8"/>
    </row>
    <row r="1187" spans="1:18">
      <c r="A1187" s="8"/>
      <c r="B1187" s="8"/>
      <c r="C1187" s="43"/>
      <c r="D1187" s="138"/>
      <c r="E1187" s="138"/>
      <c r="F1187" s="139"/>
      <c r="G1187" s="139"/>
      <c r="H1187" s="139"/>
      <c r="I1187" s="139"/>
      <c r="J1187" s="139"/>
      <c r="K1187" s="139"/>
      <c r="L1187" s="139"/>
      <c r="M1187" s="139"/>
      <c r="N1187" s="139"/>
      <c r="O1187" s="140"/>
      <c r="P1187" s="139"/>
      <c r="Q1187" s="139"/>
      <c r="R1187" s="8"/>
    </row>
    <row r="1188" spans="1:18">
      <c r="A1188" s="8"/>
      <c r="B1188" s="8"/>
      <c r="C1188" s="43"/>
      <c r="D1188" s="138"/>
      <c r="E1188" s="138"/>
      <c r="F1188" s="139"/>
      <c r="G1188" s="139"/>
      <c r="H1188" s="139"/>
      <c r="I1188" s="139"/>
      <c r="J1188" s="139"/>
      <c r="K1188" s="139"/>
      <c r="L1188" s="139"/>
      <c r="M1188" s="139"/>
      <c r="N1188" s="139"/>
      <c r="O1188" s="140"/>
      <c r="P1188" s="139"/>
      <c r="Q1188" s="139"/>
      <c r="R1188" s="8"/>
    </row>
    <row r="1189" spans="1:18">
      <c r="A1189" s="8"/>
      <c r="B1189" s="8"/>
      <c r="C1189" s="43"/>
      <c r="D1189" s="138"/>
      <c r="E1189" s="138"/>
      <c r="F1189" s="139"/>
      <c r="G1189" s="139"/>
      <c r="H1189" s="139"/>
      <c r="I1189" s="139"/>
      <c r="J1189" s="139"/>
      <c r="K1189" s="139"/>
      <c r="L1189" s="139"/>
      <c r="M1189" s="139"/>
      <c r="N1189" s="139"/>
      <c r="O1189" s="140"/>
      <c r="P1189" s="139"/>
      <c r="Q1189" s="139"/>
      <c r="R1189" s="8"/>
    </row>
    <row r="1190" spans="1:18">
      <c r="A1190" s="8"/>
      <c r="B1190" s="8"/>
      <c r="C1190" s="43"/>
      <c r="D1190" s="138"/>
      <c r="E1190" s="138"/>
      <c r="F1190" s="139"/>
      <c r="G1190" s="139"/>
      <c r="H1190" s="139"/>
      <c r="I1190" s="139"/>
      <c r="J1190" s="139"/>
      <c r="K1190" s="139"/>
      <c r="L1190" s="139"/>
      <c r="M1190" s="139"/>
      <c r="N1190" s="139"/>
      <c r="O1190" s="140"/>
      <c r="P1190" s="139"/>
      <c r="Q1190" s="139"/>
      <c r="R1190" s="8"/>
    </row>
    <row r="1191" spans="1:18">
      <c r="A1191" s="8"/>
      <c r="B1191" s="8"/>
      <c r="C1191" s="43"/>
      <c r="D1191" s="138"/>
      <c r="E1191" s="138"/>
      <c r="F1191" s="139"/>
      <c r="G1191" s="139"/>
      <c r="H1191" s="139"/>
      <c r="I1191" s="139"/>
      <c r="J1191" s="139"/>
      <c r="K1191" s="139"/>
      <c r="L1191" s="139"/>
      <c r="M1191" s="139"/>
      <c r="N1191" s="139"/>
      <c r="O1191" s="140"/>
      <c r="P1191" s="139"/>
      <c r="Q1191" s="139"/>
      <c r="R1191" s="8"/>
    </row>
    <row r="1192" spans="1:18">
      <c r="A1192" s="8"/>
      <c r="B1192" s="8"/>
      <c r="C1192" s="43"/>
      <c r="D1192" s="138"/>
      <c r="E1192" s="138"/>
      <c r="F1192" s="139"/>
      <c r="G1192" s="139"/>
      <c r="H1192" s="139"/>
      <c r="I1192" s="139"/>
      <c r="J1192" s="139"/>
      <c r="K1192" s="139"/>
      <c r="L1192" s="139"/>
      <c r="M1192" s="139"/>
      <c r="N1192" s="139"/>
      <c r="O1192" s="140"/>
      <c r="P1192" s="139"/>
      <c r="Q1192" s="139"/>
      <c r="R1192" s="8"/>
    </row>
    <row r="1193" spans="1:18">
      <c r="A1193" s="8"/>
      <c r="B1193" s="8"/>
      <c r="C1193" s="43"/>
      <c r="D1193" s="138"/>
      <c r="E1193" s="138"/>
      <c r="F1193" s="139"/>
      <c r="G1193" s="139"/>
      <c r="H1193" s="139"/>
      <c r="I1193" s="139"/>
      <c r="J1193" s="139"/>
      <c r="K1193" s="139"/>
      <c r="L1193" s="139"/>
      <c r="M1193" s="139"/>
      <c r="N1193" s="139"/>
      <c r="O1193" s="140"/>
      <c r="P1193" s="139"/>
      <c r="Q1193" s="139"/>
      <c r="R1193" s="8"/>
    </row>
    <row r="1194" spans="1:18">
      <c r="A1194" s="8"/>
      <c r="B1194" s="8"/>
      <c r="C1194" s="43"/>
      <c r="D1194" s="138"/>
      <c r="E1194" s="138"/>
      <c r="F1194" s="139"/>
      <c r="G1194" s="139"/>
      <c r="H1194" s="139"/>
      <c r="I1194" s="139"/>
      <c r="J1194" s="139"/>
      <c r="K1194" s="139"/>
      <c r="L1194" s="139"/>
      <c r="M1194" s="139"/>
      <c r="N1194" s="139"/>
      <c r="O1194" s="140"/>
      <c r="P1194" s="139"/>
      <c r="Q1194" s="139"/>
      <c r="R1194" s="8"/>
    </row>
    <row r="1195" spans="1:18">
      <c r="A1195" s="8"/>
      <c r="B1195" s="8"/>
      <c r="C1195" s="43"/>
      <c r="D1195" s="138"/>
      <c r="E1195" s="138"/>
      <c r="F1195" s="139"/>
      <c r="G1195" s="139"/>
      <c r="H1195" s="139"/>
      <c r="I1195" s="139"/>
      <c r="J1195" s="139"/>
      <c r="K1195" s="139"/>
      <c r="L1195" s="139"/>
      <c r="M1195" s="139"/>
      <c r="N1195" s="139"/>
      <c r="O1195" s="140"/>
      <c r="P1195" s="139"/>
      <c r="Q1195" s="139"/>
      <c r="R1195" s="8"/>
    </row>
    <row r="1196" spans="1:18">
      <c r="A1196" s="8"/>
      <c r="B1196" s="8"/>
      <c r="C1196" s="43"/>
      <c r="D1196" s="138"/>
      <c r="E1196" s="138"/>
      <c r="F1196" s="139"/>
      <c r="G1196" s="139"/>
      <c r="H1196" s="139"/>
      <c r="I1196" s="139"/>
      <c r="J1196" s="139"/>
      <c r="K1196" s="139"/>
      <c r="L1196" s="139"/>
      <c r="M1196" s="139"/>
      <c r="N1196" s="139"/>
      <c r="O1196" s="140"/>
      <c r="P1196" s="139"/>
      <c r="Q1196" s="139"/>
      <c r="R1196" s="8"/>
    </row>
    <row r="1197" spans="1:18">
      <c r="A1197" s="8"/>
      <c r="B1197" s="8"/>
      <c r="C1197" s="43"/>
      <c r="D1197" s="138"/>
      <c r="E1197" s="138"/>
      <c r="F1197" s="139"/>
      <c r="G1197" s="139"/>
      <c r="H1197" s="139"/>
      <c r="I1197" s="139"/>
      <c r="J1197" s="139"/>
      <c r="K1197" s="139"/>
      <c r="L1197" s="139"/>
      <c r="M1197" s="139"/>
      <c r="N1197" s="139"/>
      <c r="O1197" s="140"/>
      <c r="P1197" s="139"/>
      <c r="Q1197" s="139"/>
      <c r="R1197" s="8"/>
    </row>
    <row r="1198" spans="1:18">
      <c r="A1198" s="8"/>
      <c r="B1198" s="8"/>
      <c r="C1198" s="43"/>
      <c r="D1198" s="138"/>
      <c r="E1198" s="138"/>
      <c r="F1198" s="139"/>
      <c r="G1198" s="139"/>
      <c r="H1198" s="139"/>
      <c r="I1198" s="139"/>
      <c r="J1198" s="139"/>
      <c r="K1198" s="139"/>
      <c r="L1198" s="139"/>
      <c r="M1198" s="139"/>
      <c r="N1198" s="139"/>
      <c r="O1198" s="140"/>
      <c r="P1198" s="139"/>
      <c r="Q1198" s="139"/>
      <c r="R1198" s="8"/>
    </row>
    <row r="1199" spans="1:18">
      <c r="A1199" s="8"/>
      <c r="B1199" s="8"/>
      <c r="C1199" s="43"/>
      <c r="D1199" s="138"/>
      <c r="E1199" s="138"/>
      <c r="F1199" s="139"/>
      <c r="G1199" s="139"/>
      <c r="H1199" s="139"/>
      <c r="I1199" s="139"/>
      <c r="J1199" s="139"/>
      <c r="K1199" s="139"/>
      <c r="L1199" s="139"/>
      <c r="M1199" s="139"/>
      <c r="N1199" s="139"/>
      <c r="O1199" s="140"/>
      <c r="P1199" s="139"/>
      <c r="Q1199" s="139"/>
      <c r="R1199" s="8"/>
    </row>
    <row r="1200" spans="1:18">
      <c r="A1200" s="8"/>
      <c r="B1200" s="8"/>
      <c r="C1200" s="43"/>
      <c r="D1200" s="138"/>
      <c r="E1200" s="138"/>
      <c r="F1200" s="139"/>
      <c r="G1200" s="139"/>
      <c r="H1200" s="139"/>
      <c r="I1200" s="139"/>
      <c r="J1200" s="139"/>
      <c r="K1200" s="139"/>
      <c r="L1200" s="139"/>
      <c r="M1200" s="139"/>
      <c r="N1200" s="139"/>
      <c r="O1200" s="140"/>
      <c r="P1200" s="139"/>
      <c r="Q1200" s="139"/>
      <c r="R1200" s="8"/>
    </row>
    <row r="1201" spans="1:18">
      <c r="A1201" s="8"/>
      <c r="B1201" s="8"/>
      <c r="C1201" s="43"/>
      <c r="D1201" s="138"/>
      <c r="E1201" s="138"/>
      <c r="F1201" s="139"/>
      <c r="G1201" s="139"/>
      <c r="H1201" s="139"/>
      <c r="I1201" s="139"/>
      <c r="J1201" s="139"/>
      <c r="K1201" s="139"/>
      <c r="L1201" s="139"/>
      <c r="M1201" s="139"/>
      <c r="N1201" s="139"/>
      <c r="O1201" s="140"/>
      <c r="P1201" s="139"/>
      <c r="Q1201" s="139"/>
      <c r="R1201" s="8"/>
    </row>
    <row r="1202" spans="1:18">
      <c r="A1202" s="8"/>
      <c r="B1202" s="8"/>
      <c r="C1202" s="43"/>
      <c r="D1202" s="138"/>
      <c r="E1202" s="138"/>
      <c r="F1202" s="139"/>
      <c r="G1202" s="139"/>
      <c r="H1202" s="139"/>
      <c r="I1202" s="139"/>
      <c r="J1202" s="139"/>
      <c r="K1202" s="139"/>
      <c r="L1202" s="139"/>
      <c r="M1202" s="139"/>
      <c r="N1202" s="139"/>
      <c r="O1202" s="140"/>
      <c r="P1202" s="139"/>
      <c r="Q1202" s="139"/>
      <c r="R1202" s="8"/>
    </row>
    <row r="1203" spans="1:18">
      <c r="A1203" s="8"/>
      <c r="B1203" s="8"/>
      <c r="C1203" s="43"/>
      <c r="D1203" s="138"/>
      <c r="E1203" s="138"/>
      <c r="F1203" s="139"/>
      <c r="G1203" s="139"/>
      <c r="H1203" s="139"/>
      <c r="I1203" s="139"/>
      <c r="J1203" s="139"/>
      <c r="K1203" s="139"/>
      <c r="L1203" s="139"/>
      <c r="M1203" s="139"/>
      <c r="N1203" s="139"/>
      <c r="O1203" s="140"/>
      <c r="P1203" s="139"/>
      <c r="Q1203" s="139"/>
      <c r="R1203" s="8"/>
    </row>
    <row r="1204" spans="1:18">
      <c r="A1204" s="8"/>
      <c r="B1204" s="8"/>
      <c r="C1204" s="43"/>
      <c r="D1204" s="138"/>
      <c r="E1204" s="138"/>
      <c r="F1204" s="139"/>
      <c r="G1204" s="139"/>
      <c r="H1204" s="139"/>
      <c r="I1204" s="139"/>
      <c r="J1204" s="139"/>
      <c r="K1204" s="139"/>
      <c r="L1204" s="139"/>
      <c r="M1204" s="139"/>
      <c r="N1204" s="139"/>
      <c r="O1204" s="140"/>
      <c r="P1204" s="139"/>
      <c r="Q1204" s="139"/>
      <c r="R1204" s="8"/>
    </row>
    <row r="1205" spans="1:18">
      <c r="C1205" s="143"/>
    </row>
    <row r="1206" spans="1:18">
      <c r="C1206" s="143"/>
    </row>
    <row r="1207" spans="1:18">
      <c r="C1207" s="143"/>
    </row>
    <row r="1208" spans="1:18">
      <c r="C1208" s="143"/>
    </row>
    <row r="1209" spans="1:18">
      <c r="C1209" s="143"/>
    </row>
    <row r="1210" spans="1:18">
      <c r="C1210" s="143"/>
    </row>
    <row r="1211" spans="1:18">
      <c r="C1211" s="143"/>
    </row>
    <row r="1212" spans="1:18">
      <c r="C1212" s="143"/>
    </row>
    <row r="1213" spans="1:18">
      <c r="C1213" s="143"/>
    </row>
    <row r="1214" spans="1:18">
      <c r="C1214" s="143"/>
    </row>
    <row r="1215" spans="1:18">
      <c r="C1215" s="143"/>
    </row>
    <row r="1216" spans="1:18">
      <c r="C1216" s="143"/>
    </row>
    <row r="1217" spans="3:3">
      <c r="C1217" s="143"/>
    </row>
    <row r="1218" spans="3:3">
      <c r="C1218" s="143"/>
    </row>
    <row r="1219" spans="3:3">
      <c r="C1219" s="143"/>
    </row>
    <row r="1220" spans="3:3">
      <c r="C1220" s="143"/>
    </row>
    <row r="1221" spans="3:3">
      <c r="C1221" s="143"/>
    </row>
    <row r="1222" spans="3:3">
      <c r="C1222" s="143"/>
    </row>
    <row r="1223" spans="3:3">
      <c r="C1223" s="143"/>
    </row>
    <row r="1224" spans="3:3">
      <c r="C1224" s="143"/>
    </row>
    <row r="1225" spans="3:3">
      <c r="C1225" s="143"/>
    </row>
    <row r="1226" spans="3:3">
      <c r="C1226" s="143"/>
    </row>
    <row r="1227" spans="3:3">
      <c r="C1227" s="143"/>
    </row>
    <row r="1228" spans="3:3">
      <c r="C1228" s="143"/>
    </row>
    <row r="1229" spans="3:3">
      <c r="C1229" s="143"/>
    </row>
    <row r="1230" spans="3:3">
      <c r="C1230" s="143"/>
    </row>
    <row r="1231" spans="3:3">
      <c r="C1231" s="143"/>
    </row>
    <row r="1232" spans="3:3">
      <c r="C1232" s="143"/>
    </row>
    <row r="1233" spans="3:3">
      <c r="C1233" s="143"/>
    </row>
    <row r="1234" spans="3:3">
      <c r="C1234" s="143"/>
    </row>
    <row r="1235" spans="3:3">
      <c r="C1235" s="143"/>
    </row>
    <row r="1236" spans="3:3">
      <c r="C1236" s="143"/>
    </row>
    <row r="1237" spans="3:3">
      <c r="C1237" s="143"/>
    </row>
    <row r="1238" spans="3:3">
      <c r="C1238" s="143"/>
    </row>
    <row r="1239" spans="3:3">
      <c r="C1239" s="143"/>
    </row>
    <row r="1240" spans="3:3">
      <c r="C1240" s="143"/>
    </row>
    <row r="1241" spans="3:3">
      <c r="C1241" s="143"/>
    </row>
    <row r="1242" spans="3:3">
      <c r="C1242" s="143"/>
    </row>
    <row r="1243" spans="3:3">
      <c r="C1243" s="143"/>
    </row>
    <row r="1244" spans="3:3">
      <c r="C1244" s="143"/>
    </row>
    <row r="1245" spans="3:3">
      <c r="C1245" s="143"/>
    </row>
    <row r="1246" spans="3:3">
      <c r="C1246" s="143"/>
    </row>
    <row r="1247" spans="3:3">
      <c r="C1247" s="143"/>
    </row>
    <row r="1248" spans="3:3">
      <c r="C1248" s="143"/>
    </row>
    <row r="1249" spans="3:3">
      <c r="C1249" s="143"/>
    </row>
    <row r="1250" spans="3:3">
      <c r="C1250" s="143"/>
    </row>
    <row r="1251" spans="3:3">
      <c r="C1251" s="143"/>
    </row>
    <row r="1252" spans="3:3">
      <c r="C1252" s="143"/>
    </row>
    <row r="1253" spans="3:3">
      <c r="C1253" s="143"/>
    </row>
    <row r="1254" spans="3:3">
      <c r="C1254" s="143"/>
    </row>
    <row r="1255" spans="3:3">
      <c r="C1255" s="143"/>
    </row>
    <row r="1256" spans="3:3">
      <c r="C1256" s="143"/>
    </row>
    <row r="1257" spans="3:3">
      <c r="C1257" s="143"/>
    </row>
    <row r="1258" spans="3:3">
      <c r="C1258" s="143"/>
    </row>
    <row r="1259" spans="3:3">
      <c r="C1259" s="143"/>
    </row>
    <row r="1260" spans="3:3">
      <c r="C1260" s="143"/>
    </row>
    <row r="1261" spans="3:3">
      <c r="C1261" s="143"/>
    </row>
    <row r="1262" spans="3:3">
      <c r="C1262" s="143"/>
    </row>
    <row r="1263" spans="3:3">
      <c r="C1263" s="143"/>
    </row>
    <row r="1264" spans="3:3">
      <c r="C1264" s="143"/>
    </row>
    <row r="1265" spans="3:3">
      <c r="C1265" s="143"/>
    </row>
    <row r="1266" spans="3:3">
      <c r="C1266" s="143"/>
    </row>
    <row r="1267" spans="3:3">
      <c r="C1267" s="143"/>
    </row>
    <row r="1268" spans="3:3">
      <c r="C1268" s="143"/>
    </row>
    <row r="1269" spans="3:3">
      <c r="C1269" s="143"/>
    </row>
    <row r="1270" spans="3:3">
      <c r="C1270" s="143"/>
    </row>
    <row r="1271" spans="3:3">
      <c r="C1271" s="143"/>
    </row>
    <row r="1272" spans="3:3">
      <c r="C1272" s="143"/>
    </row>
    <row r="1273" spans="3:3">
      <c r="C1273" s="143"/>
    </row>
    <row r="1274" spans="3:3">
      <c r="C1274" s="143"/>
    </row>
    <row r="1275" spans="3:3">
      <c r="C1275" s="143"/>
    </row>
    <row r="1276" spans="3:3">
      <c r="C1276" s="143"/>
    </row>
    <row r="1277" spans="3:3">
      <c r="C1277" s="143"/>
    </row>
    <row r="1278" spans="3:3">
      <c r="C1278" s="143"/>
    </row>
    <row r="1279" spans="3:3">
      <c r="C1279" s="143"/>
    </row>
    <row r="1280" spans="3:3">
      <c r="C1280" s="143"/>
    </row>
    <row r="1281" spans="3:3">
      <c r="C1281" s="143"/>
    </row>
    <row r="1282" spans="3:3">
      <c r="C1282" s="143"/>
    </row>
    <row r="1283" spans="3:3">
      <c r="C1283" s="143"/>
    </row>
    <row r="1284" spans="3:3">
      <c r="C1284" s="143"/>
    </row>
    <row r="1285" spans="3:3">
      <c r="C1285" s="143"/>
    </row>
    <row r="1286" spans="3:3">
      <c r="C1286" s="143"/>
    </row>
    <row r="1287" spans="3:3">
      <c r="C1287" s="143"/>
    </row>
    <row r="1288" spans="3:3">
      <c r="C1288" s="143"/>
    </row>
    <row r="1289" spans="3:3">
      <c r="C1289" s="143"/>
    </row>
    <row r="1290" spans="3:3">
      <c r="C1290" s="143"/>
    </row>
    <row r="1291" spans="3:3">
      <c r="C1291" s="143"/>
    </row>
    <row r="1292" spans="3:3">
      <c r="C1292" s="143"/>
    </row>
    <row r="1293" spans="3:3">
      <c r="C1293" s="143"/>
    </row>
    <row r="1294" spans="3:3">
      <c r="C1294" s="143"/>
    </row>
    <row r="1295" spans="3:3">
      <c r="C1295" s="143"/>
    </row>
    <row r="1296" spans="3:3">
      <c r="C1296" s="143"/>
    </row>
    <row r="1297" spans="3:3">
      <c r="C1297" s="143"/>
    </row>
    <row r="1298" spans="3:3">
      <c r="C1298" s="143"/>
    </row>
    <row r="1299" spans="3:3">
      <c r="C1299" s="143"/>
    </row>
    <row r="1300" spans="3:3">
      <c r="C1300" s="143"/>
    </row>
    <row r="1301" spans="3:3">
      <c r="C1301" s="143"/>
    </row>
    <row r="1302" spans="3:3">
      <c r="C1302" s="143"/>
    </row>
    <row r="1303" spans="3:3">
      <c r="C1303" s="143"/>
    </row>
    <row r="1304" spans="3:3">
      <c r="C1304" s="143"/>
    </row>
    <row r="1305" spans="3:3">
      <c r="C1305" s="143"/>
    </row>
    <row r="1306" spans="3:3">
      <c r="C1306" s="143"/>
    </row>
    <row r="1307" spans="3:3">
      <c r="C1307" s="143"/>
    </row>
    <row r="1308" spans="3:3">
      <c r="C1308" s="143"/>
    </row>
    <row r="1309" spans="3:3">
      <c r="C1309" s="143"/>
    </row>
    <row r="1310" spans="3:3">
      <c r="C1310" s="143"/>
    </row>
    <row r="1311" spans="3:3">
      <c r="C1311" s="143"/>
    </row>
    <row r="1312" spans="3:3">
      <c r="C1312" s="143"/>
    </row>
    <row r="1313" spans="3:3">
      <c r="C1313" s="143"/>
    </row>
    <row r="1314" spans="3:3">
      <c r="C1314" s="143"/>
    </row>
    <row r="1315" spans="3:3">
      <c r="C1315" s="143"/>
    </row>
    <row r="1316" spans="3:3">
      <c r="C1316" s="143"/>
    </row>
    <row r="1317" spans="3:3">
      <c r="C1317" s="143"/>
    </row>
    <row r="1318" spans="3:3">
      <c r="C1318" s="143"/>
    </row>
    <row r="1319" spans="3:3">
      <c r="C1319" s="143"/>
    </row>
    <row r="1320" spans="3:3">
      <c r="C1320" s="143"/>
    </row>
    <row r="1321" spans="3:3">
      <c r="C1321" s="143"/>
    </row>
    <row r="1322" spans="3:3">
      <c r="C1322" s="143"/>
    </row>
    <row r="1323" spans="3:3">
      <c r="C1323" s="143"/>
    </row>
    <row r="1324" spans="3:3">
      <c r="C1324" s="143"/>
    </row>
    <row r="1325" spans="3:3">
      <c r="C1325" s="143"/>
    </row>
    <row r="1326" spans="3:3">
      <c r="C1326" s="143"/>
    </row>
    <row r="1327" spans="3:3">
      <c r="C1327" s="143"/>
    </row>
    <row r="1328" spans="3:3">
      <c r="C1328" s="143"/>
    </row>
    <row r="1329" spans="3:3">
      <c r="C1329" s="143"/>
    </row>
    <row r="1330" spans="3:3">
      <c r="C1330" s="143"/>
    </row>
    <row r="1331" spans="3:3">
      <c r="C1331" s="143"/>
    </row>
    <row r="1332" spans="3:3">
      <c r="C1332" s="143"/>
    </row>
    <row r="1333" spans="3:3">
      <c r="C1333" s="143"/>
    </row>
    <row r="1334" spans="3:3">
      <c r="C1334" s="143"/>
    </row>
    <row r="1335" spans="3:3">
      <c r="C1335" s="143"/>
    </row>
    <row r="1336" spans="3:3">
      <c r="C1336" s="143"/>
    </row>
    <row r="1337" spans="3:3">
      <c r="C1337" s="143"/>
    </row>
    <row r="1338" spans="3:3">
      <c r="C1338" s="143"/>
    </row>
    <row r="1339" spans="3:3">
      <c r="C1339" s="143"/>
    </row>
    <row r="1340" spans="3:3">
      <c r="C1340" s="143"/>
    </row>
    <row r="1341" spans="3:3">
      <c r="C1341" s="143"/>
    </row>
    <row r="1342" spans="3:3">
      <c r="C1342" s="143"/>
    </row>
    <row r="1343" spans="3:3">
      <c r="C1343" s="143"/>
    </row>
    <row r="1344" spans="3:3">
      <c r="C1344" s="143"/>
    </row>
    <row r="1345" spans="3:3">
      <c r="C1345" s="143"/>
    </row>
    <row r="1346" spans="3:3">
      <c r="C1346" s="143"/>
    </row>
    <row r="1347" spans="3:3">
      <c r="C1347" s="143"/>
    </row>
    <row r="1348" spans="3:3">
      <c r="C1348" s="143"/>
    </row>
    <row r="1349" spans="3:3">
      <c r="C1349" s="143"/>
    </row>
    <row r="1350" spans="3:3">
      <c r="C1350" s="143"/>
    </row>
    <row r="1351" spans="3:3">
      <c r="C1351" s="143"/>
    </row>
    <row r="1352" spans="3:3">
      <c r="C1352" s="143"/>
    </row>
    <row r="1353" spans="3:3">
      <c r="C1353" s="143"/>
    </row>
    <row r="1354" spans="3:3">
      <c r="C1354" s="143"/>
    </row>
    <row r="1355" spans="3:3">
      <c r="C1355" s="143"/>
    </row>
    <row r="1356" spans="3:3">
      <c r="C1356" s="143"/>
    </row>
    <row r="1357" spans="3:3">
      <c r="C1357" s="143"/>
    </row>
    <row r="1358" spans="3:3">
      <c r="C1358" s="143"/>
    </row>
    <row r="1359" spans="3:3">
      <c r="C1359" s="143"/>
    </row>
    <row r="1360" spans="3:3">
      <c r="C1360" s="143"/>
    </row>
    <row r="1361" spans="3:3">
      <c r="C1361" s="143"/>
    </row>
    <row r="1362" spans="3:3">
      <c r="C1362" s="143"/>
    </row>
    <row r="1363" spans="3:3">
      <c r="C1363" s="143"/>
    </row>
    <row r="1364" spans="3:3">
      <c r="C1364" s="143"/>
    </row>
    <row r="1365" spans="3:3">
      <c r="C1365" s="143"/>
    </row>
    <row r="1366" spans="3:3">
      <c r="C1366" s="143"/>
    </row>
    <row r="1367" spans="3:3">
      <c r="C1367" s="143"/>
    </row>
    <row r="1368" spans="3:3">
      <c r="C1368" s="143"/>
    </row>
    <row r="1369" spans="3:3">
      <c r="C1369" s="143"/>
    </row>
    <row r="1370" spans="3:3">
      <c r="C1370" s="143"/>
    </row>
    <row r="1371" spans="3:3">
      <c r="C1371" s="143"/>
    </row>
    <row r="1372" spans="3:3">
      <c r="C1372" s="143"/>
    </row>
    <row r="1373" spans="3:3">
      <c r="C1373" s="143"/>
    </row>
    <row r="1374" spans="3:3">
      <c r="C1374" s="143"/>
    </row>
    <row r="1375" spans="3:3">
      <c r="C1375" s="143"/>
    </row>
    <row r="1376" spans="3:3">
      <c r="C1376" s="143"/>
    </row>
    <row r="1377" spans="3:3">
      <c r="C1377" s="143"/>
    </row>
    <row r="1378" spans="3:3">
      <c r="C1378" s="143"/>
    </row>
    <row r="1379" spans="3:3">
      <c r="C1379" s="143"/>
    </row>
    <row r="1380" spans="3:3">
      <c r="C1380" s="143"/>
    </row>
    <row r="1381" spans="3:3">
      <c r="C1381" s="143"/>
    </row>
    <row r="1382" spans="3:3">
      <c r="C1382" s="143"/>
    </row>
    <row r="1383" spans="3:3">
      <c r="C1383" s="143"/>
    </row>
    <row r="1384" spans="3:3">
      <c r="C1384" s="143"/>
    </row>
    <row r="1385" spans="3:3">
      <c r="C1385" s="143"/>
    </row>
    <row r="1386" spans="3:3">
      <c r="C1386" s="143"/>
    </row>
    <row r="1387" spans="3:3">
      <c r="C1387" s="143"/>
    </row>
    <row r="1388" spans="3:3">
      <c r="C1388" s="143"/>
    </row>
    <row r="1389" spans="3:3">
      <c r="C1389" s="143"/>
    </row>
    <row r="1390" spans="3:3">
      <c r="C1390" s="143"/>
    </row>
    <row r="1391" spans="3:3">
      <c r="C1391" s="143"/>
    </row>
    <row r="1392" spans="3:3">
      <c r="C1392" s="143"/>
    </row>
    <row r="1393" spans="3:3">
      <c r="C1393" s="143"/>
    </row>
    <row r="1394" spans="3:3">
      <c r="C1394" s="143"/>
    </row>
    <row r="1395" spans="3:3">
      <c r="C1395" s="143"/>
    </row>
    <row r="1396" spans="3:3">
      <c r="C1396" s="143"/>
    </row>
    <row r="1397" spans="3:3">
      <c r="C1397" s="143"/>
    </row>
    <row r="1398" spans="3:3">
      <c r="C1398" s="143"/>
    </row>
    <row r="1399" spans="3:3">
      <c r="C1399" s="143"/>
    </row>
    <row r="1400" spans="3:3">
      <c r="C1400" s="143"/>
    </row>
    <row r="1401" spans="3:3">
      <c r="C1401" s="143"/>
    </row>
    <row r="1402" spans="3:3">
      <c r="C1402" s="143"/>
    </row>
    <row r="1403" spans="3:3">
      <c r="C1403" s="143"/>
    </row>
    <row r="1404" spans="3:3">
      <c r="C1404" s="143"/>
    </row>
    <row r="1405" spans="3:3">
      <c r="C1405" s="143"/>
    </row>
    <row r="1406" spans="3:3">
      <c r="C1406" s="143"/>
    </row>
    <row r="1407" spans="3:3">
      <c r="C1407" s="143"/>
    </row>
    <row r="1408" spans="3:3">
      <c r="C1408" s="143"/>
    </row>
    <row r="1409" spans="3:3">
      <c r="C1409" s="143"/>
    </row>
    <row r="1410" spans="3:3">
      <c r="C1410" s="143"/>
    </row>
    <row r="1411" spans="3:3">
      <c r="C1411" s="143"/>
    </row>
    <row r="1412" spans="3:3">
      <c r="C1412" s="143"/>
    </row>
    <row r="1413" spans="3:3">
      <c r="C1413" s="143"/>
    </row>
    <row r="1414" spans="3:3">
      <c r="C1414" s="143"/>
    </row>
    <row r="1415" spans="3:3">
      <c r="C1415" s="143"/>
    </row>
    <row r="1416" spans="3:3">
      <c r="C1416" s="143"/>
    </row>
    <row r="1417" spans="3:3">
      <c r="C1417" s="143"/>
    </row>
    <row r="1418" spans="3:3">
      <c r="C1418" s="143"/>
    </row>
    <row r="1419" spans="3:3">
      <c r="C1419" s="143"/>
    </row>
    <row r="1420" spans="3:3">
      <c r="C1420" s="143"/>
    </row>
    <row r="1421" spans="3:3">
      <c r="C1421" s="143"/>
    </row>
    <row r="1422" spans="3:3">
      <c r="C1422" s="143"/>
    </row>
    <row r="1423" spans="3:3">
      <c r="C1423" s="143"/>
    </row>
    <row r="1424" spans="3:3">
      <c r="C1424" s="143"/>
    </row>
    <row r="1425" spans="3:3">
      <c r="C1425" s="143"/>
    </row>
    <row r="1426" spans="3:3">
      <c r="C1426" s="143"/>
    </row>
    <row r="1427" spans="3:3">
      <c r="C1427" s="143"/>
    </row>
    <row r="1428" spans="3:3">
      <c r="C1428" s="143"/>
    </row>
    <row r="1429" spans="3:3">
      <c r="C1429" s="143"/>
    </row>
    <row r="1430" spans="3:3">
      <c r="C1430" s="143"/>
    </row>
    <row r="1431" spans="3:3">
      <c r="C1431" s="143"/>
    </row>
    <row r="1432" spans="3:3">
      <c r="C1432" s="143"/>
    </row>
    <row r="1433" spans="3:3">
      <c r="C1433" s="143"/>
    </row>
    <row r="1434" spans="3:3">
      <c r="C1434" s="143"/>
    </row>
    <row r="1435" spans="3:3">
      <c r="C1435" s="143"/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1</vt:lpstr>
      <vt:lpstr>Active 2</vt:lpstr>
      <vt:lpstr>BAV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2023-01-16T04:14:13Z</dcterms:modified>
</cp:coreProperties>
</file>