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21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<sst xmlns="http://schemas.openxmlformats.org/spreadsheetml/2006/main" count="61" uniqueCount="49">
  <si>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VSB-66</t>
  </si>
  <si>
    <t>na</t>
  </si>
  <si>
    <t>PE</t>
  </si>
  <si>
    <t>CCD</t>
  </si>
  <si>
    <t>pg</t>
  </si>
  <si>
    <t>--- Working ----</t>
  </si>
  <si>
    <t>Epoch =</t>
  </si>
  <si>
    <t>Period =</t>
  </si>
  <si>
    <t>Source</t>
  </si>
  <si>
    <t>Typ</t>
  </si>
  <si>
    <t>ToM</t>
  </si>
  <si>
    <t>n'</t>
  </si>
  <si>
    <t>n</t>
  </si>
  <si>
    <t>O-C</t>
  </si>
  <si>
    <t>error</t>
  </si>
  <si>
    <t>Date</t>
  </si>
  <si>
    <t>System Type:</t>
  </si>
  <si>
    <t>S6</t>
  </si>
  <si>
    <t>Primary</t>
  </si>
  <si>
    <t>Secondary</t>
  </si>
  <si>
    <t>Misc</t>
  </si>
  <si>
    <t>Prim. Ephem. =</t>
  </si>
  <si>
    <t>Sec. Ephem. =</t>
  </si>
  <si>
    <t>Prim. Fit</t>
  </si>
  <si>
    <t>Sec. Fit</t>
  </si>
  <si>
    <t>S5</t>
  </si>
  <si>
    <t>Kreiner Eph.</t>
  </si>
  <si>
    <t>I</t>
  </si>
  <si>
    <t>II</t>
  </si>
  <si>
    <t>J.M. Kreiner, 2004, Acta Astronomica, vol. 54, pp 207-210.</t>
  </si>
  <si>
    <t>Intercept</t>
  </si>
  <si>
    <t>Slope</t>
  </si>
  <si>
    <t>New Elements ----</t>
  </si>
  <si>
    <t>Repeated ------</t>
  </si>
  <si>
    <t>Ref only</t>
  </si>
  <si>
    <t xml:space="preserve">KW Hya / GSC 4891-1371               </t>
  </si>
  <si>
    <t xml:space="preserve">EA/DM     </t>
  </si>
  <si>
    <t>Kreiner 1</t>
  </si>
  <si>
    <t>Kreiner 2</t>
  </si>
  <si>
    <t>IBVS 5806</t>
  </si>
  <si>
    <t>vis</t>
  </si>
  <si>
    <t># data points</t>
  </si>
  <si>
    <t>Add cycle</t>
  </si>
  <si>
    <t>JD today</t>
  </si>
  <si>
    <t>Old Cycle</t>
  </si>
  <si>
    <t>New Cycle</t>
  </si>
  <si>
    <t>Next ToM</t>
  </si>
  <si>
    <t>Local time</t>
  </si>
  <si>
    <t>My time zone &gt;&gt;&gt;&gt;&gt;&gt;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</si>
</sst>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7.35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b/>
      <sz val="10"/>
      <color rgb="FF0070C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4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4" fillId="20" borderId="6" applyNumberFormat="0" applyAlignment="0" applyProtection="0"/>
    <xf numFmtId="1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5" xfId="0" applyFont="1" applyBorder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10" fillId="0" borderId="0" xfId="61" applyFont="1" applyAlignment="1">
      <alignment horizontal="left"/>
      <protection/>
    </xf>
    <xf numFmtId="0" fontId="10" fillId="0" borderId="0" xfId="61" applyFont="1" applyAlignment="1">
      <alignment horizontal="center"/>
      <protection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2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22" fontId="9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31" fillId="0" borderId="0" xfId="0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KW Hya - Prim. O-C Diagr.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10375"/>
          <c:w val="0.88725"/>
          <c:h val="0.76525"/>
        </c:manualLayout>
      </c:layout>
      <c:scatterChart>
        <c:scatterStyle val="lineMarker"/>
        <c:varyColors val="0"/>
        <c:ser>
          <c:idx val="6"/>
          <c:order val="0"/>
          <c:tx>
            <c:strRef>
              <c:f>A!$R$20</c:f>
              <c:strCache>
                <c:ptCount val="1"/>
                <c:pt idx="0">
                  <c:v>Primary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A!$R$21:$R$921</c:f>
              <c:numCache/>
            </c:numRef>
          </c:yVal>
          <c:smooth val="0"/>
        </c:ser>
        <c:ser>
          <c:idx val="7"/>
          <c:order val="1"/>
          <c:tx>
            <c:strRef>
              <c:f>A!$O$20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A!$O$21:$O$921</c:f>
              <c:numCache/>
            </c:numRef>
          </c:yVal>
          <c:smooth val="0"/>
        </c:ser>
        <c:axId val="37188181"/>
        <c:axId val="66258174"/>
      </c:scatterChart>
      <c:valAx>
        <c:axId val="37188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58174"/>
        <c:crosses val="autoZero"/>
        <c:crossBetween val="midCat"/>
        <c:dispUnits/>
      </c:valAx>
      <c:valAx>
        <c:axId val="66258174"/>
        <c:scaling>
          <c:orientation val="minMax"/>
          <c:max val="0.06"/>
          <c:min val="-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8818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675"/>
          <c:y val="0.9315"/>
          <c:w val="0.311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KW Cep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375"/>
          <c:w val="0.90675"/>
          <c:h val="0.76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A!$C$21:$C$494</c:f>
                <c:numCache>
                  <c:ptCount val="474"/>
                  <c:pt idx="0">
                    <c:v>52500.8931</c:v>
                  </c:pt>
                  <c:pt idx="1">
                    <c:v>52504.4441</c:v>
                  </c:pt>
                  <c:pt idx="2">
                    <c:v>54108.793500000145</c:v>
                  </c:pt>
                  <c:pt idx="3">
                    <c:v>58181.993499999866</c:v>
                  </c:pt>
                  <c:pt idx="4">
                    <c:v>58181.99649999989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</c:numCache>
              </c:numRef>
            </c:plus>
            <c:minus>
              <c:numRef>
                <c:f>A!$C$21:$C$494</c:f>
                <c:numCache>
                  <c:ptCount val="474"/>
                  <c:pt idx="0">
                    <c:v>52500.8931</c:v>
                  </c:pt>
                  <c:pt idx="1">
                    <c:v>52504.4441</c:v>
                  </c:pt>
                  <c:pt idx="2">
                    <c:v>54108.793500000145</c:v>
                  </c:pt>
                  <c:pt idx="3">
                    <c:v>58181.993499999866</c:v>
                  </c:pt>
                  <c:pt idx="4">
                    <c:v>58181.99649999989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A!$H$21:$H$921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NaN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A!$I$21:$I$921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NaN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A!$J$21:$J$921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A!$K$21:$K$921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A!$L$21:$L$921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A!$M$21:$M$921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A!$N$21:$N$921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A!$D$21:$D$52</c:f>
                <c:numCache>
                  <c:ptCount val="32"/>
                  <c:pt idx="0">
                    <c:v>NaN</c:v>
                  </c:pt>
                  <c:pt idx="1">
                    <c:v>NaN</c:v>
                  </c:pt>
                  <c:pt idx="2">
                    <c:v>0.001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</c:numCache>
              </c:numRef>
            </c:plus>
            <c:minus>
              <c:numRef>
                <c:f>A!$D$21:$D$52</c:f>
                <c:numCache>
                  <c:ptCount val="32"/>
                  <c:pt idx="0">
                    <c:v>NaN</c:v>
                  </c:pt>
                  <c:pt idx="1">
                    <c:v>NaN</c:v>
                  </c:pt>
                  <c:pt idx="2">
                    <c:v>0.001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A!$O$21:$O$921</c:f>
              <c:numCache/>
            </c:numRef>
          </c:yVal>
          <c:smooth val="0"/>
        </c:ser>
        <c:ser>
          <c:idx val="8"/>
          <c:order val="8"/>
          <c:tx>
            <c:strRef>
              <c:f>A!$P$20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A!$P$21:$P$921</c:f>
              <c:numCache/>
            </c:numRef>
          </c:yVal>
          <c:smooth val="0"/>
        </c:ser>
        <c:axId val="59452655"/>
        <c:axId val="65311848"/>
      </c:scatterChart>
      <c:valAx>
        <c:axId val="59452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11848"/>
        <c:crosses val="autoZero"/>
        <c:crossBetween val="midCat"/>
        <c:dispUnits/>
      </c:valAx>
      <c:valAx>
        <c:axId val="65311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5265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25"/>
          <c:y val="0.93175"/>
          <c:w val="0.8167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KW Hya - Sec. O-C Diagr.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03"/>
          <c:w val="0.8885"/>
          <c:h val="0.76575"/>
        </c:manualLayout>
      </c:layout>
      <c:scatterChart>
        <c:scatterStyle val="lineMarker"/>
        <c:varyColors val="0"/>
        <c:ser>
          <c:idx val="6"/>
          <c:order val="0"/>
          <c:tx>
            <c:strRef>
              <c:f>A!$S$20</c:f>
              <c:strCache>
                <c:ptCount val="1"/>
                <c:pt idx="0">
                  <c:v>Secondary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A!$S$21:$S$921</c:f>
              <c:numCache/>
            </c:numRef>
          </c:yVal>
          <c:smooth val="0"/>
        </c:ser>
        <c:ser>
          <c:idx val="7"/>
          <c:order val="1"/>
          <c:tx>
            <c:strRef>
              <c:f>A!$P$20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A!$P$21:$P$921</c:f>
              <c:numCache/>
            </c:numRef>
          </c:yVal>
          <c:smooth val="0"/>
        </c:ser>
        <c:axId val="50935721"/>
        <c:axId val="55768306"/>
      </c:scatterChart>
      <c:valAx>
        <c:axId val="50935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68306"/>
        <c:crosses val="autoZero"/>
        <c:crossBetween val="midCat"/>
        <c:dispUnits/>
      </c:valAx>
      <c:valAx>
        <c:axId val="55768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3572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325"/>
          <c:y val="0.93175"/>
          <c:w val="0.339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0</xdr:row>
      <xdr:rowOff>104775</xdr:rowOff>
    </xdr:from>
    <xdr:to>
      <xdr:col>15</xdr:col>
      <xdr:colOff>266700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5314950" y="104775"/>
        <a:ext cx="45815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361950</xdr:colOff>
      <xdr:row>20</xdr:row>
      <xdr:rowOff>142875</xdr:rowOff>
    </xdr:from>
    <xdr:to>
      <xdr:col>29</xdr:col>
      <xdr:colOff>95250</xdr:colOff>
      <xdr:row>40</xdr:row>
      <xdr:rowOff>57150</xdr:rowOff>
    </xdr:to>
    <xdr:graphicFrame>
      <xdr:nvGraphicFramePr>
        <xdr:cNvPr id="2" name="Chart 2"/>
        <xdr:cNvGraphicFramePr/>
      </xdr:nvGraphicFramePr>
      <xdr:xfrm>
        <a:off x="13220700" y="3609975"/>
        <a:ext cx="590550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47625</xdr:colOff>
      <xdr:row>0</xdr:row>
      <xdr:rowOff>133350</xdr:rowOff>
    </xdr:from>
    <xdr:to>
      <xdr:col>22</xdr:col>
      <xdr:colOff>628650</xdr:colOff>
      <xdr:row>19</xdr:row>
      <xdr:rowOff>0</xdr:rowOff>
    </xdr:to>
    <xdr:graphicFrame>
      <xdr:nvGraphicFramePr>
        <xdr:cNvPr id="3" name="Chart 3"/>
        <xdr:cNvGraphicFramePr/>
      </xdr:nvGraphicFramePr>
      <xdr:xfrm>
        <a:off x="10191750" y="133350"/>
        <a:ext cx="4667250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vsolj.cetus-net.org/bulletin.html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s://www.aavso.org/ejaavso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cdsbib.u-strasbg.fr/cgi-bin/cdsbib?1990RMxAA..21..381G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://cdsbib.u-strasbg.fr/cgi-bin/cdsbib?1990RMxAA..21..381G" TargetMode="External" /><Relationship Id="rId12" Type="http://schemas.openxmlformats.org/officeDocument/2006/relationships/hyperlink" Target="http://cdsbib.u-strasbg.fr/cgi-bin/cdsbib?1990RMxAA..21..381G" TargetMode="External" /><Relationship Id="rId13" Type="http://schemas.openxmlformats.org/officeDocument/2006/relationships/hyperlink" Target="http://vsolj.cetus-net.org/bulletin.html" TargetMode="External" /><Relationship Id="rId14" Type="http://schemas.openxmlformats.org/officeDocument/2006/relationships/hyperlink" Target="http://vsolj.cetus-net.org/bulletin.html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cdsbib.u-strasbg.fr/cgi-bin/cdsbib?1990RMxAA..21..381G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selection activeCell="C9" sqref="C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6" width="9.140625" style="0" customWidth="1"/>
    <col min="7" max="7" width="17.281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35</v>
      </c>
    </row>
    <row r="2" spans="1:2" ht="13.5" thickBot="1">
      <c r="A2" t="s">
        <v>16</v>
      </c>
      <c r="B2" t="s">
        <v>36</v>
      </c>
    </row>
    <row r="3" spans="1:4" ht="14.25" thickBot="1" thickTop="1">
      <c r="A3" s="7" t="s">
        <v>26</v>
      </c>
      <c r="B3" s="5" t="s">
        <v>27</v>
      </c>
      <c r="C3" s="24">
        <v>52500.8931</v>
      </c>
      <c r="D3" s="25">
        <v>7.750474</v>
      </c>
    </row>
    <row r="4" spans="1:5" ht="14.25" thickBot="1" thickTop="1">
      <c r="A4" s="7" t="s">
        <v>26</v>
      </c>
      <c r="B4" s="5" t="s">
        <v>28</v>
      </c>
      <c r="C4" s="24">
        <v>52504.4441</v>
      </c>
      <c r="D4" s="25">
        <v>7.75048</v>
      </c>
      <c r="E4" s="21" t="s">
        <v>34</v>
      </c>
    </row>
    <row r="5" ht="13.5" thickTop="1">
      <c r="C5" s="26" t="s">
        <v>29</v>
      </c>
    </row>
    <row r="6" ht="12.75">
      <c r="A6" s="7" t="s">
        <v>5</v>
      </c>
    </row>
    <row r="7" spans="1:3" ht="12.75">
      <c r="A7" t="s">
        <v>6</v>
      </c>
      <c r="C7">
        <f>C3</f>
        <v>52500.8931</v>
      </c>
    </row>
    <row r="8" spans="1:3" ht="12.75">
      <c r="A8" t="s">
        <v>7</v>
      </c>
      <c r="C8">
        <f>D3</f>
        <v>7.750474</v>
      </c>
    </row>
    <row r="9" spans="1:3" ht="12.75">
      <c r="A9" s="41" t="s">
        <v>48</v>
      </c>
      <c r="C9" s="42">
        <v>-9.5</v>
      </c>
    </row>
    <row r="10" spans="1:4" ht="13.5" thickBot="1">
      <c r="A10" s="29"/>
      <c r="C10" s="6" t="s">
        <v>30</v>
      </c>
      <c r="D10" s="6" t="s">
        <v>31</v>
      </c>
    </row>
    <row r="11" spans="1:4" ht="12.75">
      <c r="A11" t="s">
        <v>18</v>
      </c>
      <c r="C11" s="21">
        <f>INTERCEPT(R21:R$935,$F21:$F$935)</f>
        <v>-4.336808689942018E-19</v>
      </c>
      <c r="D11" s="21">
        <f>SLOPE(R21:R$935,$F21:$F$935)</f>
        <v>6.081855224253608E-06</v>
      </c>
    </row>
    <row r="12" spans="1:7" ht="12.75">
      <c r="A12" t="s">
        <v>19</v>
      </c>
      <c r="C12" s="21">
        <f>INTERCEPT(S21:S$935,$F21:$F$935)</f>
        <v>-0.3242400966194241</v>
      </c>
      <c r="D12" s="21">
        <f>SLOPE(S21:S$935,$F21:$F$935)</f>
        <v>6.1932374056257705E-06</v>
      </c>
      <c r="F12" s="35" t="s">
        <v>42</v>
      </c>
      <c r="G12" s="36">
        <v>1</v>
      </c>
    </row>
    <row r="13" spans="1:7" ht="12.75">
      <c r="A13" s="34" t="s">
        <v>41</v>
      </c>
      <c r="C13" s="5">
        <f>COUNT(C21:C2197)</f>
        <v>5</v>
      </c>
      <c r="D13" s="5"/>
      <c r="F13" s="35" t="s">
        <v>43</v>
      </c>
      <c r="G13" s="37">
        <f ca="1">NOW()+15018.5+$C$9/24</f>
        <v>59901.7099943287</v>
      </c>
    </row>
    <row r="14" spans="3:7" ht="12.75">
      <c r="C14" t="s">
        <v>32</v>
      </c>
      <c r="F14" s="35" t="s">
        <v>44</v>
      </c>
      <c r="G14" s="38">
        <f>ROUND(2*(G13-$C$7)/$C$8,0)/2+G12</f>
        <v>956</v>
      </c>
    </row>
    <row r="15" spans="1:7" ht="12.75">
      <c r="A15" t="s">
        <v>18</v>
      </c>
      <c r="C15" s="22">
        <f>($C3+C11)+($C8+D11)*INT(MAX($F21:$F3533))</f>
        <v>58181.99499999988</v>
      </c>
      <c r="D15" s="23">
        <f>+$D3+D11</f>
        <v>7.7504800818552235</v>
      </c>
      <c r="F15" s="35" t="s">
        <v>45</v>
      </c>
      <c r="G15" s="21">
        <f>ROUND(2*(G13-$C$15)/$C$16,0)/2+G12</f>
        <v>1</v>
      </c>
    </row>
    <row r="16" spans="1:7" ht="12.75">
      <c r="A16" t="s">
        <v>19</v>
      </c>
      <c r="C16" s="22">
        <f>($C3+C12)+($C8+D12)*INT(MAX($F21:$F3533))</f>
        <v>58181.6708415464</v>
      </c>
      <c r="D16" s="21">
        <f>+$D3+D12</f>
        <v>7.750480193237405</v>
      </c>
      <c r="F16" s="35" t="s">
        <v>46</v>
      </c>
      <c r="G16" s="39">
        <f>+$C$15+$C$16*G15-15018.5-$C$9/24</f>
        <v>101345.56167487962</v>
      </c>
    </row>
    <row r="17" spans="1:7" ht="13.5" thickBot="1">
      <c r="A17" s="20"/>
      <c r="C17" t="s">
        <v>33</v>
      </c>
      <c r="G17" s="40" t="s">
        <v>47</v>
      </c>
    </row>
    <row r="18" spans="1:5" ht="14.25" thickBot="1" thickTop="1">
      <c r="A18" s="7" t="s">
        <v>21</v>
      </c>
      <c r="C18" s="3">
        <f>+C15</f>
        <v>58181.99499999988</v>
      </c>
      <c r="D18" s="4">
        <f>+D15</f>
        <v>7.7504800818552235</v>
      </c>
      <c r="E18">
        <f>R19</f>
        <v>3</v>
      </c>
    </row>
    <row r="19" spans="1:19" ht="14.25" thickBot="1" thickTop="1">
      <c r="A19" s="7" t="s">
        <v>22</v>
      </c>
      <c r="C19" s="3">
        <f>+C16</f>
        <v>58181.6708415464</v>
      </c>
      <c r="D19" s="4">
        <f>+D16</f>
        <v>7.750480193237405</v>
      </c>
      <c r="E19">
        <f>S19</f>
        <v>2</v>
      </c>
      <c r="R19">
        <f>COUNT(R21:R322)</f>
        <v>3</v>
      </c>
      <c r="S19">
        <f>COUNT(S21:S322)</f>
        <v>2</v>
      </c>
    </row>
    <row r="20" spans="1:19" ht="14.25" thickBot="1" thickTop="1">
      <c r="A20" s="6" t="s">
        <v>8</v>
      </c>
      <c r="B20" s="6" t="s">
        <v>9</v>
      </c>
      <c r="C20" s="6" t="s">
        <v>10</v>
      </c>
      <c r="D20" s="6" t="s">
        <v>14</v>
      </c>
      <c r="E20" s="6" t="s">
        <v>11</v>
      </c>
      <c r="F20" s="6" t="s">
        <v>12</v>
      </c>
      <c r="G20" s="6" t="s">
        <v>13</v>
      </c>
      <c r="H20" s="9" t="s">
        <v>4</v>
      </c>
      <c r="I20" s="9" t="s">
        <v>40</v>
      </c>
      <c r="J20" s="9" t="s">
        <v>2</v>
      </c>
      <c r="K20" s="9" t="s">
        <v>3</v>
      </c>
      <c r="L20" s="9" t="s">
        <v>25</v>
      </c>
      <c r="M20" s="9" t="s">
        <v>17</v>
      </c>
      <c r="N20" s="9" t="s">
        <v>20</v>
      </c>
      <c r="O20" s="9" t="s">
        <v>23</v>
      </c>
      <c r="P20" s="8" t="s">
        <v>24</v>
      </c>
      <c r="Q20" s="6" t="s">
        <v>15</v>
      </c>
      <c r="R20" s="10" t="s">
        <v>18</v>
      </c>
      <c r="S20" s="10" t="s">
        <v>19</v>
      </c>
    </row>
    <row r="21" spans="1:18" ht="12.75">
      <c r="A21" s="27" t="s">
        <v>37</v>
      </c>
      <c r="B21" s="28" t="s">
        <v>27</v>
      </c>
      <c r="C21" s="27">
        <f>C3</f>
        <v>52500.8931</v>
      </c>
      <c r="D21" s="27"/>
      <c r="E21">
        <f>+(C21-C$7)/C$8</f>
        <v>0</v>
      </c>
      <c r="F21">
        <f>ROUND(2*E21,0)/2</f>
        <v>0</v>
      </c>
      <c r="G21">
        <f>+C21-(C$7+F21*C$8)</f>
        <v>0</v>
      </c>
      <c r="K21">
        <f>+G21</f>
        <v>0</v>
      </c>
      <c r="O21">
        <f>+C$11+D$11*$F21</f>
        <v>-4.336808689942018E-19</v>
      </c>
      <c r="P21">
        <f>+C$12+D$12*$F21</f>
        <v>-0.3242400966194241</v>
      </c>
      <c r="Q21" s="2">
        <f>+C21-15018.5</f>
        <v>37482.3931</v>
      </c>
      <c r="R21">
        <f>G21</f>
        <v>0</v>
      </c>
    </row>
    <row r="22" spans="1:19" ht="12.75">
      <c r="A22" s="27" t="s">
        <v>38</v>
      </c>
      <c r="B22" s="28" t="s">
        <v>28</v>
      </c>
      <c r="C22" s="27">
        <f>C4</f>
        <v>52504.4441</v>
      </c>
      <c r="D22" s="27"/>
      <c r="E22">
        <f>+(C22-C$7)/C$8</f>
        <v>0.4581655263922537</v>
      </c>
      <c r="F22">
        <f>ROUND(2*E22,0)/2</f>
        <v>0.5</v>
      </c>
      <c r="G22">
        <f>+C22-(C$7+F22*C$8)</f>
        <v>-0.3242370000007213</v>
      </c>
      <c r="K22">
        <f>+G22</f>
        <v>-0.3242370000007213</v>
      </c>
      <c r="O22">
        <f>+C$11+D$11*$F22</f>
        <v>3.0409276121263703E-06</v>
      </c>
      <c r="P22">
        <f>+C$12+D$12*$F22</f>
        <v>-0.3242370000007213</v>
      </c>
      <c r="Q22" s="2">
        <f>+C22-15018.5</f>
        <v>37485.9441</v>
      </c>
      <c r="S22">
        <f>G22</f>
        <v>-0.3242370000007213</v>
      </c>
    </row>
    <row r="23" spans="1:19" ht="12.75">
      <c r="A23" s="30" t="s">
        <v>39</v>
      </c>
      <c r="B23" s="31" t="s">
        <v>28</v>
      </c>
      <c r="C23" s="30">
        <v>54108.793500000145</v>
      </c>
      <c r="D23" s="30">
        <v>0.001</v>
      </c>
      <c r="E23">
        <f>+(C23-C$7)/C$8</f>
        <v>207.45833093564912</v>
      </c>
      <c r="F23">
        <f>ROUND(2*E23,0)/2</f>
        <v>207.5</v>
      </c>
      <c r="G23">
        <f>+C23-(C$7+F23*C$8)</f>
        <v>-0.3229549998577568</v>
      </c>
      <c r="K23">
        <f>+G23</f>
        <v>-0.3229549998577568</v>
      </c>
      <c r="O23">
        <f>+C$11+D$11*$F23</f>
        <v>0.0012619849590326231</v>
      </c>
      <c r="P23">
        <f>+C$12+D$12*$F23</f>
        <v>-0.3229549998577568</v>
      </c>
      <c r="Q23" s="2">
        <f>+C23-15018.5</f>
        <v>39090.293500000145</v>
      </c>
      <c r="S23">
        <f>G23</f>
        <v>-0.3229549998577568</v>
      </c>
    </row>
    <row r="24" spans="1:18" ht="12.75">
      <c r="A24" s="32" t="s">
        <v>0</v>
      </c>
      <c r="B24" s="33" t="s">
        <v>27</v>
      </c>
      <c r="C24" s="32">
        <v>58181.993499999866</v>
      </c>
      <c r="D24" s="32" t="s">
        <v>1</v>
      </c>
      <c r="E24">
        <f>+(C24-C$7)/C$8</f>
        <v>733.0003816540595</v>
      </c>
      <c r="F24">
        <f>ROUND(2*E24,0)/2</f>
        <v>733</v>
      </c>
      <c r="G24">
        <f>+C24-(C$7+F24*C$8)</f>
        <v>0.002957999866339378</v>
      </c>
      <c r="K24">
        <f>+G24</f>
        <v>0.002957999866339378</v>
      </c>
      <c r="O24">
        <f>+C$11+D$11*$F24</f>
        <v>0.004457999879377894</v>
      </c>
      <c r="P24">
        <f>+C$12+D$12*$F24</f>
        <v>-0.3197004536011004</v>
      </c>
      <c r="Q24" s="2">
        <f>+C24-15018.5</f>
        <v>43163.493499999866</v>
      </c>
      <c r="R24">
        <f>G24</f>
        <v>0.002957999866339378</v>
      </c>
    </row>
    <row r="25" spans="1:18" ht="12.75">
      <c r="A25" s="32" t="s">
        <v>0</v>
      </c>
      <c r="B25" s="33" t="s">
        <v>27</v>
      </c>
      <c r="C25" s="32">
        <v>58181.99649999989</v>
      </c>
      <c r="D25" s="32" t="s">
        <v>1</v>
      </c>
      <c r="E25">
        <f>+(C25-C$7)/C$8</f>
        <v>733.0007687271632</v>
      </c>
      <c r="F25">
        <f>ROUND(2*E25,0)/2</f>
        <v>733</v>
      </c>
      <c r="G25">
        <f>+C25-(C$7+F25*C$8)</f>
        <v>0.00595799989241641</v>
      </c>
      <c r="K25">
        <f>+G25</f>
        <v>0.00595799989241641</v>
      </c>
      <c r="O25">
        <f>+C$11+D$11*$F25</f>
        <v>0.004457999879377894</v>
      </c>
      <c r="P25">
        <f>+C$12+D$12*$F25</f>
        <v>-0.3197004536011004</v>
      </c>
      <c r="Q25" s="2">
        <f>+C25-15018.5</f>
        <v>43163.49649999989</v>
      </c>
      <c r="R25">
        <f>G25</f>
        <v>0.00595799989241641</v>
      </c>
    </row>
    <row r="26" spans="1:17" ht="12.75">
      <c r="A26" s="13"/>
      <c r="B26" s="5"/>
      <c r="C26" s="12"/>
      <c r="D26" s="14"/>
      <c r="Q26" s="2"/>
    </row>
    <row r="27" spans="1:17" ht="12.75">
      <c r="A27" s="11"/>
      <c r="B27" s="11"/>
      <c r="C27" s="12"/>
      <c r="D27" s="12"/>
      <c r="Q27" s="2"/>
    </row>
    <row r="28" spans="1:17" ht="12.75">
      <c r="A28" s="11"/>
      <c r="B28" s="11"/>
      <c r="C28" s="12"/>
      <c r="D28" s="12"/>
      <c r="Q28" s="2"/>
    </row>
    <row r="29" spans="1:17" ht="12.75">
      <c r="A29" s="15"/>
      <c r="B29" s="16"/>
      <c r="C29" s="17"/>
      <c r="D29" s="17"/>
      <c r="Q29" s="2"/>
    </row>
    <row r="30" spans="1:17" ht="12.75">
      <c r="A30" s="13"/>
      <c r="B30" s="5"/>
      <c r="C30" s="12"/>
      <c r="D30" s="14"/>
      <c r="Q30" s="2"/>
    </row>
    <row r="31" spans="1:17" ht="12.75">
      <c r="A31" s="15"/>
      <c r="B31" s="18"/>
      <c r="C31" s="12"/>
      <c r="D31" s="12"/>
      <c r="Q31" s="2"/>
    </row>
    <row r="32" spans="1:17" ht="12.75">
      <c r="A32" s="15"/>
      <c r="B32" s="18"/>
      <c r="C32" s="12"/>
      <c r="D32" s="12"/>
      <c r="Q32" s="2"/>
    </row>
    <row r="33" spans="1:17" ht="12.75">
      <c r="A33" s="19"/>
      <c r="B33" s="5"/>
      <c r="C33" s="12"/>
      <c r="D33" s="14"/>
      <c r="Q33" s="2"/>
    </row>
    <row r="34" spans="1:17" ht="12.75">
      <c r="A34" s="19"/>
      <c r="B34" s="5"/>
      <c r="C34" s="12"/>
      <c r="D34" s="14"/>
      <c r="Q34" s="2"/>
    </row>
    <row r="35" spans="1:17" ht="12.75">
      <c r="A35" s="19"/>
      <c r="B35" s="5"/>
      <c r="C35" s="12"/>
      <c r="D35" s="14"/>
      <c r="Q35" s="2"/>
    </row>
  </sheetData>
  <sheetProtection/>
  <hyperlinks>
    <hyperlink ref="H64065" r:id="rId1" display="http://vsolj.cetus-net.org/bulletin.html"/>
    <hyperlink ref="H64058" r:id="rId2" display="https://www.aavso.org/ejaavso"/>
    <hyperlink ref="I64065" r:id="rId3" display="http://vsolj.cetus-net.org/bulletin.html"/>
    <hyperlink ref="AQ57716" r:id="rId4" display="http://cdsbib.u-strasbg.fr/cgi-bin/cdsbib?1990RMxAA..21..381G"/>
    <hyperlink ref="H64062" r:id="rId5" display="https://www.aavso.org/ejaavso"/>
    <hyperlink ref="AP5080" r:id="rId6" display="http://cdsbib.u-strasbg.fr/cgi-bin/cdsbib?1990RMxAA..21..381G"/>
    <hyperlink ref="AP5083" r:id="rId7" display="http://cdsbib.u-strasbg.fr/cgi-bin/cdsbib?1990RMxAA..21..381G"/>
    <hyperlink ref="AP5081" r:id="rId8" display="http://cdsbib.u-strasbg.fr/cgi-bin/cdsbib?1990RMxAA..21..381G"/>
    <hyperlink ref="AP5065" r:id="rId9" display="http://cdsbib.u-strasbg.fr/cgi-bin/cdsbib?1990RMxAA..21..381G"/>
    <hyperlink ref="AQ5294" r:id="rId10" display="http://cdsbib.u-strasbg.fr/cgi-bin/cdsbib?1990RMxAA..21..381G"/>
    <hyperlink ref="AQ5298" r:id="rId11" display="http://cdsbib.u-strasbg.fr/cgi-bin/cdsbib?1990RMxAA..21..381G"/>
    <hyperlink ref="AQ64978" r:id="rId12" display="http://cdsbib.u-strasbg.fr/cgi-bin/cdsbib?1990RMxAA..21..381G"/>
    <hyperlink ref="I2186" r:id="rId13" display="http://vsolj.cetus-net.org/bulletin.html"/>
    <hyperlink ref="H2186" r:id="rId14" display="http://vsolj.cetus-net.org/bulletin.html"/>
    <hyperlink ref="AQ103" r:id="rId15" display="http://cdsbib.u-strasbg.fr/cgi-bin/cdsbib?1990RMxAA..21..381G"/>
    <hyperlink ref="AQ102" r:id="rId16" display="http://cdsbib.u-strasbg.fr/cgi-bin/cdsbib?1990RMxAA..21..381G"/>
    <hyperlink ref="AP3356" r:id="rId17" display="http://cdsbib.u-strasbg.fr/cgi-bin/cdsbib?1990RMxAA..21..381G"/>
    <hyperlink ref="AP3374" r:id="rId18" display="http://cdsbib.u-strasbg.fr/cgi-bin/cdsbib?1990RMxAA..21..381G"/>
    <hyperlink ref="AP3375" r:id="rId19" display="http://cdsbib.u-strasbg.fr/cgi-bin/cdsbib?1990RMxAA..21..381G"/>
    <hyperlink ref="AP3371" r:id="rId20" display="http://cdsbib.u-strasbg.fr/cgi-bin/cdsbib?1990RMxAA..21..381G"/>
  </hyperlinks>
  <printOptions/>
  <pageMargins left="0.75" right="0.75" top="1" bottom="1" header="0.5" footer="0.5"/>
  <pageSetup orientation="portrait" paperSize="9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2022-11-18T04:02:51Z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