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580" windowHeight="1371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<sst xmlns="http://schemas.openxmlformats.org/spreadsheetml/2006/main" count="286" uniqueCount="143">
  <si>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</si>
  <si>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</si>
  <si>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</si>
  <si>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</si>
  <si>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</si>
  <si>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</si>
  <si>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</si>
  <si>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</si>
  <si>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</si>
  <si>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</si>
  <si>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</si>
  <si>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</si>
  <si>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</si>
  <si>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</si>
  <si>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</si>
  <si>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</si>
  <si>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</si>
  <si>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</si>
  <si>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</si>
  <si>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</si>
  <si>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</si>
  <si>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</si>
  <si>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</si>
  <si>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</si>
  <si>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</si>
  <si>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</si>
  <si>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</si>
  <si>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</si>
  <si>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</si>
  <si>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</si>
  <si>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</si>
  <si>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</si>
  <si>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</si>
  <si>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</si>
  <si>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</si>
  <si>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</si>
  <si>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</si>
  <si>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</si>
  <si>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</si>
  <si>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</si>
  <si>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</si>
  <si>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BB Lac</t>
  </si>
  <si>
    <t>G3611-0298</t>
  </si>
  <si>
    <t>EA/SD</t>
  </si>
  <si>
    <t>BB Lac / GSC 3611-0298</t>
  </si>
  <si>
    <t>Kreiner</t>
  </si>
  <si>
    <t>IBVS 5984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</si>
  <si>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</si>
  <si>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</si>
  <si>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</si>
  <si>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</si>
  <si>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</si>
  <si>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</si>
  <si>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</si>
  <si>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F </t>
  </si>
  <si>
    <t>2417469.45 </t>
  </si>
  <si>
    <t> 15.09.1906 22:48 </t>
  </si>
  <si>
    <t> 0.33 </t>
  </si>
  <si>
    <t>P </t>
  </si>
  <si>
    <t> P.Parenago </t>
  </si>
  <si>
    <t> PZ 4.314 </t>
  </si>
  <si>
    <t>2425100.348 </t>
  </si>
  <si>
    <t> 07.08.1927 20:21 </t>
  </si>
  <si>
    <t> -0.172 </t>
  </si>
  <si>
    <t> H.van Schewick </t>
  </si>
  <si>
    <t> KVBB 24.102 </t>
  </si>
  <si>
    <t>2425127.536 </t>
  </si>
  <si>
    <t> 04.09.1927 00:51 </t>
  </si>
  <si>
    <t> -0.046 </t>
  </si>
  <si>
    <t>2425328.612 </t>
  </si>
  <si>
    <t> 23.03.1928 02:41 </t>
  </si>
  <si>
    <t> 0.000 </t>
  </si>
  <si>
    <t>V </t>
  </si>
  <si>
    <t> C.Hoffmeister </t>
  </si>
  <si>
    <t>2425448.511 </t>
  </si>
  <si>
    <t> 21.07.1928 00:15 </t>
  </si>
  <si>
    <t> 0.054 </t>
  </si>
  <si>
    <t>2425475.520 </t>
  </si>
  <si>
    <t> 17.08.1928 00:28 </t>
  </si>
  <si>
    <t> 0.002 </t>
  </si>
  <si>
    <t>2425502.580 </t>
  </si>
  <si>
    <t> 13.09.1928 01:55 </t>
  </si>
  <si>
    <t> -0.000 </t>
  </si>
  <si>
    <t>2425506.473 </t>
  </si>
  <si>
    <t> 16.09.1928 23:21 </t>
  </si>
  <si>
    <t> 0.027 </t>
  </si>
  <si>
    <t>2426631.392 </t>
  </si>
  <si>
    <t> 16.10.1931 21:24 </t>
  </si>
  <si>
    <t> -0.049 </t>
  </si>
  <si>
    <t>2437908.464 </t>
  </si>
  <si>
    <t> 31.08.1962 23:08 </t>
  </si>
  <si>
    <t> 0.018 </t>
  </si>
  <si>
    <t> Busch &amp; Häussler </t>
  </si>
  <si>
    <t> VSS 10.217 </t>
  </si>
  <si>
    <t>2437935.514 </t>
  </si>
  <si>
    <t> 28.09.1962 00:20 </t>
  </si>
  <si>
    <t> 0.006 </t>
  </si>
  <si>
    <t>2437939.391 </t>
  </si>
  <si>
    <t> 01.10.1962 21:23 </t>
  </si>
  <si>
    <t> 0.017 </t>
  </si>
  <si>
    <t>2444132.452 </t>
  </si>
  <si>
    <t> 15.09.1979 22:50 </t>
  </si>
  <si>
    <t> -0.189 </t>
  </si>
  <si>
    <t>2444136.357 </t>
  </si>
  <si>
    <t> 19.09.1979 20:34 </t>
  </si>
  <si>
    <t> -0.150 </t>
  </si>
  <si>
    <t>2444167.274 </t>
  </si>
  <si>
    <t> 20.10.1979 18:34 </t>
  </si>
  <si>
    <t> -0.161 </t>
  </si>
  <si>
    <t>2444256.233 </t>
  </si>
  <si>
    <t> 17.01.1980 17:35 </t>
  </si>
  <si>
    <t> -0.119 </t>
  </si>
  <si>
    <t>2446668.500 </t>
  </si>
  <si>
    <t> 26.08.1986 00:00 </t>
  </si>
  <si>
    <t> -0.211 </t>
  </si>
  <si>
    <t> J.Borovicka </t>
  </si>
  <si>
    <t> BRNO 28 </t>
  </si>
  <si>
    <t>2446699.433 </t>
  </si>
  <si>
    <t> 25.09.1986 22:23 </t>
  </si>
  <si>
    <t> -0.206 </t>
  </si>
  <si>
    <t>2454709.3562 </t>
  </si>
  <si>
    <t> 30.08.2008 20:32 </t>
  </si>
  <si>
    <t> -0.5518 </t>
  </si>
  <si>
    <t>C </t>
  </si>
  <si>
    <t>-I</t>
  </si>
  <si>
    <t> F.Agerer </t>
  </si>
  <si>
    <t>BAVM 203 </t>
  </si>
  <si>
    <t>2455049.5467 </t>
  </si>
  <si>
    <t> 06.08.2009 01:07 </t>
  </si>
  <si>
    <t>7688</t>
  </si>
  <si>
    <t> -0.5658 </t>
  </si>
  <si>
    <t>BAVM 212 </t>
  </si>
  <si>
    <t>2455482.5164 </t>
  </si>
  <si>
    <t> 13.10.2010 00:23 </t>
  </si>
  <si>
    <t>7800</t>
  </si>
  <si>
    <t> -0.5836 </t>
  </si>
  <si>
    <t>BAVM 215 </t>
  </si>
  <si>
    <t>2455799.5116 </t>
  </si>
  <si>
    <t> 26.08.2011 00:16 </t>
  </si>
  <si>
    <t>7882</t>
  </si>
  <si>
    <t> -0.5971 </t>
  </si>
  <si>
    <t>BAVM 225 </t>
  </si>
  <si>
    <t>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</si>
</sst>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33" borderId="11" xfId="0" applyFont="1" applyFill="1" applyBorder="1" applyAlignment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7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5" borderId="18" xfId="0" applyFont="1" applyFill="1" applyBorder="1" applyAlignment="1">
      <alignment horizontal="left" vertical="top" wrapText="1" indent="1"/>
    </xf>
    <xf numFmtId="0" fontId="5" fillId="35" borderId="18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right" vertical="top" wrapText="1"/>
    </xf>
    <xf numFmtId="0" fontId="17" fillId="35" borderId="18" xfId="54" applyFill="1" applyBorder="1" applyAlignment="1" applyProtection="1">
      <alignment horizontal="right" vertical="top" wrapText="1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BB Lac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0.0015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0.0015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0.0015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0.0015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0.0015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0.0015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0.0015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0.0015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0.0015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0.0015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0.0015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0.0015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0.0015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0.0015</c:v>
                  </c:pt>
                  <c:pt idx="22">
                    <c:v>0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31684029"/>
        <c:axId val="16720806"/>
      </c:scatterChart>
      <c:valAx>
        <c:axId val="31684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20806"/>
        <c:crosses val="autoZero"/>
        <c:crossBetween val="midCat"/>
        <c:dispUnits/>
      </c:valAx>
      <c:valAx>
        <c:axId val="16720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402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2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203" TargetMode="External" /><Relationship Id="rId2" Type="http://schemas.openxmlformats.org/officeDocument/2006/relationships/hyperlink" Target="http://www.bav-astro.de/sfs/BAVM_link.php?BAVMnr=212" TargetMode="External" /><Relationship Id="rId3" Type="http://schemas.openxmlformats.org/officeDocument/2006/relationships/hyperlink" Target="http://www.bav-astro.de/sfs/BAVM_link.php?BAVMnr=215" TargetMode="External" /><Relationship Id="rId4" Type="http://schemas.openxmlformats.org/officeDocument/2006/relationships/hyperlink" Target="http://www.bav-astro.de/sfs/BAVM_link.php?BAVMnr=2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5" ht="20.25">
      <c r="A1" s="1" t="s">
        <v>44</v>
      </c>
      <c r="F1" s="31" t="s">
        <v>41</v>
      </c>
      <c r="G1" s="32">
        <v>0</v>
      </c>
      <c r="H1" s="33"/>
      <c r="I1" s="34" t="s">
        <v>42</v>
      </c>
      <c r="J1" s="40" t="s">
        <v>41</v>
      </c>
      <c r="K1" s="35">
        <v>22.283839999999998</v>
      </c>
      <c r="L1" s="36">
        <v>47.5813</v>
      </c>
      <c r="M1" s="37">
        <v>52502.09</v>
      </c>
      <c r="N1" s="37">
        <v>3.865862</v>
      </c>
      <c r="O1" s="34" t="s">
        <v>43</v>
      </c>
    </row>
    <row r="2" spans="1:4" ht="12.75">
      <c r="A2" t="s">
        <v>23</v>
      </c>
      <c r="B2" t="str">
        <f>O1</f>
        <v>EA/SD</v>
      </c>
      <c r="C2" s="30"/>
      <c r="D2" s="3"/>
    </row>
    <row r="3" ht="13.5" thickBot="1"/>
    <row r="4" spans="1:4" ht="14.25" thickBot="1" thickTop="1">
      <c r="A4" s="5" t="s">
        <v>0</v>
      </c>
      <c r="C4" s="27">
        <v>25328.612</v>
      </c>
      <c r="D4" s="28">
        <v>3.86596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52502.09</v>
      </c>
      <c r="D7" s="34" t="s">
        <v>45</v>
      </c>
    </row>
    <row r="8" spans="1:4" ht="12.75">
      <c r="A8" t="s">
        <v>3</v>
      </c>
      <c r="C8" s="8">
        <f>N1</f>
        <v>3.865862</v>
      </c>
      <c r="D8" s="29" t="str">
        <f>D7</f>
        <v>Kreiner</v>
      </c>
    </row>
    <row r="9" spans="1:4" ht="12.75">
      <c r="A9" s="24" t="s">
        <v>32</v>
      </c>
      <c r="B9" s="25">
        <v>37</v>
      </c>
      <c r="C9" s="22" t="str">
        <f>"F"&amp;B9</f>
        <v>F37</v>
      </c>
      <c r="D9" s="23" t="str">
        <f>"G"&amp;B9</f>
        <v>G37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-0.10201220538070456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-6.695661732096824E-05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55799.51115980004</v>
      </c>
      <c r="E15" s="14" t="s">
        <v>34</v>
      </c>
      <c r="F15" s="38">
        <v>1</v>
      </c>
    </row>
    <row r="16" spans="1:6" ht="12.75">
      <c r="A16" s="16" t="s">
        <v>4</v>
      </c>
      <c r="B16" s="10"/>
      <c r="C16" s="17">
        <f>+C8+C12</f>
        <v>3.865795043382679</v>
      </c>
      <c r="E16" s="14" t="s">
        <v>30</v>
      </c>
      <c r="F16" s="39">
        <f ca="1">NOW()+15018.5+$C$5/24</f>
        <v>59902.63145046296</v>
      </c>
    </row>
    <row r="17" spans="1:6" ht="13.5" thickBot="1">
      <c r="A17" s="14" t="s">
        <v>27</v>
      </c>
      <c r="B17" s="10"/>
      <c r="C17" s="10">
        <f>COUNT(C21:C2191)</f>
        <v>23</v>
      </c>
      <c r="E17" s="14" t="s">
        <v>35</v>
      </c>
      <c r="F17" s="15">
        <f>ROUND(2*(F16-$C$7)/$C$8,0)/2+F15</f>
        <v>1915.5</v>
      </c>
    </row>
    <row r="18" spans="1:6" ht="14.25" thickBot="1" thickTop="1">
      <c r="A18" s="16" t="s">
        <v>5</v>
      </c>
      <c r="B18" s="10"/>
      <c r="C18" s="19">
        <f>+C15</f>
        <v>55799.51115980004</v>
      </c>
      <c r="D18" s="20">
        <f>+C16</f>
        <v>3.865795043382679</v>
      </c>
      <c r="E18" s="14" t="s">
        <v>36</v>
      </c>
      <c r="F18" s="23">
        <f>ROUND(2*(F16-$C$15)/$C$16,0)/2+F15</f>
        <v>1062.5</v>
      </c>
    </row>
    <row r="19" spans="5:6" ht="13.5" thickTop="1">
      <c r="E19" s="14" t="s">
        <v>31</v>
      </c>
      <c r="F19" s="18">
        <f>+$C$15+$C$16*F18-15018.5-$C$5/24</f>
        <v>44888.81422672747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s="56" t="s">
        <v>60</v>
      </c>
      <c r="B21" s="58" t="s">
        <v>142</v>
      </c>
      <c r="C21" s="57">
        <v>17469.45</v>
      </c>
      <c r="D21" s="57" t="s">
        <v>38</v>
      </c>
      <c r="E21">
        <f aca="true" t="shared" si="0" ref="E21:E43">+(C21-C$7)/C$8</f>
        <v>-9062.051361378135</v>
      </c>
      <c r="F21">
        <f aca="true" t="shared" si="1" ref="F21:F43">ROUND(2*E21,0)/2</f>
        <v>-9062</v>
      </c>
      <c r="G21">
        <f aca="true" t="shared" si="2" ref="G21:G38">+C21-(C$7+F21*C$8)</f>
        <v>-0.19855599999937112</v>
      </c>
      <c r="H21">
        <f aca="true" t="shared" si="3" ref="H21:H29">+G21</f>
        <v>-0.19855599999937112</v>
      </c>
      <c r="Q21" s="2">
        <f aca="true" t="shared" si="4" ref="Q21:Q43">+C21-15018.5</f>
        <v>2450.9500000000007</v>
      </c>
    </row>
    <row r="22" spans="1:17" ht="12.75">
      <c r="A22" s="56" t="s">
        <v>65</v>
      </c>
      <c r="B22" s="58" t="s">
        <v>142</v>
      </c>
      <c r="C22" s="57">
        <v>25100.348</v>
      </c>
      <c r="D22" s="57" t="s">
        <v>38</v>
      </c>
      <c r="E22">
        <f t="shared" si="0"/>
        <v>-7088.132478603736</v>
      </c>
      <c r="F22">
        <f t="shared" si="1"/>
        <v>-7088</v>
      </c>
      <c r="G22">
        <f t="shared" si="2"/>
        <v>-0.5121439999966242</v>
      </c>
      <c r="H22">
        <f t="shared" si="3"/>
        <v>-0.5121439999966242</v>
      </c>
      <c r="Q22" s="2">
        <f t="shared" si="4"/>
        <v>10081.848000000002</v>
      </c>
    </row>
    <row r="23" spans="1:17" ht="12.75">
      <c r="A23" s="56" t="s">
        <v>65</v>
      </c>
      <c r="B23" s="58" t="s">
        <v>142</v>
      </c>
      <c r="C23" s="57">
        <v>25127.536</v>
      </c>
      <c r="D23" s="57" t="s">
        <v>38</v>
      </c>
      <c r="E23">
        <f t="shared" si="0"/>
        <v>-7081.099635734539</v>
      </c>
      <c r="F23">
        <f t="shared" si="1"/>
        <v>-7081</v>
      </c>
      <c r="G23">
        <f t="shared" si="2"/>
        <v>-0.385177999996813</v>
      </c>
      <c r="H23">
        <f t="shared" si="3"/>
        <v>-0.385177999996813</v>
      </c>
      <c r="Q23" s="2">
        <f t="shared" si="4"/>
        <v>10109.036</v>
      </c>
    </row>
    <row r="24" spans="1:17" ht="12.75">
      <c r="A24" s="56" t="s">
        <v>65</v>
      </c>
      <c r="B24" s="58" t="s">
        <v>142</v>
      </c>
      <c r="C24" s="57">
        <v>25328.612</v>
      </c>
      <c r="D24" s="57" t="s">
        <v>38</v>
      </c>
      <c r="E24">
        <f t="shared" si="0"/>
        <v>-7029.086397807267</v>
      </c>
      <c r="F24">
        <f t="shared" si="1"/>
        <v>-7029</v>
      </c>
      <c r="G24">
        <f t="shared" si="2"/>
        <v>-0.33400199999596225</v>
      </c>
      <c r="H24">
        <f t="shared" si="3"/>
        <v>-0.33400199999596225</v>
      </c>
      <c r="Q24" s="2">
        <f t="shared" si="4"/>
        <v>10310.112000000001</v>
      </c>
    </row>
    <row r="25" spans="1:17" ht="12.75">
      <c r="A25" s="56" t="s">
        <v>65</v>
      </c>
      <c r="B25" s="58" t="s">
        <v>142</v>
      </c>
      <c r="C25" s="57">
        <v>25448.511</v>
      </c>
      <c r="D25" s="57" t="s">
        <v>38</v>
      </c>
      <c r="E25">
        <f t="shared" si="0"/>
        <v>-6998.07158144807</v>
      </c>
      <c r="F25">
        <f t="shared" si="1"/>
        <v>-6998</v>
      </c>
      <c r="G25">
        <f t="shared" si="2"/>
        <v>-0.27672399999937625</v>
      </c>
      <c r="H25">
        <f t="shared" si="3"/>
        <v>-0.27672399999937625</v>
      </c>
      <c r="Q25" s="2">
        <f t="shared" si="4"/>
        <v>10430.010999999999</v>
      </c>
    </row>
    <row r="26" spans="1:17" ht="12.75">
      <c r="A26" s="56" t="s">
        <v>65</v>
      </c>
      <c r="B26" s="58" t="s">
        <v>142</v>
      </c>
      <c r="C26" s="57">
        <v>25475.52</v>
      </c>
      <c r="D26" s="57" t="s">
        <v>38</v>
      </c>
      <c r="E26">
        <f t="shared" si="0"/>
        <v>-6991.085041318081</v>
      </c>
      <c r="F26">
        <f t="shared" si="1"/>
        <v>-6991</v>
      </c>
      <c r="G26">
        <f t="shared" si="2"/>
        <v>-0.3287579999960144</v>
      </c>
      <c r="H26">
        <f t="shared" si="3"/>
        <v>-0.3287579999960144</v>
      </c>
      <c r="Q26" s="2">
        <f t="shared" si="4"/>
        <v>10457.02</v>
      </c>
    </row>
    <row r="27" spans="1:17" ht="12.75">
      <c r="A27" s="56" t="s">
        <v>65</v>
      </c>
      <c r="B27" s="58" t="s">
        <v>142</v>
      </c>
      <c r="C27" s="57">
        <v>25502.58</v>
      </c>
      <c r="D27" s="57" t="s">
        <v>38</v>
      </c>
      <c r="E27">
        <f t="shared" si="0"/>
        <v>-6984.085308787535</v>
      </c>
      <c r="F27">
        <f t="shared" si="1"/>
        <v>-6984</v>
      </c>
      <c r="G27">
        <f t="shared" si="2"/>
        <v>-0.3297919999968144</v>
      </c>
      <c r="H27">
        <f t="shared" si="3"/>
        <v>-0.3297919999968144</v>
      </c>
      <c r="Q27" s="2">
        <f t="shared" si="4"/>
        <v>10484.080000000002</v>
      </c>
    </row>
    <row r="28" spans="1:17" ht="12.75">
      <c r="A28" s="56" t="s">
        <v>65</v>
      </c>
      <c r="B28" s="58" t="s">
        <v>142</v>
      </c>
      <c r="C28" s="57">
        <v>25506.473</v>
      </c>
      <c r="D28" s="57" t="s">
        <v>38</v>
      </c>
      <c r="E28">
        <f t="shared" si="0"/>
        <v>-6983.0782888783915</v>
      </c>
      <c r="F28">
        <f t="shared" si="1"/>
        <v>-6983</v>
      </c>
      <c r="G28">
        <f t="shared" si="2"/>
        <v>-0.30265399999552756</v>
      </c>
      <c r="H28">
        <f t="shared" si="3"/>
        <v>-0.30265399999552756</v>
      </c>
      <c r="Q28" s="2">
        <f t="shared" si="4"/>
        <v>10487.973000000002</v>
      </c>
    </row>
    <row r="29" spans="1:17" ht="12.75">
      <c r="A29" s="56" t="s">
        <v>65</v>
      </c>
      <c r="B29" s="58" t="s">
        <v>142</v>
      </c>
      <c r="C29" s="57">
        <v>26631.392</v>
      </c>
      <c r="D29" s="57" t="s">
        <v>38</v>
      </c>
      <c r="E29">
        <f t="shared" si="0"/>
        <v>-6692.090405710291</v>
      </c>
      <c r="F29">
        <f t="shared" si="1"/>
        <v>-6692</v>
      </c>
      <c r="G29">
        <f t="shared" si="2"/>
        <v>-0.3494959999989078</v>
      </c>
      <c r="H29">
        <f t="shared" si="3"/>
        <v>-0.3494959999989078</v>
      </c>
      <c r="Q29" s="2">
        <f t="shared" si="4"/>
        <v>11612.892</v>
      </c>
    </row>
    <row r="30" spans="1:17" ht="12.75">
      <c r="A30" s="56" t="s">
        <v>93</v>
      </c>
      <c r="B30" s="58" t="s">
        <v>142</v>
      </c>
      <c r="C30" s="57">
        <v>37908.464</v>
      </c>
      <c r="D30" s="57" t="s">
        <v>38</v>
      </c>
      <c r="E30">
        <f t="shared" si="0"/>
        <v>-3774.999211042711</v>
      </c>
      <c r="F30">
        <f t="shared" si="1"/>
        <v>-3775</v>
      </c>
      <c r="G30">
        <f t="shared" si="2"/>
        <v>0.003050000006624032</v>
      </c>
      <c r="I30">
        <f aca="true" t="shared" si="5" ref="I30:I38">+G30</f>
        <v>0.003050000006624032</v>
      </c>
      <c r="Q30" s="2">
        <f t="shared" si="4"/>
        <v>22889.964</v>
      </c>
    </row>
    <row r="31" spans="1:17" ht="12.75">
      <c r="A31" s="56" t="s">
        <v>93</v>
      </c>
      <c r="B31" s="58" t="s">
        <v>142</v>
      </c>
      <c r="C31" s="57">
        <v>37935.514</v>
      </c>
      <c r="D31" s="57" t="s">
        <v>38</v>
      </c>
      <c r="E31">
        <f t="shared" si="0"/>
        <v>-3768.0020652573717</v>
      </c>
      <c r="F31">
        <f t="shared" si="1"/>
        <v>-3768</v>
      </c>
      <c r="G31">
        <f t="shared" si="2"/>
        <v>-0.007983999996213242</v>
      </c>
      <c r="I31">
        <f t="shared" si="5"/>
        <v>-0.007983999996213242</v>
      </c>
      <c r="Q31" s="2">
        <f t="shared" si="4"/>
        <v>22917.014000000003</v>
      </c>
    </row>
    <row r="32" spans="1:17" ht="12.75">
      <c r="A32" s="56" t="s">
        <v>93</v>
      </c>
      <c r="B32" s="58" t="s">
        <v>142</v>
      </c>
      <c r="C32" s="57">
        <v>37939.391</v>
      </c>
      <c r="D32" s="57" t="s">
        <v>38</v>
      </c>
      <c r="E32">
        <f t="shared" si="0"/>
        <v>-3766.99918414056</v>
      </c>
      <c r="F32">
        <f t="shared" si="1"/>
        <v>-3767</v>
      </c>
      <c r="G32">
        <f t="shared" si="2"/>
        <v>0.0031540000054519624</v>
      </c>
      <c r="I32">
        <f t="shared" si="5"/>
        <v>0.0031540000054519624</v>
      </c>
      <c r="Q32" s="2">
        <f t="shared" si="4"/>
        <v>22920.891000000003</v>
      </c>
    </row>
    <row r="33" spans="1:17" ht="12.75">
      <c r="A33" s="56" t="s">
        <v>93</v>
      </c>
      <c r="B33" s="58" t="s">
        <v>142</v>
      </c>
      <c r="C33" s="57">
        <v>44132.452</v>
      </c>
      <c r="D33" s="57" t="s">
        <v>38</v>
      </c>
      <c r="E33">
        <f t="shared" si="0"/>
        <v>-2165.0120982073336</v>
      </c>
      <c r="F33">
        <f t="shared" si="1"/>
        <v>-2165</v>
      </c>
      <c r="G33">
        <f t="shared" si="2"/>
        <v>-0.046770000000833534</v>
      </c>
      <c r="I33">
        <f t="shared" si="5"/>
        <v>-0.046770000000833534</v>
      </c>
      <c r="Q33" s="2">
        <f t="shared" si="4"/>
        <v>29113.951999999997</v>
      </c>
    </row>
    <row r="34" spans="1:17" ht="12.75">
      <c r="A34" s="56" t="s">
        <v>93</v>
      </c>
      <c r="B34" s="58" t="s">
        <v>142</v>
      </c>
      <c r="C34" s="57">
        <v>44136.357</v>
      </c>
      <c r="D34" s="57" t="s">
        <v>38</v>
      </c>
      <c r="E34">
        <f t="shared" si="0"/>
        <v>-2164.0019742039403</v>
      </c>
      <c r="F34">
        <f t="shared" si="1"/>
        <v>-2164</v>
      </c>
      <c r="G34">
        <f t="shared" si="2"/>
        <v>-0.007631999993463978</v>
      </c>
      <c r="I34">
        <f t="shared" si="5"/>
        <v>-0.007631999993463978</v>
      </c>
      <c r="Q34" s="2">
        <f t="shared" si="4"/>
        <v>29117.857000000004</v>
      </c>
    </row>
    <row r="35" spans="1:17" ht="12.75">
      <c r="A35" s="56" t="s">
        <v>93</v>
      </c>
      <c r="B35" s="58" t="s">
        <v>142</v>
      </c>
      <c r="C35" s="57">
        <v>44167.274</v>
      </c>
      <c r="D35" s="57" t="s">
        <v>38</v>
      </c>
      <c r="E35">
        <f t="shared" si="0"/>
        <v>-2156.0045340469987</v>
      </c>
      <c r="F35">
        <f t="shared" si="1"/>
        <v>-2156</v>
      </c>
      <c r="G35">
        <f t="shared" si="2"/>
        <v>-0.017527999996673316</v>
      </c>
      <c r="I35">
        <f t="shared" si="5"/>
        <v>-0.017527999996673316</v>
      </c>
      <c r="Q35" s="2">
        <f t="shared" si="4"/>
        <v>29148.773999999998</v>
      </c>
    </row>
    <row r="36" spans="1:17" ht="12.75">
      <c r="A36" s="56" t="s">
        <v>93</v>
      </c>
      <c r="B36" s="58" t="s">
        <v>142</v>
      </c>
      <c r="C36" s="57">
        <v>44256.233</v>
      </c>
      <c r="D36" s="57" t="s">
        <v>38</v>
      </c>
      <c r="E36">
        <f t="shared" si="0"/>
        <v>-2132.99310735872</v>
      </c>
      <c r="F36">
        <f t="shared" si="1"/>
        <v>-2133</v>
      </c>
      <c r="G36">
        <f t="shared" si="2"/>
        <v>0.026646000005712267</v>
      </c>
      <c r="I36">
        <f t="shared" si="5"/>
        <v>0.026646000005712267</v>
      </c>
      <c r="Q36" s="2">
        <f t="shared" si="4"/>
        <v>29237.733</v>
      </c>
    </row>
    <row r="37" spans="1:17" ht="12.75">
      <c r="A37" s="56" t="s">
        <v>116</v>
      </c>
      <c r="B37" s="58" t="s">
        <v>142</v>
      </c>
      <c r="C37" s="57">
        <v>46668.5</v>
      </c>
      <c r="D37" s="57" t="s">
        <v>38</v>
      </c>
      <c r="E37">
        <f t="shared" si="0"/>
        <v>-1509.001097297316</v>
      </c>
      <c r="F37">
        <f t="shared" si="1"/>
        <v>-1509</v>
      </c>
      <c r="G37">
        <f t="shared" si="2"/>
        <v>-0.004241999995429069</v>
      </c>
      <c r="I37">
        <f t="shared" si="5"/>
        <v>-0.004241999995429069</v>
      </c>
      <c r="O37">
        <f aca="true" t="shared" si="6" ref="O37:O43">+C$11+C$12*$F37</f>
        <v>-0.0009746698433634876</v>
      </c>
      <c r="Q37" s="2">
        <f t="shared" si="4"/>
        <v>31650</v>
      </c>
    </row>
    <row r="38" spans="1:17" ht="12.75">
      <c r="A38" s="56" t="s">
        <v>116</v>
      </c>
      <c r="B38" s="58" t="s">
        <v>142</v>
      </c>
      <c r="C38" s="57">
        <v>46699.433</v>
      </c>
      <c r="D38" s="57" t="s">
        <v>38</v>
      </c>
      <c r="E38">
        <f t="shared" si="0"/>
        <v>-1500.9995183480423</v>
      </c>
      <c r="F38">
        <f t="shared" si="1"/>
        <v>-1501</v>
      </c>
      <c r="G38">
        <f t="shared" si="2"/>
        <v>0.001861999997345265</v>
      </c>
      <c r="I38">
        <f t="shared" si="5"/>
        <v>0.001861999997345265</v>
      </c>
      <c r="O38">
        <f t="shared" si="6"/>
        <v>-0.0015103227819312226</v>
      </c>
      <c r="Q38" s="2">
        <f t="shared" si="4"/>
        <v>31680.932999999997</v>
      </c>
    </row>
    <row r="39" spans="1:21" ht="12.75">
      <c r="A39" t="s">
        <v>45</v>
      </c>
      <c r="C39" s="8">
        <v>52502.09</v>
      </c>
      <c r="D39" s="8" t="s">
        <v>13</v>
      </c>
      <c r="E39">
        <f t="shared" si="0"/>
        <v>0</v>
      </c>
      <c r="F39">
        <f t="shared" si="1"/>
        <v>0</v>
      </c>
      <c r="O39">
        <f t="shared" si="6"/>
        <v>-0.10201220538070456</v>
      </c>
      <c r="Q39" s="2">
        <f t="shared" si="4"/>
        <v>37483.59</v>
      </c>
      <c r="U39">
        <f>+C39-(C$7+F39*C$8)</f>
        <v>0</v>
      </c>
    </row>
    <row r="40" spans="1:17" ht="12.75">
      <c r="A40" s="56" t="s">
        <v>126</v>
      </c>
      <c r="B40" s="58" t="s">
        <v>142</v>
      </c>
      <c r="C40" s="57">
        <v>54709.3562</v>
      </c>
      <c r="D40" s="57" t="s">
        <v>38</v>
      </c>
      <c r="E40">
        <f t="shared" si="0"/>
        <v>570.9635263752316</v>
      </c>
      <c r="F40">
        <f t="shared" si="1"/>
        <v>571</v>
      </c>
      <c r="G40">
        <f>+C40-(C$7+F40*C$8)</f>
        <v>-0.14100199999666074</v>
      </c>
      <c r="K40">
        <f>+G40</f>
        <v>-0.14100199999666074</v>
      </c>
      <c r="O40">
        <f t="shared" si="6"/>
        <v>-0.14024443387097743</v>
      </c>
      <c r="Q40" s="2">
        <f t="shared" si="4"/>
        <v>39690.8562</v>
      </c>
    </row>
    <row r="41" spans="1:17" ht="12.75">
      <c r="A41" s="56" t="s">
        <v>131</v>
      </c>
      <c r="B41" s="58" t="s">
        <v>142</v>
      </c>
      <c r="C41" s="57">
        <v>55049.5467</v>
      </c>
      <c r="D41" s="57" t="s">
        <v>38</v>
      </c>
      <c r="E41">
        <f t="shared" si="0"/>
        <v>658.9621409144978</v>
      </c>
      <c r="F41">
        <f t="shared" si="1"/>
        <v>659</v>
      </c>
      <c r="G41">
        <f>+C41-(C$7+F41*C$8)</f>
        <v>-0.1463579999981448</v>
      </c>
      <c r="K41">
        <f>+G41</f>
        <v>-0.1463579999981448</v>
      </c>
      <c r="O41">
        <f t="shared" si="6"/>
        <v>-0.14613661619522264</v>
      </c>
      <c r="Q41" s="2">
        <f t="shared" si="4"/>
        <v>40031.0467</v>
      </c>
    </row>
    <row r="42" spans="1:17" ht="12.75">
      <c r="A42" s="41" t="s">
        <v>46</v>
      </c>
      <c r="B42" s="41"/>
      <c r="C42" s="42">
        <v>55482.5164</v>
      </c>
      <c r="D42" s="42">
        <v>0.0015</v>
      </c>
      <c r="E42">
        <f t="shared" si="0"/>
        <v>770.9603705460785</v>
      </c>
      <c r="F42">
        <f t="shared" si="1"/>
        <v>771</v>
      </c>
      <c r="G42">
        <f>+C42-(C$7+F42*C$8)</f>
        <v>-0.15320199999405304</v>
      </c>
      <c r="K42">
        <f>+G42</f>
        <v>-0.15320199999405304</v>
      </c>
      <c r="O42">
        <f t="shared" si="6"/>
        <v>-0.15363575733517107</v>
      </c>
      <c r="Q42" s="2">
        <f t="shared" si="4"/>
        <v>40464.0164</v>
      </c>
    </row>
    <row r="43" spans="1:17" ht="12.75">
      <c r="A43" s="56" t="s">
        <v>141</v>
      </c>
      <c r="B43" s="58" t="s">
        <v>142</v>
      </c>
      <c r="C43" s="57">
        <v>55799.5116</v>
      </c>
      <c r="D43" s="57" t="s">
        <v>38</v>
      </c>
      <c r="E43">
        <f t="shared" si="0"/>
        <v>852.9589519750062</v>
      </c>
      <c r="F43">
        <f t="shared" si="1"/>
        <v>853</v>
      </c>
      <c r="G43">
        <f>+C43-(C$7+F43*C$8)</f>
        <v>-0.15868599999521393</v>
      </c>
      <c r="K43">
        <f>+G43</f>
        <v>-0.15868599999521393</v>
      </c>
      <c r="O43">
        <f t="shared" si="6"/>
        <v>-0.1591261999554905</v>
      </c>
      <c r="Q43" s="2">
        <f t="shared" si="4"/>
        <v>40781.0116</v>
      </c>
    </row>
    <row r="44" spans="2:4" ht="12.75">
      <c r="B44" s="3"/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0"/>
  <sheetViews>
    <sheetView zoomScalePageLayoutView="0" workbookViewId="0" topLeftCell="A1">
      <selection activeCell="A12" sqref="A12:D32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43" t="s">
        <v>47</v>
      </c>
      <c r="I1" s="44" t="s">
        <v>48</v>
      </c>
      <c r="J1" s="45" t="s">
        <v>40</v>
      </c>
    </row>
    <row r="2" spans="9:10" ht="12.75">
      <c r="I2" s="46" t="s">
        <v>49</v>
      </c>
      <c r="J2" s="47" t="s">
        <v>39</v>
      </c>
    </row>
    <row r="3" spans="1:10" ht="12.75">
      <c r="A3" s="48" t="s">
        <v>50</v>
      </c>
      <c r="I3" s="46" t="s">
        <v>51</v>
      </c>
      <c r="J3" s="47" t="s">
        <v>37</v>
      </c>
    </row>
    <row r="4" spans="9:10" ht="12.75">
      <c r="I4" s="46" t="s">
        <v>52</v>
      </c>
      <c r="J4" s="47" t="s">
        <v>37</v>
      </c>
    </row>
    <row r="5" spans="9:10" ht="13.5" thickBot="1">
      <c r="I5" s="49" t="s">
        <v>53</v>
      </c>
      <c r="J5" s="50" t="s">
        <v>38</v>
      </c>
    </row>
    <row r="10" ht="13.5" thickBot="1"/>
    <row r="11" spans="1:16" ht="12.75" customHeight="1" thickBot="1">
      <c r="A11" s="8" t="str">
        <f aca="true" t="shared" si="0" ref="A11:A32">P11</f>
        <v>BAVM 215 </v>
      </c>
      <c r="B11" s="3" t="str">
        <f aca="true" t="shared" si="1" ref="B11:B32">IF(H11=INT(H11),"I","II")</f>
        <v>I</v>
      </c>
      <c r="C11" s="8">
        <f aca="true" t="shared" si="2" ref="C11:C32">1*G11</f>
        <v>55482.5164</v>
      </c>
      <c r="D11" s="10" t="str">
        <f aca="true" t="shared" si="3" ref="D11:D32">VLOOKUP(F11,I$1:J$5,2,FALSE)</f>
        <v>vis</v>
      </c>
      <c r="E11" s="51">
        <f>VLOOKUP(C11,A!C$21:E$973,3,FALSE)</f>
        <v>770.9603705460785</v>
      </c>
      <c r="F11" s="3" t="s">
        <v>53</v>
      </c>
      <c r="G11" s="10" t="str">
        <f aca="true" t="shared" si="4" ref="G11:G32">MID(I11,3,LEN(I11)-3)</f>
        <v>55482.5164</v>
      </c>
      <c r="H11" s="8">
        <f aca="true" t="shared" si="5" ref="H11:H32">1*K11</f>
        <v>7800</v>
      </c>
      <c r="I11" s="52" t="s">
        <v>132</v>
      </c>
      <c r="J11" s="53" t="s">
        <v>133</v>
      </c>
      <c r="K11" s="52" t="s">
        <v>134</v>
      </c>
      <c r="L11" s="52" t="s">
        <v>135</v>
      </c>
      <c r="M11" s="53" t="s">
        <v>123</v>
      </c>
      <c r="N11" s="53" t="s">
        <v>124</v>
      </c>
      <c r="O11" s="54" t="s">
        <v>125</v>
      </c>
      <c r="P11" s="55" t="s">
        <v>136</v>
      </c>
    </row>
    <row r="12" spans="1:16" ht="12.75" customHeight="1" thickBot="1">
      <c r="A12" s="8" t="str">
        <f t="shared" si="0"/>
        <v> PZ 4.314 </v>
      </c>
      <c r="B12" s="3" t="str">
        <f t="shared" si="1"/>
        <v>I</v>
      </c>
      <c r="C12" s="8">
        <f t="shared" si="2"/>
        <v>17469.45</v>
      </c>
      <c r="D12" s="10" t="str">
        <f t="shared" si="3"/>
        <v>vis</v>
      </c>
      <c r="E12" s="51">
        <f>VLOOKUP(C12,A!C$21:E$973,3,FALSE)</f>
        <v>-9062.051361378135</v>
      </c>
      <c r="F12" s="3" t="s">
        <v>53</v>
      </c>
      <c r="G12" s="10" t="str">
        <f t="shared" si="4"/>
        <v>17469.45</v>
      </c>
      <c r="H12" s="8">
        <f t="shared" si="5"/>
        <v>-2033</v>
      </c>
      <c r="I12" s="52" t="s">
        <v>55</v>
      </c>
      <c r="J12" s="53" t="s">
        <v>56</v>
      </c>
      <c r="K12" s="52">
        <v>-2033</v>
      </c>
      <c r="L12" s="52" t="s">
        <v>57</v>
      </c>
      <c r="M12" s="53" t="s">
        <v>58</v>
      </c>
      <c r="N12" s="53"/>
      <c r="O12" s="54" t="s">
        <v>59</v>
      </c>
      <c r="P12" s="54" t="s">
        <v>60</v>
      </c>
    </row>
    <row r="13" spans="1:16" ht="12.75" customHeight="1" thickBot="1">
      <c r="A13" s="8" t="str">
        <f t="shared" si="0"/>
        <v> KVBB 24.102 </v>
      </c>
      <c r="B13" s="3" t="str">
        <f t="shared" si="1"/>
        <v>I</v>
      </c>
      <c r="C13" s="8">
        <f t="shared" si="2"/>
        <v>25100.348</v>
      </c>
      <c r="D13" s="10" t="str">
        <f t="shared" si="3"/>
        <v>vis</v>
      </c>
      <c r="E13" s="51">
        <f>VLOOKUP(C13,A!C$21:E$973,3,FALSE)</f>
        <v>-7088.132478603736</v>
      </c>
      <c r="F13" s="3" t="s">
        <v>53</v>
      </c>
      <c r="G13" s="10" t="str">
        <f t="shared" si="4"/>
        <v>25100.348</v>
      </c>
      <c r="H13" s="8">
        <f t="shared" si="5"/>
        <v>-59</v>
      </c>
      <c r="I13" s="52" t="s">
        <v>61</v>
      </c>
      <c r="J13" s="53" t="s">
        <v>62</v>
      </c>
      <c r="K13" s="52">
        <v>-59</v>
      </c>
      <c r="L13" s="52" t="s">
        <v>63</v>
      </c>
      <c r="M13" s="53" t="s">
        <v>58</v>
      </c>
      <c r="N13" s="53"/>
      <c r="O13" s="54" t="s">
        <v>64</v>
      </c>
      <c r="P13" s="54" t="s">
        <v>65</v>
      </c>
    </row>
    <row r="14" spans="1:16" ht="12.75" customHeight="1" thickBot="1">
      <c r="A14" s="8" t="str">
        <f t="shared" si="0"/>
        <v> KVBB 24.102 </v>
      </c>
      <c r="B14" s="3" t="str">
        <f t="shared" si="1"/>
        <v>I</v>
      </c>
      <c r="C14" s="8">
        <f t="shared" si="2"/>
        <v>25127.536</v>
      </c>
      <c r="D14" s="10" t="str">
        <f t="shared" si="3"/>
        <v>vis</v>
      </c>
      <c r="E14" s="51">
        <f>VLOOKUP(C14,A!C$21:E$973,3,FALSE)</f>
        <v>-7081.099635734539</v>
      </c>
      <c r="F14" s="3" t="s">
        <v>53</v>
      </c>
      <c r="G14" s="10" t="str">
        <f t="shared" si="4"/>
        <v>25127.536</v>
      </c>
      <c r="H14" s="8">
        <f t="shared" si="5"/>
        <v>-52</v>
      </c>
      <c r="I14" s="52" t="s">
        <v>66</v>
      </c>
      <c r="J14" s="53" t="s">
        <v>67</v>
      </c>
      <c r="K14" s="52">
        <v>-52</v>
      </c>
      <c r="L14" s="52" t="s">
        <v>68</v>
      </c>
      <c r="M14" s="53" t="s">
        <v>58</v>
      </c>
      <c r="N14" s="53"/>
      <c r="O14" s="54" t="s">
        <v>64</v>
      </c>
      <c r="P14" s="54" t="s">
        <v>65</v>
      </c>
    </row>
    <row r="15" spans="1:16" ht="12.75" customHeight="1" thickBot="1">
      <c r="A15" s="8" t="str">
        <f t="shared" si="0"/>
        <v> KVBB 24.102 </v>
      </c>
      <c r="B15" s="3" t="str">
        <f t="shared" si="1"/>
        <v>I</v>
      </c>
      <c r="C15" s="8">
        <f t="shared" si="2"/>
        <v>25328.612</v>
      </c>
      <c r="D15" s="10" t="str">
        <f t="shared" si="3"/>
        <v>vis</v>
      </c>
      <c r="E15" s="51">
        <f>VLOOKUP(C15,A!C$21:E$973,3,FALSE)</f>
        <v>-7029.086397807267</v>
      </c>
      <c r="F15" s="3" t="s">
        <v>53</v>
      </c>
      <c r="G15" s="10" t="str">
        <f t="shared" si="4"/>
        <v>25328.612</v>
      </c>
      <c r="H15" s="8">
        <f t="shared" si="5"/>
        <v>0</v>
      </c>
      <c r="I15" s="52" t="s">
        <v>69</v>
      </c>
      <c r="J15" s="53" t="s">
        <v>70</v>
      </c>
      <c r="K15" s="52">
        <v>0</v>
      </c>
      <c r="L15" s="52" t="s">
        <v>71</v>
      </c>
      <c r="M15" s="53" t="s">
        <v>72</v>
      </c>
      <c r="N15" s="53"/>
      <c r="O15" s="54" t="s">
        <v>73</v>
      </c>
      <c r="P15" s="54" t="s">
        <v>65</v>
      </c>
    </row>
    <row r="16" spans="1:16" ht="12.75" customHeight="1" thickBot="1">
      <c r="A16" s="8" t="str">
        <f t="shared" si="0"/>
        <v> KVBB 24.102 </v>
      </c>
      <c r="B16" s="3" t="str">
        <f t="shared" si="1"/>
        <v>I</v>
      </c>
      <c r="C16" s="8">
        <f t="shared" si="2"/>
        <v>25448.511</v>
      </c>
      <c r="D16" s="10" t="str">
        <f t="shared" si="3"/>
        <v>vis</v>
      </c>
      <c r="E16" s="51">
        <f>VLOOKUP(C16,A!C$21:E$973,3,FALSE)</f>
        <v>-6998.07158144807</v>
      </c>
      <c r="F16" s="3" t="s">
        <v>53</v>
      </c>
      <c r="G16" s="10" t="str">
        <f t="shared" si="4"/>
        <v>25448.511</v>
      </c>
      <c r="H16" s="8">
        <f t="shared" si="5"/>
        <v>31</v>
      </c>
      <c r="I16" s="52" t="s">
        <v>74</v>
      </c>
      <c r="J16" s="53" t="s">
        <v>75</v>
      </c>
      <c r="K16" s="52">
        <v>31</v>
      </c>
      <c r="L16" s="52" t="s">
        <v>76</v>
      </c>
      <c r="M16" s="53" t="s">
        <v>58</v>
      </c>
      <c r="N16" s="53"/>
      <c r="O16" s="54" t="s">
        <v>64</v>
      </c>
      <c r="P16" s="54" t="s">
        <v>65</v>
      </c>
    </row>
    <row r="17" spans="1:16" ht="12.75" customHeight="1" thickBot="1">
      <c r="A17" s="8" t="str">
        <f t="shared" si="0"/>
        <v> KVBB 24.102 </v>
      </c>
      <c r="B17" s="3" t="str">
        <f t="shared" si="1"/>
        <v>I</v>
      </c>
      <c r="C17" s="8">
        <f t="shared" si="2"/>
        <v>25475.52</v>
      </c>
      <c r="D17" s="10" t="str">
        <f t="shared" si="3"/>
        <v>vis</v>
      </c>
      <c r="E17" s="51">
        <f>VLOOKUP(C17,A!C$21:E$973,3,FALSE)</f>
        <v>-6991.085041318081</v>
      </c>
      <c r="F17" s="3" t="s">
        <v>53</v>
      </c>
      <c r="G17" s="10" t="str">
        <f t="shared" si="4"/>
        <v>25475.520</v>
      </c>
      <c r="H17" s="8">
        <f t="shared" si="5"/>
        <v>38</v>
      </c>
      <c r="I17" s="52" t="s">
        <v>77</v>
      </c>
      <c r="J17" s="53" t="s">
        <v>78</v>
      </c>
      <c r="K17" s="52">
        <v>38</v>
      </c>
      <c r="L17" s="52" t="s">
        <v>79</v>
      </c>
      <c r="M17" s="53" t="s">
        <v>72</v>
      </c>
      <c r="N17" s="53"/>
      <c r="O17" s="54" t="s">
        <v>73</v>
      </c>
      <c r="P17" s="54" t="s">
        <v>65</v>
      </c>
    </row>
    <row r="18" spans="1:16" ht="12.75" customHeight="1" thickBot="1">
      <c r="A18" s="8" t="str">
        <f t="shared" si="0"/>
        <v> KVBB 24.102 </v>
      </c>
      <c r="B18" s="3" t="str">
        <f t="shared" si="1"/>
        <v>I</v>
      </c>
      <c r="C18" s="8">
        <f t="shared" si="2"/>
        <v>25502.58</v>
      </c>
      <c r="D18" s="10" t="str">
        <f t="shared" si="3"/>
        <v>vis</v>
      </c>
      <c r="E18" s="51">
        <f>VLOOKUP(C18,A!C$21:E$973,3,FALSE)</f>
        <v>-6984.085308787535</v>
      </c>
      <c r="F18" s="3" t="s">
        <v>53</v>
      </c>
      <c r="G18" s="10" t="str">
        <f t="shared" si="4"/>
        <v>25502.580</v>
      </c>
      <c r="H18" s="8">
        <f t="shared" si="5"/>
        <v>45</v>
      </c>
      <c r="I18" s="52" t="s">
        <v>80</v>
      </c>
      <c r="J18" s="53" t="s">
        <v>81</v>
      </c>
      <c r="K18" s="52">
        <v>45</v>
      </c>
      <c r="L18" s="52" t="s">
        <v>82</v>
      </c>
      <c r="M18" s="53" t="s">
        <v>72</v>
      </c>
      <c r="N18" s="53"/>
      <c r="O18" s="54" t="s">
        <v>73</v>
      </c>
      <c r="P18" s="54" t="s">
        <v>65</v>
      </c>
    </row>
    <row r="19" spans="1:16" ht="12.75" customHeight="1" thickBot="1">
      <c r="A19" s="8" t="str">
        <f t="shared" si="0"/>
        <v> KVBB 24.102 </v>
      </c>
      <c r="B19" s="3" t="str">
        <f t="shared" si="1"/>
        <v>I</v>
      </c>
      <c r="C19" s="8">
        <f t="shared" si="2"/>
        <v>25506.473</v>
      </c>
      <c r="D19" s="10" t="str">
        <f t="shared" si="3"/>
        <v>vis</v>
      </c>
      <c r="E19" s="51">
        <f>VLOOKUP(C19,A!C$21:E$973,3,FALSE)</f>
        <v>-6983.0782888783915</v>
      </c>
      <c r="F19" s="3" t="s">
        <v>53</v>
      </c>
      <c r="G19" s="10" t="str">
        <f t="shared" si="4"/>
        <v>25506.473</v>
      </c>
      <c r="H19" s="8">
        <f t="shared" si="5"/>
        <v>46</v>
      </c>
      <c r="I19" s="52" t="s">
        <v>83</v>
      </c>
      <c r="J19" s="53" t="s">
        <v>84</v>
      </c>
      <c r="K19" s="52">
        <v>46</v>
      </c>
      <c r="L19" s="52" t="s">
        <v>85</v>
      </c>
      <c r="M19" s="53" t="s">
        <v>72</v>
      </c>
      <c r="N19" s="53"/>
      <c r="O19" s="54" t="s">
        <v>73</v>
      </c>
      <c r="P19" s="54" t="s">
        <v>65</v>
      </c>
    </row>
    <row r="20" spans="1:16" ht="12.75" customHeight="1" thickBot="1">
      <c r="A20" s="8" t="str">
        <f t="shared" si="0"/>
        <v> KVBB 24.102 </v>
      </c>
      <c r="B20" s="3" t="str">
        <f t="shared" si="1"/>
        <v>I</v>
      </c>
      <c r="C20" s="8">
        <f t="shared" si="2"/>
        <v>26631.392</v>
      </c>
      <c r="D20" s="10" t="str">
        <f t="shared" si="3"/>
        <v>vis</v>
      </c>
      <c r="E20" s="51">
        <f>VLOOKUP(C20,A!C$21:E$973,3,FALSE)</f>
        <v>-6692.090405710291</v>
      </c>
      <c r="F20" s="3" t="s">
        <v>53</v>
      </c>
      <c r="G20" s="10" t="str">
        <f t="shared" si="4"/>
        <v>26631.392</v>
      </c>
      <c r="H20" s="8">
        <f t="shared" si="5"/>
        <v>337</v>
      </c>
      <c r="I20" s="52" t="s">
        <v>86</v>
      </c>
      <c r="J20" s="53" t="s">
        <v>87</v>
      </c>
      <c r="K20" s="52">
        <v>337</v>
      </c>
      <c r="L20" s="52" t="s">
        <v>88</v>
      </c>
      <c r="M20" s="53" t="s">
        <v>58</v>
      </c>
      <c r="N20" s="53"/>
      <c r="O20" s="54" t="s">
        <v>64</v>
      </c>
      <c r="P20" s="54" t="s">
        <v>65</v>
      </c>
    </row>
    <row r="21" spans="1:16" ht="12.75" customHeight="1" thickBot="1">
      <c r="A21" s="8" t="str">
        <f t="shared" si="0"/>
        <v> VSS 10.217 </v>
      </c>
      <c r="B21" s="3" t="str">
        <f t="shared" si="1"/>
        <v>I</v>
      </c>
      <c r="C21" s="8">
        <f t="shared" si="2"/>
        <v>37908.464</v>
      </c>
      <c r="D21" s="10" t="str">
        <f t="shared" si="3"/>
        <v>vis</v>
      </c>
      <c r="E21" s="51">
        <f>VLOOKUP(C21,A!C$21:E$973,3,FALSE)</f>
        <v>-3774.999211042711</v>
      </c>
      <c r="F21" s="3" t="s">
        <v>53</v>
      </c>
      <c r="G21" s="10" t="str">
        <f t="shared" si="4"/>
        <v>37908.464</v>
      </c>
      <c r="H21" s="8">
        <f t="shared" si="5"/>
        <v>3254</v>
      </c>
      <c r="I21" s="52" t="s">
        <v>89</v>
      </c>
      <c r="J21" s="53" t="s">
        <v>90</v>
      </c>
      <c r="K21" s="52">
        <v>3254</v>
      </c>
      <c r="L21" s="52" t="s">
        <v>91</v>
      </c>
      <c r="M21" s="53" t="s">
        <v>54</v>
      </c>
      <c r="N21" s="53"/>
      <c r="O21" s="54" t="s">
        <v>92</v>
      </c>
      <c r="P21" s="54" t="s">
        <v>93</v>
      </c>
    </row>
    <row r="22" spans="1:16" ht="12.75" customHeight="1" thickBot="1">
      <c r="A22" s="8" t="str">
        <f t="shared" si="0"/>
        <v> VSS 10.217 </v>
      </c>
      <c r="B22" s="3" t="str">
        <f t="shared" si="1"/>
        <v>I</v>
      </c>
      <c r="C22" s="8">
        <f t="shared" si="2"/>
        <v>37935.514</v>
      </c>
      <c r="D22" s="10" t="str">
        <f t="shared" si="3"/>
        <v>vis</v>
      </c>
      <c r="E22" s="51">
        <f>VLOOKUP(C22,A!C$21:E$973,3,FALSE)</f>
        <v>-3768.0020652573717</v>
      </c>
      <c r="F22" s="3" t="s">
        <v>53</v>
      </c>
      <c r="G22" s="10" t="str">
        <f t="shared" si="4"/>
        <v>37935.514</v>
      </c>
      <c r="H22" s="8">
        <f t="shared" si="5"/>
        <v>3261</v>
      </c>
      <c r="I22" s="52" t="s">
        <v>94</v>
      </c>
      <c r="J22" s="53" t="s">
        <v>95</v>
      </c>
      <c r="K22" s="52">
        <v>3261</v>
      </c>
      <c r="L22" s="52" t="s">
        <v>96</v>
      </c>
      <c r="M22" s="53" t="s">
        <v>54</v>
      </c>
      <c r="N22" s="53"/>
      <c r="O22" s="54" t="s">
        <v>92</v>
      </c>
      <c r="P22" s="54" t="s">
        <v>93</v>
      </c>
    </row>
    <row r="23" spans="1:16" ht="12.75" customHeight="1" thickBot="1">
      <c r="A23" s="8" t="str">
        <f t="shared" si="0"/>
        <v> VSS 10.217 </v>
      </c>
      <c r="B23" s="3" t="str">
        <f t="shared" si="1"/>
        <v>I</v>
      </c>
      <c r="C23" s="8">
        <f t="shared" si="2"/>
        <v>37939.391</v>
      </c>
      <c r="D23" s="10" t="str">
        <f t="shared" si="3"/>
        <v>vis</v>
      </c>
      <c r="E23" s="51">
        <f>VLOOKUP(C23,A!C$21:E$973,3,FALSE)</f>
        <v>-3766.99918414056</v>
      </c>
      <c r="F23" s="3" t="s">
        <v>53</v>
      </c>
      <c r="G23" s="10" t="str">
        <f t="shared" si="4"/>
        <v>37939.391</v>
      </c>
      <c r="H23" s="8">
        <f t="shared" si="5"/>
        <v>3262</v>
      </c>
      <c r="I23" s="52" t="s">
        <v>97</v>
      </c>
      <c r="J23" s="53" t="s">
        <v>98</v>
      </c>
      <c r="K23" s="52">
        <v>3262</v>
      </c>
      <c r="L23" s="52" t="s">
        <v>99</v>
      </c>
      <c r="M23" s="53" t="s">
        <v>54</v>
      </c>
      <c r="N23" s="53"/>
      <c r="O23" s="54" t="s">
        <v>92</v>
      </c>
      <c r="P23" s="54" t="s">
        <v>93</v>
      </c>
    </row>
    <row r="24" spans="1:16" ht="12.75" customHeight="1" thickBot="1">
      <c r="A24" s="8" t="str">
        <f t="shared" si="0"/>
        <v> VSS 10.217 </v>
      </c>
      <c r="B24" s="3" t="str">
        <f t="shared" si="1"/>
        <v>I</v>
      </c>
      <c r="C24" s="8">
        <f t="shared" si="2"/>
        <v>44132.452</v>
      </c>
      <c r="D24" s="10" t="str">
        <f t="shared" si="3"/>
        <v>vis</v>
      </c>
      <c r="E24" s="51">
        <f>VLOOKUP(C24,A!C$21:E$973,3,FALSE)</f>
        <v>-2165.0120982073336</v>
      </c>
      <c r="F24" s="3" t="s">
        <v>53</v>
      </c>
      <c r="G24" s="10" t="str">
        <f t="shared" si="4"/>
        <v>44132.452</v>
      </c>
      <c r="H24" s="8">
        <f t="shared" si="5"/>
        <v>4864</v>
      </c>
      <c r="I24" s="52" t="s">
        <v>100</v>
      </c>
      <c r="J24" s="53" t="s">
        <v>101</v>
      </c>
      <c r="K24" s="52">
        <v>4864</v>
      </c>
      <c r="L24" s="52" t="s">
        <v>102</v>
      </c>
      <c r="M24" s="53" t="s">
        <v>58</v>
      </c>
      <c r="N24" s="53"/>
      <c r="O24" s="54" t="s">
        <v>92</v>
      </c>
      <c r="P24" s="54" t="s">
        <v>93</v>
      </c>
    </row>
    <row r="25" spans="1:16" ht="12.75" customHeight="1" thickBot="1">
      <c r="A25" s="8" t="str">
        <f t="shared" si="0"/>
        <v> VSS 10.217 </v>
      </c>
      <c r="B25" s="3" t="str">
        <f t="shared" si="1"/>
        <v>I</v>
      </c>
      <c r="C25" s="8">
        <f t="shared" si="2"/>
        <v>44136.357</v>
      </c>
      <c r="D25" s="10" t="str">
        <f t="shared" si="3"/>
        <v>vis</v>
      </c>
      <c r="E25" s="51">
        <f>VLOOKUP(C25,A!C$21:E$973,3,FALSE)</f>
        <v>-2164.0019742039403</v>
      </c>
      <c r="F25" s="3" t="s">
        <v>53</v>
      </c>
      <c r="G25" s="10" t="str">
        <f t="shared" si="4"/>
        <v>44136.357</v>
      </c>
      <c r="H25" s="8">
        <f t="shared" si="5"/>
        <v>4865</v>
      </c>
      <c r="I25" s="52" t="s">
        <v>103</v>
      </c>
      <c r="J25" s="53" t="s">
        <v>104</v>
      </c>
      <c r="K25" s="52">
        <v>4865</v>
      </c>
      <c r="L25" s="52" t="s">
        <v>105</v>
      </c>
      <c r="M25" s="53" t="s">
        <v>54</v>
      </c>
      <c r="N25" s="53"/>
      <c r="O25" s="54" t="s">
        <v>92</v>
      </c>
      <c r="P25" s="54" t="s">
        <v>93</v>
      </c>
    </row>
    <row r="26" spans="1:16" ht="12.75" customHeight="1" thickBot="1">
      <c r="A26" s="8" t="str">
        <f t="shared" si="0"/>
        <v> VSS 10.217 </v>
      </c>
      <c r="B26" s="3" t="str">
        <f t="shared" si="1"/>
        <v>I</v>
      </c>
      <c r="C26" s="8">
        <f t="shared" si="2"/>
        <v>44167.274</v>
      </c>
      <c r="D26" s="10" t="str">
        <f t="shared" si="3"/>
        <v>vis</v>
      </c>
      <c r="E26" s="51">
        <f>VLOOKUP(C26,A!C$21:E$973,3,FALSE)</f>
        <v>-2156.0045340469987</v>
      </c>
      <c r="F26" s="3" t="s">
        <v>53</v>
      </c>
      <c r="G26" s="10" t="str">
        <f t="shared" si="4"/>
        <v>44167.274</v>
      </c>
      <c r="H26" s="8">
        <f t="shared" si="5"/>
        <v>4873</v>
      </c>
      <c r="I26" s="52" t="s">
        <v>106</v>
      </c>
      <c r="J26" s="53" t="s">
        <v>107</v>
      </c>
      <c r="K26" s="52">
        <v>4873</v>
      </c>
      <c r="L26" s="52" t="s">
        <v>108</v>
      </c>
      <c r="M26" s="53" t="s">
        <v>54</v>
      </c>
      <c r="N26" s="53"/>
      <c r="O26" s="54" t="s">
        <v>92</v>
      </c>
      <c r="P26" s="54" t="s">
        <v>93</v>
      </c>
    </row>
    <row r="27" spans="1:16" ht="12.75" customHeight="1" thickBot="1">
      <c r="A27" s="8" t="str">
        <f t="shared" si="0"/>
        <v> VSS 10.217 </v>
      </c>
      <c r="B27" s="3" t="str">
        <f t="shared" si="1"/>
        <v>I</v>
      </c>
      <c r="C27" s="8">
        <f t="shared" si="2"/>
        <v>44256.233</v>
      </c>
      <c r="D27" s="10" t="str">
        <f t="shared" si="3"/>
        <v>vis</v>
      </c>
      <c r="E27" s="51">
        <f>VLOOKUP(C27,A!C$21:E$973,3,FALSE)</f>
        <v>-2132.99310735872</v>
      </c>
      <c r="F27" s="3" t="s">
        <v>53</v>
      </c>
      <c r="G27" s="10" t="str">
        <f t="shared" si="4"/>
        <v>44256.233</v>
      </c>
      <c r="H27" s="8">
        <f t="shared" si="5"/>
        <v>4896</v>
      </c>
      <c r="I27" s="52" t="s">
        <v>109</v>
      </c>
      <c r="J27" s="53" t="s">
        <v>110</v>
      </c>
      <c r="K27" s="52">
        <v>4896</v>
      </c>
      <c r="L27" s="52" t="s">
        <v>111</v>
      </c>
      <c r="M27" s="53" t="s">
        <v>54</v>
      </c>
      <c r="N27" s="53"/>
      <c r="O27" s="54" t="s">
        <v>92</v>
      </c>
      <c r="P27" s="54" t="s">
        <v>93</v>
      </c>
    </row>
    <row r="28" spans="1:16" ht="12.75" customHeight="1" thickBot="1">
      <c r="A28" s="8" t="str">
        <f t="shared" si="0"/>
        <v> BRNO 28 </v>
      </c>
      <c r="B28" s="3" t="str">
        <f t="shared" si="1"/>
        <v>I</v>
      </c>
      <c r="C28" s="8">
        <f t="shared" si="2"/>
        <v>46668.5</v>
      </c>
      <c r="D28" s="10" t="str">
        <f t="shared" si="3"/>
        <v>vis</v>
      </c>
      <c r="E28" s="51">
        <f>VLOOKUP(C28,A!C$21:E$973,3,FALSE)</f>
        <v>-1509.001097297316</v>
      </c>
      <c r="F28" s="3" t="s">
        <v>53</v>
      </c>
      <c r="G28" s="10" t="str">
        <f t="shared" si="4"/>
        <v>46668.500</v>
      </c>
      <c r="H28" s="8">
        <f t="shared" si="5"/>
        <v>5520</v>
      </c>
      <c r="I28" s="52" t="s">
        <v>112</v>
      </c>
      <c r="J28" s="53" t="s">
        <v>113</v>
      </c>
      <c r="K28" s="52">
        <v>5520</v>
      </c>
      <c r="L28" s="52" t="s">
        <v>114</v>
      </c>
      <c r="M28" s="53" t="s">
        <v>72</v>
      </c>
      <c r="N28" s="53"/>
      <c r="O28" s="54" t="s">
        <v>115</v>
      </c>
      <c r="P28" s="54" t="s">
        <v>116</v>
      </c>
    </row>
    <row r="29" spans="1:16" ht="12.75" customHeight="1" thickBot="1">
      <c r="A29" s="8" t="str">
        <f t="shared" si="0"/>
        <v> BRNO 28 </v>
      </c>
      <c r="B29" s="3" t="str">
        <f t="shared" si="1"/>
        <v>I</v>
      </c>
      <c r="C29" s="8">
        <f t="shared" si="2"/>
        <v>46699.433</v>
      </c>
      <c r="D29" s="10" t="str">
        <f t="shared" si="3"/>
        <v>vis</v>
      </c>
      <c r="E29" s="51">
        <f>VLOOKUP(C29,A!C$21:E$973,3,FALSE)</f>
        <v>-1500.9995183480423</v>
      </c>
      <c r="F29" s="3" t="s">
        <v>53</v>
      </c>
      <c r="G29" s="10" t="str">
        <f t="shared" si="4"/>
        <v>46699.433</v>
      </c>
      <c r="H29" s="8">
        <f t="shared" si="5"/>
        <v>5528</v>
      </c>
      <c r="I29" s="52" t="s">
        <v>117</v>
      </c>
      <c r="J29" s="53" t="s">
        <v>118</v>
      </c>
      <c r="K29" s="52">
        <v>5528</v>
      </c>
      <c r="L29" s="52" t="s">
        <v>119</v>
      </c>
      <c r="M29" s="53" t="s">
        <v>72</v>
      </c>
      <c r="N29" s="53"/>
      <c r="O29" s="54" t="s">
        <v>115</v>
      </c>
      <c r="P29" s="54" t="s">
        <v>116</v>
      </c>
    </row>
    <row r="30" spans="1:16" ht="12.75" customHeight="1" thickBot="1">
      <c r="A30" s="8" t="str">
        <f t="shared" si="0"/>
        <v>BAVM 203 </v>
      </c>
      <c r="B30" s="3" t="str">
        <f t="shared" si="1"/>
        <v>I</v>
      </c>
      <c r="C30" s="8">
        <f t="shared" si="2"/>
        <v>54709.3562</v>
      </c>
      <c r="D30" s="10" t="str">
        <f t="shared" si="3"/>
        <v>vis</v>
      </c>
      <c r="E30" s="51">
        <f>VLOOKUP(C30,A!C$21:E$973,3,FALSE)</f>
        <v>570.9635263752316</v>
      </c>
      <c r="F30" s="3" t="s">
        <v>53</v>
      </c>
      <c r="G30" s="10" t="str">
        <f t="shared" si="4"/>
        <v>54709.3562</v>
      </c>
      <c r="H30" s="8">
        <f t="shared" si="5"/>
        <v>7600</v>
      </c>
      <c r="I30" s="52" t="s">
        <v>120</v>
      </c>
      <c r="J30" s="53" t="s">
        <v>121</v>
      </c>
      <c r="K30" s="52">
        <v>7600</v>
      </c>
      <c r="L30" s="52" t="s">
        <v>122</v>
      </c>
      <c r="M30" s="53" t="s">
        <v>123</v>
      </c>
      <c r="N30" s="53" t="s">
        <v>124</v>
      </c>
      <c r="O30" s="54" t="s">
        <v>125</v>
      </c>
      <c r="P30" s="55" t="s">
        <v>126</v>
      </c>
    </row>
    <row r="31" spans="1:16" ht="12.75" customHeight="1" thickBot="1">
      <c r="A31" s="8" t="str">
        <f t="shared" si="0"/>
        <v>BAVM 212 </v>
      </c>
      <c r="B31" s="3" t="str">
        <f t="shared" si="1"/>
        <v>I</v>
      </c>
      <c r="C31" s="8">
        <f t="shared" si="2"/>
        <v>55049.5467</v>
      </c>
      <c r="D31" s="10" t="str">
        <f t="shared" si="3"/>
        <v>vis</v>
      </c>
      <c r="E31" s="51">
        <f>VLOOKUP(C31,A!C$21:E$973,3,FALSE)</f>
        <v>658.9621409144978</v>
      </c>
      <c r="F31" s="3" t="s">
        <v>53</v>
      </c>
      <c r="G31" s="10" t="str">
        <f t="shared" si="4"/>
        <v>55049.5467</v>
      </c>
      <c r="H31" s="8">
        <f t="shared" si="5"/>
        <v>7688</v>
      </c>
      <c r="I31" s="52" t="s">
        <v>127</v>
      </c>
      <c r="J31" s="53" t="s">
        <v>128</v>
      </c>
      <c r="K31" s="52" t="s">
        <v>129</v>
      </c>
      <c r="L31" s="52" t="s">
        <v>130</v>
      </c>
      <c r="M31" s="53" t="s">
        <v>123</v>
      </c>
      <c r="N31" s="53" t="s">
        <v>124</v>
      </c>
      <c r="O31" s="54" t="s">
        <v>125</v>
      </c>
      <c r="P31" s="55" t="s">
        <v>131</v>
      </c>
    </row>
    <row r="32" spans="1:16" ht="12.75" customHeight="1" thickBot="1">
      <c r="A32" s="8" t="str">
        <f t="shared" si="0"/>
        <v>BAVM 225 </v>
      </c>
      <c r="B32" s="3" t="str">
        <f t="shared" si="1"/>
        <v>I</v>
      </c>
      <c r="C32" s="8">
        <f t="shared" si="2"/>
        <v>55799.5116</v>
      </c>
      <c r="D32" s="10" t="str">
        <f t="shared" si="3"/>
        <v>vis</v>
      </c>
      <c r="E32" s="51">
        <f>VLOOKUP(C32,A!C$21:E$973,3,FALSE)</f>
        <v>852.9589519750062</v>
      </c>
      <c r="F32" s="3" t="s">
        <v>53</v>
      </c>
      <c r="G32" s="10" t="str">
        <f t="shared" si="4"/>
        <v>55799.5116</v>
      </c>
      <c r="H32" s="8">
        <f t="shared" si="5"/>
        <v>7882</v>
      </c>
      <c r="I32" s="52" t="s">
        <v>137</v>
      </c>
      <c r="J32" s="53" t="s">
        <v>138</v>
      </c>
      <c r="K32" s="52" t="s">
        <v>139</v>
      </c>
      <c r="L32" s="52" t="s">
        <v>140</v>
      </c>
      <c r="M32" s="53" t="s">
        <v>123</v>
      </c>
      <c r="N32" s="53" t="s">
        <v>124</v>
      </c>
      <c r="O32" s="54" t="s">
        <v>125</v>
      </c>
      <c r="P32" s="55" t="s">
        <v>141</v>
      </c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</sheetData>
  <sheetProtection/>
  <hyperlinks>
    <hyperlink ref="P30" r:id="rId1" display="http://www.bav-astro.de/sfs/BAVM_link.php?BAVMnr=203"/>
    <hyperlink ref="P31" r:id="rId2" display="http://www.bav-astro.de/sfs/BAVM_link.php?BAVMnr=212"/>
    <hyperlink ref="P11" r:id="rId3" display="http://www.bav-astro.de/sfs/BAVM_link.php?BAVMnr=215"/>
    <hyperlink ref="P32" r:id="rId4" display="http://www.bav-astro.de/sfs/BAVM_link.php?BAVMnr=22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2022-11-19T02:09:17Z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