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2F5F2FF-4BD4-42ED-92E1-5F6A1B7959CE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52" i="1" l="1"/>
  <c r="F52" i="1" s="1"/>
  <c r="G52" i="1" s="1"/>
  <c r="K52" i="1" s="1"/>
  <c r="Q52" i="1"/>
  <c r="E51" i="1"/>
  <c r="F51" i="1" s="1"/>
  <c r="G51" i="1" s="1"/>
  <c r="U51" i="1" s="1"/>
  <c r="Q51" i="1"/>
  <c r="E48" i="1"/>
  <c r="F48" i="1"/>
  <c r="G48" i="1"/>
  <c r="K48" i="1"/>
  <c r="Q48" i="1"/>
  <c r="E49" i="1"/>
  <c r="F49" i="1"/>
  <c r="G49" i="1"/>
  <c r="K49" i="1"/>
  <c r="Q49" i="1"/>
  <c r="E50" i="1"/>
  <c r="F50" i="1"/>
  <c r="G50" i="1"/>
  <c r="K50" i="1"/>
  <c r="Q50" i="1"/>
  <c r="E47" i="1"/>
  <c r="F47" i="1"/>
  <c r="G47" i="1"/>
  <c r="K47" i="1"/>
  <c r="Q47" i="1"/>
  <c r="E24" i="1"/>
  <c r="F24" i="1"/>
  <c r="G24" i="1"/>
  <c r="I24" i="1"/>
  <c r="E25" i="1"/>
  <c r="F25" i="1"/>
  <c r="G25" i="1"/>
  <c r="I25" i="1"/>
  <c r="E26" i="1"/>
  <c r="F26" i="1"/>
  <c r="G26" i="1"/>
  <c r="I26" i="1"/>
  <c r="E27" i="1"/>
  <c r="F27" i="1"/>
  <c r="G27" i="1"/>
  <c r="I27" i="1"/>
  <c r="E28" i="1"/>
  <c r="F28" i="1"/>
  <c r="G28" i="1"/>
  <c r="I28" i="1"/>
  <c r="E29" i="1"/>
  <c r="F29" i="1"/>
  <c r="G29" i="1"/>
  <c r="K29" i="1"/>
  <c r="E30" i="1"/>
  <c r="F30" i="1"/>
  <c r="G30" i="1"/>
  <c r="K30" i="1"/>
  <c r="E31" i="1"/>
  <c r="F31" i="1"/>
  <c r="G31" i="1"/>
  <c r="K31" i="1"/>
  <c r="E32" i="1"/>
  <c r="F32" i="1"/>
  <c r="G32" i="1"/>
  <c r="K32" i="1"/>
  <c r="E33" i="1"/>
  <c r="F33" i="1"/>
  <c r="G33" i="1"/>
  <c r="K33" i="1"/>
  <c r="E34" i="1"/>
  <c r="F34" i="1"/>
  <c r="G34" i="1"/>
  <c r="K34" i="1"/>
  <c r="E35" i="1"/>
  <c r="F35" i="1"/>
  <c r="G35" i="1"/>
  <c r="K35" i="1"/>
  <c r="E36" i="1"/>
  <c r="F36" i="1"/>
  <c r="G36" i="1"/>
  <c r="K36" i="1"/>
  <c r="E37" i="1"/>
  <c r="F37" i="1"/>
  <c r="G37" i="1"/>
  <c r="K37" i="1"/>
  <c r="E38" i="1"/>
  <c r="F38" i="1"/>
  <c r="G38" i="1"/>
  <c r="K38" i="1"/>
  <c r="E39" i="1"/>
  <c r="F39" i="1"/>
  <c r="G39" i="1"/>
  <c r="K39" i="1"/>
  <c r="E40" i="1"/>
  <c r="F40" i="1"/>
  <c r="G40" i="1"/>
  <c r="K40" i="1"/>
  <c r="E41" i="1"/>
  <c r="F41" i="1"/>
  <c r="G41" i="1"/>
  <c r="K41" i="1"/>
  <c r="E42" i="1"/>
  <c r="F42" i="1"/>
  <c r="G42" i="1"/>
  <c r="J42" i="1"/>
  <c r="E43" i="1"/>
  <c r="F43" i="1"/>
  <c r="G43" i="1"/>
  <c r="J43" i="1"/>
  <c r="E44" i="1"/>
  <c r="F44" i="1"/>
  <c r="G44" i="1"/>
  <c r="K44" i="1"/>
  <c r="E45" i="1"/>
  <c r="F45" i="1"/>
  <c r="G45" i="1"/>
  <c r="K45" i="1"/>
  <c r="E46" i="1"/>
  <c r="F46" i="1"/>
  <c r="G46" i="1"/>
  <c r="K46" i="1"/>
  <c r="D9" i="1"/>
  <c r="C9" i="1"/>
  <c r="E23" i="1"/>
  <c r="F23" i="1"/>
  <c r="G23" i="1"/>
  <c r="J23" i="1"/>
  <c r="E21" i="1"/>
  <c r="F21" i="1"/>
  <c r="G21" i="1"/>
  <c r="H21" i="1"/>
  <c r="E22" i="1"/>
  <c r="F22" i="1"/>
  <c r="G22" i="1"/>
  <c r="I22" i="1"/>
  <c r="Q44" i="1"/>
  <c r="Q45" i="1"/>
  <c r="Q46" i="1"/>
  <c r="Q21" i="1"/>
  <c r="Q22" i="1"/>
  <c r="Q24" i="1"/>
  <c r="Q30" i="1"/>
  <c r="Q31" i="1"/>
  <c r="Q32" i="1"/>
  <c r="G23" i="2"/>
  <c r="C23" i="2"/>
  <c r="E23" i="2"/>
  <c r="G22" i="2"/>
  <c r="C22" i="2"/>
  <c r="E22" i="2"/>
  <c r="G21" i="2"/>
  <c r="C21" i="2"/>
  <c r="E21" i="2"/>
  <c r="G20" i="2"/>
  <c r="C20" i="2"/>
  <c r="E20" i="2"/>
  <c r="G19" i="2"/>
  <c r="C19" i="2"/>
  <c r="E19" i="2"/>
  <c r="G18" i="2"/>
  <c r="C18" i="2"/>
  <c r="E18" i="2"/>
  <c r="G17" i="2"/>
  <c r="C17" i="2"/>
  <c r="E17" i="2"/>
  <c r="G16" i="2"/>
  <c r="C16" i="2"/>
  <c r="E16" i="2"/>
  <c r="G29" i="2"/>
  <c r="C29" i="2"/>
  <c r="E29" i="2"/>
  <c r="G28" i="2"/>
  <c r="C28" i="2"/>
  <c r="E28" i="2"/>
  <c r="G27" i="2"/>
  <c r="C27" i="2"/>
  <c r="E27" i="2"/>
  <c r="G15" i="2"/>
  <c r="C15" i="2"/>
  <c r="E15" i="2"/>
  <c r="G14" i="2"/>
  <c r="C14" i="2"/>
  <c r="E14" i="2"/>
  <c r="G13" i="2"/>
  <c r="C13" i="2"/>
  <c r="E13" i="2"/>
  <c r="G12" i="2"/>
  <c r="C12" i="2"/>
  <c r="E12" i="2"/>
  <c r="G26" i="2"/>
  <c r="C26" i="2"/>
  <c r="E26" i="2"/>
  <c r="G11" i="2"/>
  <c r="C11" i="2"/>
  <c r="E11" i="2"/>
  <c r="G25" i="2"/>
  <c r="C25" i="2"/>
  <c r="E25" i="2"/>
  <c r="G24" i="2"/>
  <c r="C24" i="2"/>
  <c r="E24" i="2"/>
  <c r="H23" i="2"/>
  <c r="B23" i="2"/>
  <c r="D23" i="2"/>
  <c r="A23" i="2"/>
  <c r="H22" i="2"/>
  <c r="B22" i="2"/>
  <c r="D22" i="2"/>
  <c r="A22" i="2"/>
  <c r="H21" i="2"/>
  <c r="B21" i="2"/>
  <c r="D21" i="2"/>
  <c r="A21" i="2"/>
  <c r="H20" i="2"/>
  <c r="B20" i="2"/>
  <c r="D20" i="2"/>
  <c r="A20" i="2"/>
  <c r="H19" i="2"/>
  <c r="B19" i="2"/>
  <c r="D19" i="2"/>
  <c r="A19" i="2"/>
  <c r="H18" i="2"/>
  <c r="B18" i="2"/>
  <c r="D18" i="2"/>
  <c r="A18" i="2"/>
  <c r="H17" i="2"/>
  <c r="B17" i="2"/>
  <c r="D17" i="2"/>
  <c r="A17" i="2"/>
  <c r="H16" i="2"/>
  <c r="B16" i="2"/>
  <c r="D16" i="2"/>
  <c r="A16" i="2"/>
  <c r="H29" i="2"/>
  <c r="B29" i="2"/>
  <c r="D29" i="2"/>
  <c r="A29" i="2"/>
  <c r="H28" i="2"/>
  <c r="B28" i="2"/>
  <c r="D28" i="2"/>
  <c r="A28" i="2"/>
  <c r="H27" i="2"/>
  <c r="B27" i="2"/>
  <c r="D27" i="2"/>
  <c r="A27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26" i="2"/>
  <c r="B26" i="2"/>
  <c r="D26" i="2"/>
  <c r="A26" i="2"/>
  <c r="H11" i="2"/>
  <c r="B11" i="2"/>
  <c r="D11" i="2"/>
  <c r="A11" i="2"/>
  <c r="H25" i="2"/>
  <c r="B25" i="2"/>
  <c r="D25" i="2"/>
  <c r="A25" i="2"/>
  <c r="H24" i="2"/>
  <c r="B24" i="2"/>
  <c r="D24" i="2"/>
  <c r="A24" i="2"/>
  <c r="Q43" i="1"/>
  <c r="Q40" i="1"/>
  <c r="Q36" i="1"/>
  <c r="Q37" i="1"/>
  <c r="Q42" i="1"/>
  <c r="Q28" i="1"/>
  <c r="Q33" i="1"/>
  <c r="Q35" i="1"/>
  <c r="Q38" i="1"/>
  <c r="Q39" i="1"/>
  <c r="Q41" i="1"/>
  <c r="Q34" i="1"/>
  <c r="Q29" i="1"/>
  <c r="Q25" i="1"/>
  <c r="Q26" i="1"/>
  <c r="Q27" i="1"/>
  <c r="F16" i="1"/>
  <c r="F17" i="1" s="1"/>
  <c r="C17" i="1"/>
  <c r="Q23" i="1"/>
  <c r="C11" i="1"/>
  <c r="C12" i="1"/>
  <c r="O52" i="1" l="1"/>
  <c r="O51" i="1"/>
  <c r="C16" i="1"/>
  <c r="D18" i="1" s="1"/>
  <c r="O31" i="1"/>
  <c r="O42" i="1"/>
  <c r="C15" i="1"/>
  <c r="O36" i="1"/>
  <c r="O30" i="1"/>
  <c r="O24" i="1"/>
  <c r="O21" i="1"/>
  <c r="O27" i="1"/>
  <c r="O39" i="1"/>
  <c r="O49" i="1"/>
  <c r="O32" i="1"/>
  <c r="O33" i="1"/>
  <c r="O34" i="1"/>
  <c r="O45" i="1"/>
  <c r="O35" i="1"/>
  <c r="O40" i="1"/>
  <c r="O46" i="1"/>
  <c r="O25" i="1"/>
  <c r="O38" i="1"/>
  <c r="O29" i="1"/>
  <c r="O50" i="1"/>
  <c r="O47" i="1"/>
  <c r="O44" i="1"/>
  <c r="O28" i="1"/>
  <c r="O26" i="1"/>
  <c r="O48" i="1"/>
  <c r="O43" i="1"/>
  <c r="O41" i="1"/>
  <c r="O37" i="1"/>
  <c r="O22" i="1"/>
  <c r="O23" i="1"/>
  <c r="C18" i="1" l="1"/>
  <c r="F18" i="1"/>
  <c r="F19" i="1" s="1"/>
</calcChain>
</file>

<file path=xl/sharedStrings.xml><?xml version="1.0" encoding="utf-8"?>
<sst xmlns="http://schemas.openxmlformats.org/spreadsheetml/2006/main" count="273" uniqueCount="162">
  <si>
    <t>JAVSO..47..105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</si>
  <si>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</si>
  <si>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</si>
  <si>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</si>
  <si>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</si>
  <si>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</si>
  <si>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</si>
  <si>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</si>
  <si>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</si>
  <si>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</si>
  <si>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</si>
  <si>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</si>
  <si>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</si>
  <si>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</si>
  <si>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</si>
  <si>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</si>
  <si>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</si>
  <si>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</si>
  <si>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</si>
  <si>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</si>
  <si>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</si>
  <si>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</si>
  <si>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</si>
  <si>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</si>
  <si>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</si>
  <si>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</si>
  <si>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</si>
  <si>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</si>
  <si>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</si>
  <si>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</si>
  <si>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</si>
  <si>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</si>
  <si>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</si>
  <si>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</si>
  <si>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</si>
  <si>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</si>
  <si>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</si>
  <si>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</si>
  <si>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</si>
  <si>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GX Lac</t>
  </si>
  <si>
    <t>GX Lac / GSC 3992-2090</t>
  </si>
  <si>
    <t>EA/DM</t>
  </si>
  <si>
    <t>Kreiner</t>
  </si>
  <si>
    <t>IBVS 2798</t>
  </si>
  <si>
    <t>I</t>
  </si>
  <si>
    <t>II</t>
  </si>
  <si>
    <t>IBVS 6042</t>
  </si>
  <si>
    <t>G3992-2090</t>
  </si>
  <si>
    <t>OEJV 0160</t>
  </si>
  <si>
    <t>JAVSO..41..122</t>
  </si>
  <si>
    <t>IBVS 6118</t>
  </si>
  <si>
    <t>IBVS 6152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</si>
  <si>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</si>
  <si>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</si>
  <si>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</si>
  <si>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</si>
  <si>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</si>
  <si>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</si>
  <si>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</si>
  <si>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</si>
  <si>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</si>
  <si>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</si>
  <si>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</si>
  <si>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</si>
  <si>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2420753.536 </t>
  </si>
  <si>
    <t> 13.09.1915 00:51 </t>
  </si>
  <si>
    <t> -0.000 </t>
  </si>
  <si>
    <t>P </t>
  </si>
  <si>
    <t> J.Uitterdijk </t>
  </si>
  <si>
    <t> BAN 7.160 </t>
  </si>
  <si>
    <t>2439444.313 </t>
  </si>
  <si>
    <t> 14.11.1966 19:30 </t>
  </si>
  <si>
    <t> -0.032 </t>
  </si>
  <si>
    <t> K.Häussler </t>
  </si>
  <si>
    <t> MHAR 15 </t>
  </si>
  <si>
    <t>2439749.3973 </t>
  </si>
  <si>
    <t> 15.09.1967 21:32 </t>
  </si>
  <si>
    <t> 0.0000 </t>
  </si>
  <si>
    <t>E </t>
  </si>
  <si>
    <t>?</t>
  </si>
  <si>
    <t> J.M.Kreiner </t>
  </si>
  <si>
    <t>IBVS 249 </t>
  </si>
  <si>
    <t>2441573.332 </t>
  </si>
  <si>
    <t> 12.09.1972 19:58 </t>
  </si>
  <si>
    <t> -0.024 </t>
  </si>
  <si>
    <t>2445189.486 </t>
  </si>
  <si>
    <t> 07.08.1982 23:39 </t>
  </si>
  <si>
    <t> -0.011 </t>
  </si>
  <si>
    <t> J.M.Kreiner et al. </t>
  </si>
  <si>
    <t>IBVS 2798 </t>
  </si>
  <si>
    <t>2445993.413 </t>
  </si>
  <si>
    <t> 19.10.1984 21:54 </t>
  </si>
  <si>
    <t>2446009.312 </t>
  </si>
  <si>
    <t> 04.11.1984 19:29 </t>
  </si>
  <si>
    <t> -0.013 </t>
  </si>
  <si>
    <t>2450737.627 </t>
  </si>
  <si>
    <t> 16.10.1997 03:02 </t>
  </si>
  <si>
    <t> -0.008 </t>
  </si>
  <si>
    <t>V </t>
  </si>
  <si>
    <t> S.Cook </t>
  </si>
  <si>
    <t> JAAVSO 41;122 </t>
  </si>
  <si>
    <t>2454366.4544 </t>
  </si>
  <si>
    <t> 22.09.2007 22:54 </t>
  </si>
  <si>
    <t> -0.0324 </t>
  </si>
  <si>
    <t>C </t>
  </si>
  <si>
    <t>-I</t>
  </si>
  <si>
    <t> F.Agerer </t>
  </si>
  <si>
    <t>BAVM 193 </t>
  </si>
  <si>
    <t>2455097.3028 </t>
  </si>
  <si>
    <t> 22.09.2009 19:16 </t>
  </si>
  <si>
    <t>2415</t>
  </si>
  <si>
    <t> -0.0385 </t>
  </si>
  <si>
    <t>BAVM 212 </t>
  </si>
  <si>
    <t>2455834.5156 </t>
  </si>
  <si>
    <t> 30.09.2011 00:22 </t>
  </si>
  <si>
    <t>2531</t>
  </si>
  <si>
    <t> -0.0354 </t>
  </si>
  <si>
    <t> M.&amp; K.Rätz </t>
  </si>
  <si>
    <t>BAVM 225 </t>
  </si>
  <si>
    <t>2456101.43434 </t>
  </si>
  <si>
    <t> 22.06.2012 22:25 </t>
  </si>
  <si>
    <t>2573</t>
  </si>
  <si>
    <t> -0.03742 </t>
  </si>
  <si>
    <t> M.Urbanik </t>
  </si>
  <si>
    <t>OEJV 0160 </t>
  </si>
  <si>
    <t>2456231.711 </t>
  </si>
  <si>
    <t> 31.10.2012 05:03 </t>
  </si>
  <si>
    <t>2593.5</t>
  </si>
  <si>
    <t> -0.044 </t>
  </si>
  <si>
    <t> R.Diethelm </t>
  </si>
  <si>
    <t>IBVS 6042 </t>
  </si>
  <si>
    <t>2456495.45803 </t>
  </si>
  <si>
    <t> 21.07.2013 22:59 </t>
  </si>
  <si>
    <t>2635</t>
  </si>
  <si>
    <t> -0.03962 </t>
  </si>
  <si>
    <t> R.Auer </t>
  </si>
  <si>
    <t>2456495.46149 </t>
  </si>
  <si>
    <t> 21.07.2013 23:04 </t>
  </si>
  <si>
    <t> -0.03616 </t>
  </si>
  <si>
    <t>2456495.46255 </t>
  </si>
  <si>
    <t> 21.07.2013 23:06 </t>
  </si>
  <si>
    <t> -0.03510 </t>
  </si>
  <si>
    <t>B</t>
  </si>
  <si>
    <t>2456495.46515 </t>
  </si>
  <si>
    <t> 21.07.2013 23:09 </t>
  </si>
  <si>
    <t> -0.03250 </t>
  </si>
  <si>
    <t>R</t>
  </si>
  <si>
    <t>2456568.5297 </t>
  </si>
  <si>
    <t> 03.10.2013 00:42 </t>
  </si>
  <si>
    <t>2646.5</t>
  </si>
  <si>
    <t> -0.0534 </t>
  </si>
  <si>
    <t>BAVM 234 </t>
  </si>
  <si>
    <t>2456924.4269 </t>
  </si>
  <si>
    <t> 23.09.2014 22:14 </t>
  </si>
  <si>
    <t> -0.0506 </t>
  </si>
  <si>
    <t>BAVM 239 </t>
  </si>
  <si>
    <t>OEJV 0179</t>
  </si>
  <si>
    <t>JAVSO..48…87</t>
  </si>
  <si>
    <t>OEJV 0205</t>
  </si>
  <si>
    <t>VSB 069</t>
  </si>
  <si>
    <t>JBAV, 60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</si>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</sst>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7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31" fillId="0" borderId="0"/>
    <xf numFmtId="0" fontId="31" fillId="0" borderId="0"/>
    <xf numFmtId="0" fontId="20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15" fillId="0" borderId="8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11" fillId="0" borderId="0" xfId="0" applyFont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6" fillId="0" borderId="0" xfId="0" applyFont="1">
      <alignment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18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8" fillId="24" borderId="17" xfId="38" applyFill="1" applyBorder="1" applyAlignment="1" applyProtection="1">
      <alignment horizontal="right" vertical="top" wrapText="1"/>
    </xf>
    <xf numFmtId="0" fontId="19" fillId="0" borderId="0" xfId="0" applyFont="1" applyAlignment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35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35" fillId="0" borderId="0" xfId="42" applyFont="1"/>
    <xf numFmtId="0" fontId="35" fillId="0" borderId="0" xfId="42" applyFont="1" applyAlignment="1">
      <alignment horizontal="center"/>
    </xf>
    <xf numFmtId="0" fontId="35" fillId="0" borderId="0" xfId="42" applyFont="1" applyAlignment="1">
      <alignment horizontal="left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5" fontId="36" fillId="0" borderId="0" xfId="0" applyNumberFormat="1" applyFont="1" applyAlignment="1">
      <alignment vertical="center" wrapText="1"/>
    </xf>
    <xf numFmtId="0" fontId="36" fillId="0" borderId="0" xfId="0" applyFont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/>
    <xf numFmtId="14" fontId="6" fillId="0" borderId="0" xfId="0" applyNumberFormat="1" applyFont="1" applyAlignment="1"/>
    <xf numFmtId="0" fontId="6" fillId="0" borderId="0" xfId="0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GX Lac - O-C Diagr.</a:t>
            </a:r>
          </a:p>
        </c:rich>
      </c:tx>
      <c:layout>
        <c:manualLayout>
          <c:xMode val="edge"/>
          <c:yMode val="edge"/>
          <c:x val="0.39410939691444602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76297335203366"/>
          <c:y val="0.14035127795846455"/>
          <c:w val="0.83029453015427768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  <c:pt idx="0">
                  <c:v>-3.5277999995741993E-2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BB-49B4-8A04-FD02662C008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1">
                  <c:v>-3.2352499991247896E-2</c:v>
                </c:pt>
                <c:pt idx="3">
                  <c:v>-2.0259999997506384E-2</c:v>
                </c:pt>
                <c:pt idx="4">
                  <c:v>-3.8050000148359686E-4</c:v>
                </c:pt>
                <c:pt idx="5">
                  <c:v>-1.1809749994426966E-2</c:v>
                </c:pt>
                <c:pt idx="6">
                  <c:v>-9.2099999892525375E-4</c:v>
                </c:pt>
                <c:pt idx="7">
                  <c:v>1.2171000002126675E-2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DBB-49B4-8A04-FD02662C008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  <c:pt idx="2">
                  <c:v>2.1150000247871503E-4</c:v>
                </c:pt>
                <c:pt idx="21">
                  <c:v>-2.1957749995635822E-2</c:v>
                </c:pt>
                <c:pt idx="22">
                  <c:v>-1.844975000130944E-2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BB-49B4-8A04-FD02662C008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8">
                  <c:v>0</c:v>
                </c:pt>
                <c:pt idx="9">
                  <c:v>-5.0384999922243878E-3</c:v>
                </c:pt>
                <c:pt idx="10">
                  <c:v>-9.7559999994700775E-3</c:v>
                </c:pt>
                <c:pt idx="11">
                  <c:v>-5.3179999958956614E-3</c:v>
                </c:pt>
                <c:pt idx="12">
                  <c:v>-6.8469999969238415E-3</c:v>
                </c:pt>
                <c:pt idx="13">
                  <c:v>-1.269924999360228E-2</c:v>
                </c:pt>
                <c:pt idx="14">
                  <c:v>-8.3159999994677491E-3</c:v>
                </c:pt>
                <c:pt idx="15">
                  <c:v>-6.8559999999706633E-3</c:v>
                </c:pt>
                <c:pt idx="16">
                  <c:v>-5.7959999976446852E-3</c:v>
                </c:pt>
                <c:pt idx="17">
                  <c:v>-4.8559999995632097E-3</c:v>
                </c:pt>
                <c:pt idx="18">
                  <c:v>-3.7960000045131892E-3</c:v>
                </c:pt>
                <c:pt idx="19">
                  <c:v>-3.1959999978425913E-3</c:v>
                </c:pt>
                <c:pt idx="20">
                  <c:v>-1.1959999974351376E-3</c:v>
                </c:pt>
                <c:pt idx="23">
                  <c:v>-7.3869999978342094E-3</c:v>
                </c:pt>
                <c:pt idx="24">
                  <c:v>-4.6169999986886978E-3</c:v>
                </c:pt>
                <c:pt idx="25">
                  <c:v>-1.304925000295043E-2</c:v>
                </c:pt>
                <c:pt idx="26">
                  <c:v>-6.5179999946849421E-3</c:v>
                </c:pt>
                <c:pt idx="27">
                  <c:v>-7.7210000017657876E-3</c:v>
                </c:pt>
                <c:pt idx="28">
                  <c:v>-5.9215000001131557E-3</c:v>
                </c:pt>
                <c:pt idx="29">
                  <c:v>-3.324500001326669E-3</c:v>
                </c:pt>
                <c:pt idx="31">
                  <c:v>-8.0864999981713481E-3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DBB-49B4-8A04-FD02662C008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DBB-49B4-8A04-FD02662C008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DBB-49B4-8A04-FD02662C008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2">
                    <c:v>0</c:v>
                  </c:pt>
                  <c:pt idx="4">
                    <c:v>3.0000000000000001E-3</c:v>
                  </c:pt>
                  <c:pt idx="5">
                    <c:v>0.05</c:v>
                  </c:pt>
                  <c:pt idx="6">
                    <c:v>3.0000000000000001E-3</c:v>
                  </c:pt>
                  <c:pt idx="12">
                    <c:v>4.0000000000000002E-4</c:v>
                  </c:pt>
                  <c:pt idx="13">
                    <c:v>1E-4</c:v>
                  </c:pt>
                  <c:pt idx="14">
                    <c:v>3.5000000000000001E-3</c:v>
                  </c:pt>
                  <c:pt idx="15">
                    <c:v>1.24E-3</c:v>
                  </c:pt>
                  <c:pt idx="16">
                    <c:v>1.9300000000000001E-3</c:v>
                  </c:pt>
                  <c:pt idx="17">
                    <c:v>1.1999999999999999E-3</c:v>
                  </c:pt>
                  <c:pt idx="18">
                    <c:v>1.9E-3</c:v>
                  </c:pt>
                  <c:pt idx="19">
                    <c:v>9.8999999999999999E-4</c:v>
                  </c:pt>
                  <c:pt idx="20">
                    <c:v>1E-3</c:v>
                  </c:pt>
                  <c:pt idx="21">
                    <c:v>8.3000000000000001E-3</c:v>
                  </c:pt>
                  <c:pt idx="22">
                    <c:v>8.2000000000000007E-3</c:v>
                  </c:pt>
                  <c:pt idx="23">
                    <c:v>1.1000000000000001E-3</c:v>
                  </c:pt>
                  <c:pt idx="24">
                    <c:v>5.0000000000000001E-4</c:v>
                  </c:pt>
                  <c:pt idx="25">
                    <c:v>1E-3</c:v>
                  </c:pt>
                  <c:pt idx="26">
                    <c:v>2.0000000000000001E-4</c:v>
                  </c:pt>
                  <c:pt idx="27">
                    <c:v>2.0000000000000001E-4</c:v>
                  </c:pt>
                  <c:pt idx="28">
                    <c:v>2.1000000000000001E-4</c:v>
                  </c:pt>
                  <c:pt idx="29">
                    <c:v>0</c:v>
                  </c:pt>
                  <c:pt idx="30">
                    <c:v>1.6999999999999999E-3</c:v>
                  </c:pt>
                  <c:pt idx="31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DBB-49B4-8A04-FD02662C008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3.6632602132508386E-2</c:v>
                </c:pt>
                <c:pt idx="1">
                  <c:v>-6.1561708455679827E-3</c:v>
                </c:pt>
                <c:pt idx="2">
                  <c:v>-6.8545255218507642E-3</c:v>
                </c:pt>
                <c:pt idx="3">
                  <c:v>-1.1030104523791572E-2</c:v>
                </c:pt>
                <c:pt idx="4">
                  <c:v>-1.9308517248893733E-2</c:v>
                </c:pt>
                <c:pt idx="5">
                  <c:v>-2.1148972802013985E-2</c:v>
                </c:pt>
                <c:pt idx="6">
                  <c:v>-2.1185345441403713E-2</c:v>
                </c:pt>
                <c:pt idx="7">
                  <c:v>-3.2009842923786849E-2</c:v>
                </c:pt>
                <c:pt idx="8">
                  <c:v>-3.6054480423924638E-2</c:v>
                </c:pt>
                <c:pt idx="9">
                  <c:v>-4.0317353760400798E-2</c:v>
                </c:pt>
                <c:pt idx="10">
                  <c:v>-4.1990495172328293E-2</c:v>
                </c:pt>
                <c:pt idx="11">
                  <c:v>-4.3678185640011691E-2</c:v>
                </c:pt>
                <c:pt idx="12">
                  <c:v>-4.4289245981759123E-2</c:v>
                </c:pt>
                <c:pt idx="13">
                  <c:v>-4.4587501624754895E-2</c:v>
                </c:pt>
                <c:pt idx="14">
                  <c:v>-4.5191287438624383E-2</c:v>
                </c:pt>
                <c:pt idx="15">
                  <c:v>-4.5191287438624383E-2</c:v>
                </c:pt>
                <c:pt idx="16">
                  <c:v>-4.5191287438624383E-2</c:v>
                </c:pt>
                <c:pt idx="17">
                  <c:v>-4.5191287438624383E-2</c:v>
                </c:pt>
                <c:pt idx="18">
                  <c:v>-4.5191287438624383E-2</c:v>
                </c:pt>
                <c:pt idx="19">
                  <c:v>-4.5191287438624383E-2</c:v>
                </c:pt>
                <c:pt idx="20">
                  <c:v>-4.5191287438624383E-2</c:v>
                </c:pt>
                <c:pt idx="21">
                  <c:v>-4.5358601579817137E-2</c:v>
                </c:pt>
                <c:pt idx="22">
                  <c:v>-4.6173348702147052E-2</c:v>
                </c:pt>
                <c:pt idx="23">
                  <c:v>-4.6908076017819558E-2</c:v>
                </c:pt>
                <c:pt idx="24">
                  <c:v>-4.6908076017819558E-2</c:v>
                </c:pt>
                <c:pt idx="25">
                  <c:v>-4.691535054569751E-2</c:v>
                </c:pt>
                <c:pt idx="26">
                  <c:v>-4.9497807942368216E-2</c:v>
                </c:pt>
                <c:pt idx="27">
                  <c:v>-5.0283456953186347E-2</c:v>
                </c:pt>
                <c:pt idx="28">
                  <c:v>-5.0414398454989365E-2</c:v>
                </c:pt>
                <c:pt idx="29">
                  <c:v>-5.1200047465807502E-2</c:v>
                </c:pt>
                <c:pt idx="30">
                  <c:v>-5.1985696476625626E-2</c:v>
                </c:pt>
                <c:pt idx="31">
                  <c:v>-5.2887737933490893E-2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DBB-49B4-8A04-FD02662C0087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-4996</c:v>
                </c:pt>
                <c:pt idx="1">
                  <c:v>-2055</c:v>
                </c:pt>
                <c:pt idx="2">
                  <c:v>-2007</c:v>
                </c:pt>
                <c:pt idx="3">
                  <c:v>-1720</c:v>
                </c:pt>
                <c:pt idx="4">
                  <c:v>-1151</c:v>
                </c:pt>
                <c:pt idx="5">
                  <c:v>-1024.5</c:v>
                </c:pt>
                <c:pt idx="6">
                  <c:v>-1022</c:v>
                </c:pt>
                <c:pt idx="7">
                  <c:v>-278</c:v>
                </c:pt>
                <c:pt idx="8">
                  <c:v>0</c:v>
                </c:pt>
                <c:pt idx="9">
                  <c:v>293</c:v>
                </c:pt>
                <c:pt idx="10">
                  <c:v>408</c:v>
                </c:pt>
                <c:pt idx="11">
                  <c:v>524</c:v>
                </c:pt>
                <c:pt idx="12">
                  <c:v>566</c:v>
                </c:pt>
                <c:pt idx="13">
                  <c:v>586.5</c:v>
                </c:pt>
                <c:pt idx="14">
                  <c:v>628</c:v>
                </c:pt>
                <c:pt idx="15">
                  <c:v>628</c:v>
                </c:pt>
                <c:pt idx="16">
                  <c:v>628</c:v>
                </c:pt>
                <c:pt idx="17">
                  <c:v>628</c:v>
                </c:pt>
                <c:pt idx="18">
                  <c:v>628</c:v>
                </c:pt>
                <c:pt idx="19">
                  <c:v>628</c:v>
                </c:pt>
                <c:pt idx="20">
                  <c:v>628</c:v>
                </c:pt>
                <c:pt idx="21">
                  <c:v>639.5</c:v>
                </c:pt>
                <c:pt idx="22">
                  <c:v>695.5</c:v>
                </c:pt>
                <c:pt idx="23">
                  <c:v>746</c:v>
                </c:pt>
                <c:pt idx="24">
                  <c:v>746</c:v>
                </c:pt>
                <c:pt idx="25">
                  <c:v>746.5</c:v>
                </c:pt>
                <c:pt idx="26">
                  <c:v>924</c:v>
                </c:pt>
                <c:pt idx="27">
                  <c:v>978</c:v>
                </c:pt>
                <c:pt idx="28">
                  <c:v>987</c:v>
                </c:pt>
                <c:pt idx="29">
                  <c:v>1041</c:v>
                </c:pt>
                <c:pt idx="30">
                  <c:v>1095</c:v>
                </c:pt>
                <c:pt idx="31">
                  <c:v>1157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  <c:pt idx="30">
                  <c:v>-0.92752749999635853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DBB-49B4-8A04-FD02662C0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1204632"/>
        <c:axId val="1"/>
      </c:scatterChart>
      <c:valAx>
        <c:axId val="261204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94670406732114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088359046283309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1204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egendEntry>
        <c:idx val="8"/>
        <c:txPr>
          <a:bodyPr/>
          <a:lstStyle/>
          <a:p>
            <a:pPr>
              <a:defRPr sz="735" b="0" i="0" u="none" strike="noStrik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3281907433380084"/>
          <c:y val="0.92397937099967764"/>
          <c:w val="0.666199158485273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17</xdr:col>
      <xdr:colOff>666750</xdr:colOff>
      <xdr:row>19</xdr:row>
      <xdr:rowOff>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7497D694-2A19-A36C-CCF9-1C0B0937FB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var.astro.cz/oejv/issues/oejv0160.pdf" TargetMode="External"/><Relationship Id="rId13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www.konkoly.hu/cgi-bin/IBVS?2798" TargetMode="External"/><Relationship Id="rId7" Type="http://schemas.openxmlformats.org/officeDocument/2006/relationships/hyperlink" Target="http://www.bav-astro.de/sfs/BAVM_link.php?BAVMnr=225" TargetMode="External"/><Relationship Id="rId12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konkoly.hu/cgi-bin/IBVS?2798" TargetMode="External"/><Relationship Id="rId1" Type="http://schemas.openxmlformats.org/officeDocument/2006/relationships/hyperlink" Target="http://www.konkoly.hu/cgi-bin/IBVS?249" TargetMode="External"/><Relationship Id="rId6" Type="http://schemas.openxmlformats.org/officeDocument/2006/relationships/hyperlink" Target="http://www.bav-astro.de/sfs/BAVM_link.php?BAVMnr=212" TargetMode="External"/><Relationship Id="rId11" Type="http://schemas.openxmlformats.org/officeDocument/2006/relationships/hyperlink" Target="http://var.astro.cz/oejv/issues/oejv0160.pdf" TargetMode="External"/><Relationship Id="rId5" Type="http://schemas.openxmlformats.org/officeDocument/2006/relationships/hyperlink" Target="http://www.bav-astro.de/sfs/BAVM_link.php?BAVMnr=193" TargetMode="External"/><Relationship Id="rId15" Type="http://schemas.openxmlformats.org/officeDocument/2006/relationships/hyperlink" Target="http://www.bav-astro.de/sfs/BAVM_link.php?BAVMnr=239" TargetMode="External"/><Relationship Id="rId10" Type="http://schemas.openxmlformats.org/officeDocument/2006/relationships/hyperlink" Target="http://var.astro.cz/oejv/issues/oejv0160.pdf" TargetMode="External"/><Relationship Id="rId4" Type="http://schemas.openxmlformats.org/officeDocument/2006/relationships/hyperlink" Target="http://www.konkoly.hu/cgi-bin/IBVS?2798" TargetMode="External"/><Relationship Id="rId9" Type="http://schemas.openxmlformats.org/officeDocument/2006/relationships/hyperlink" Target="http://www.konkoly.hu/cgi-bin/IBVS?6042" TargetMode="External"/><Relationship Id="rId14" Type="http://schemas.openxmlformats.org/officeDocument/2006/relationships/hyperlink" Target="http://www.bav-astro.de/sfs/BAVM_link.php?BAVMnr=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1" topLeftCell="O43" activePane="bottomRight" state="frozen"/>
      <selection pane="topRight" activeCell="O1" sqref="O1"/>
      <selection pane="bottomLeft" activeCell="A22" sqref="A22"/>
      <selection pane="bottomRight" activeCell="E10" sqref="E10"/>
    </sheetView>
  </sheetViews>
  <sheetFormatPr defaultColWidth="10.28515625" defaultRowHeight="12.75" x14ac:dyDescent="0.2"/>
  <cols>
    <col min="1" max="1" width="16.42578125" customWidth="1"/>
    <col min="2" max="2" width="3.8554687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6" ht="20.25" x14ac:dyDescent="0.3">
      <c r="A1" s="1" t="s">
        <v>40</v>
      </c>
      <c r="E1" s="29" t="s">
        <v>39</v>
      </c>
      <c r="F1" t="s">
        <v>47</v>
      </c>
    </row>
    <row r="2" spans="1:6" x14ac:dyDescent="0.2">
      <c r="A2" t="s">
        <v>24</v>
      </c>
      <c r="B2" t="s">
        <v>41</v>
      </c>
      <c r="C2" s="3"/>
      <c r="D2" s="3"/>
      <c r="E2">
        <v>0</v>
      </c>
    </row>
    <row r="3" spans="1:6" ht="13.5" thickBot="1" x14ac:dyDescent="0.25"/>
    <row r="4" spans="1:6" ht="14.25" thickTop="1" thickBot="1" x14ac:dyDescent="0.25">
      <c r="A4" s="5" t="s">
        <v>1</v>
      </c>
      <c r="C4" s="8">
        <v>39749.397299999997</v>
      </c>
      <c r="D4" s="9">
        <v>6.3552562999999997</v>
      </c>
    </row>
    <row r="5" spans="1:6" ht="13.5" thickTop="1" x14ac:dyDescent="0.2">
      <c r="A5" s="11" t="s">
        <v>29</v>
      </c>
      <c r="B5" s="12"/>
      <c r="C5" s="13">
        <v>-9.5</v>
      </c>
      <c r="D5" s="12" t="s">
        <v>30</v>
      </c>
    </row>
    <row r="6" spans="1:6" x14ac:dyDescent="0.2">
      <c r="A6" s="5" t="s">
        <v>2</v>
      </c>
    </row>
    <row r="7" spans="1:6" x14ac:dyDescent="0.2">
      <c r="A7" t="s">
        <v>3</v>
      </c>
      <c r="C7">
        <v>52504.372799999997</v>
      </c>
      <c r="D7" s="30" t="s">
        <v>42</v>
      </c>
    </row>
    <row r="8" spans="1:6" x14ac:dyDescent="0.2">
      <c r="A8" t="s">
        <v>4</v>
      </c>
      <c r="C8">
        <v>6.3552445000000004</v>
      </c>
      <c r="D8" s="30" t="s">
        <v>42</v>
      </c>
    </row>
    <row r="9" spans="1:6" x14ac:dyDescent="0.2">
      <c r="A9" s="26" t="s">
        <v>34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6" ht="13.5" thickBot="1" x14ac:dyDescent="0.25">
      <c r="A10" s="12"/>
      <c r="B10" s="12"/>
      <c r="C10" s="4" t="s">
        <v>20</v>
      </c>
      <c r="D10" s="4" t="s">
        <v>21</v>
      </c>
      <c r="E10" s="12"/>
    </row>
    <row r="11" spans="1:6" x14ac:dyDescent="0.2">
      <c r="A11" s="12" t="s">
        <v>16</v>
      </c>
      <c r="B11" s="12"/>
      <c r="C11" s="23">
        <f ca="1">INTERCEPT(INDIRECT($D$9):G992,INDIRECT($C$9):F992)</f>
        <v>-3.6054480423924638E-2</v>
      </c>
      <c r="D11" s="3"/>
      <c r="E11" s="12"/>
    </row>
    <row r="12" spans="1:6" x14ac:dyDescent="0.2">
      <c r="A12" s="12" t="s">
        <v>17</v>
      </c>
      <c r="B12" s="12"/>
      <c r="C12" s="23">
        <f ca="1">SLOPE(INDIRECT($D$9):G992,INDIRECT($C$9):F992)</f>
        <v>-1.4549055755891317E-5</v>
      </c>
      <c r="D12" s="3"/>
      <c r="E12" s="12"/>
    </row>
    <row r="13" spans="1:6" x14ac:dyDescent="0.2">
      <c r="A13" s="12" t="s">
        <v>19</v>
      </c>
      <c r="B13" s="12"/>
      <c r="C13" s="3" t="s">
        <v>14</v>
      </c>
    </row>
    <row r="14" spans="1:6" x14ac:dyDescent="0.2">
      <c r="A14" s="12"/>
      <c r="B14" s="12"/>
      <c r="C14" s="12"/>
    </row>
    <row r="15" spans="1:6" x14ac:dyDescent="0.2">
      <c r="A15" s="14" t="s">
        <v>18</v>
      </c>
      <c r="B15" s="12"/>
      <c r="C15" s="15">
        <f ca="1">(C7+C11)+(C8+C12)*INT(MAX(F21:F3533))</f>
        <v>59857.33779876207</v>
      </c>
      <c r="E15" s="16" t="s">
        <v>36</v>
      </c>
      <c r="F15" s="13">
        <v>1</v>
      </c>
    </row>
    <row r="16" spans="1:6" x14ac:dyDescent="0.2">
      <c r="A16" s="18" t="s">
        <v>5</v>
      </c>
      <c r="B16" s="12"/>
      <c r="C16" s="19">
        <f ca="1">+C8+C12</f>
        <v>6.3552299509442447</v>
      </c>
      <c r="E16" s="16" t="s">
        <v>31</v>
      </c>
      <c r="F16" s="17">
        <f ca="1">NOW()+15018.5+$C$5/24</f>
        <v>60162.848592939816</v>
      </c>
    </row>
    <row r="17" spans="1:21" ht="13.5" thickBot="1" x14ac:dyDescent="0.25">
      <c r="A17" s="16" t="s">
        <v>28</v>
      </c>
      <c r="B17" s="12"/>
      <c r="C17" s="12">
        <f>COUNT(C21:C2191)</f>
        <v>32</v>
      </c>
      <c r="E17" s="16" t="s">
        <v>37</v>
      </c>
      <c r="F17" s="17">
        <f ca="1">ROUND(2*(F16-$C$7)/$C$8,0)/2+F15</f>
        <v>1206</v>
      </c>
    </row>
    <row r="18" spans="1:21" ht="14.25" thickTop="1" thickBot="1" x14ac:dyDescent="0.25">
      <c r="A18" s="18" t="s">
        <v>6</v>
      </c>
      <c r="B18" s="12"/>
      <c r="C18" s="21">
        <f ca="1">+C15</f>
        <v>59857.33779876207</v>
      </c>
      <c r="D18" s="22">
        <f ca="1">+C16</f>
        <v>6.3552299509442447</v>
      </c>
      <c r="E18" s="16" t="s">
        <v>32</v>
      </c>
      <c r="F18" s="25">
        <f ca="1">ROUND(2*(F16-$C$15)/$C$16,0)/2+F15</f>
        <v>49</v>
      </c>
    </row>
    <row r="19" spans="1:21" ht="13.5" thickTop="1" x14ac:dyDescent="0.2">
      <c r="E19" s="16" t="s">
        <v>33</v>
      </c>
      <c r="F19" s="20">
        <f ca="1">+$C$15+$C$16*F18-15018.5-$C$5/24</f>
        <v>45150.639899691676</v>
      </c>
    </row>
    <row r="20" spans="1:21" ht="13.5" thickBot="1" x14ac:dyDescent="0.25">
      <c r="A20" s="4" t="s">
        <v>7</v>
      </c>
      <c r="B20" s="4" t="s">
        <v>8</v>
      </c>
      <c r="C20" s="4" t="s">
        <v>9</v>
      </c>
      <c r="D20" s="4" t="s">
        <v>13</v>
      </c>
      <c r="E20" s="4" t="s">
        <v>10</v>
      </c>
      <c r="F20" s="4" t="s">
        <v>11</v>
      </c>
      <c r="G20" s="4" t="s">
        <v>12</v>
      </c>
      <c r="H20" s="7" t="s">
        <v>60</v>
      </c>
      <c r="I20" s="7" t="s">
        <v>63</v>
      </c>
      <c r="J20" s="7" t="s">
        <v>57</v>
      </c>
      <c r="K20" s="7" t="s">
        <v>55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  <c r="U20" s="28" t="s">
        <v>35</v>
      </c>
    </row>
    <row r="21" spans="1:21" x14ac:dyDescent="0.2">
      <c r="A21" s="53" t="s">
        <v>69</v>
      </c>
      <c r="B21" s="55" t="s">
        <v>44</v>
      </c>
      <c r="C21" s="54">
        <v>20753.536</v>
      </c>
      <c r="D21" s="10"/>
      <c r="E21">
        <f t="shared" ref="E21:E46" si="0">+(C21-C$7)/C$8</f>
        <v>-4996.0055510059437</v>
      </c>
      <c r="F21">
        <f t="shared" ref="F21:F47" si="1">ROUND(2*E21,0)/2</f>
        <v>-4996</v>
      </c>
      <c r="G21">
        <f t="shared" ref="G21:G46" si="2">+C21-(C$7+F21*C$8)</f>
        <v>-3.5277999995741993E-2</v>
      </c>
      <c r="H21">
        <f>+G21</f>
        <v>-3.5277999995741993E-2</v>
      </c>
      <c r="O21">
        <f t="shared" ref="O21:O46" ca="1" si="3">+C$11+C$12*$F21</f>
        <v>3.6632602132508386E-2</v>
      </c>
      <c r="Q21" s="2">
        <f t="shared" ref="Q21:Q46" si="4">+C21-15018.5</f>
        <v>5735.0360000000001</v>
      </c>
    </row>
    <row r="22" spans="1:21" x14ac:dyDescent="0.2">
      <c r="A22" s="53" t="s">
        <v>74</v>
      </c>
      <c r="B22" s="55" t="s">
        <v>44</v>
      </c>
      <c r="C22" s="54">
        <v>39444.313000000002</v>
      </c>
      <c r="D22" s="10"/>
      <c r="E22">
        <f t="shared" si="0"/>
        <v>-2055.0050906774704</v>
      </c>
      <c r="F22">
        <f t="shared" si="1"/>
        <v>-2055</v>
      </c>
      <c r="G22">
        <f t="shared" si="2"/>
        <v>-3.2352499991247896E-2</v>
      </c>
      <c r="I22">
        <f>+G22</f>
        <v>-3.2352499991247896E-2</v>
      </c>
      <c r="O22">
        <f t="shared" ca="1" si="3"/>
        <v>-6.1561708455679827E-3</v>
      </c>
      <c r="Q22" s="2">
        <f t="shared" si="4"/>
        <v>24425.813000000002</v>
      </c>
    </row>
    <row r="23" spans="1:21" x14ac:dyDescent="0.2">
      <c r="A23" s="30" t="s">
        <v>38</v>
      </c>
      <c r="C23" s="10">
        <v>39749.397299999997</v>
      </c>
      <c r="D23" s="10" t="s">
        <v>14</v>
      </c>
      <c r="E23">
        <f t="shared" si="0"/>
        <v>-2006.9999667203992</v>
      </c>
      <c r="F23">
        <f t="shared" si="1"/>
        <v>-2007</v>
      </c>
      <c r="G23">
        <f t="shared" si="2"/>
        <v>2.1150000247871503E-4</v>
      </c>
      <c r="J23">
        <f>+G23</f>
        <v>2.1150000247871503E-4</v>
      </c>
      <c r="O23">
        <f t="shared" ca="1" si="3"/>
        <v>-6.8545255218507642E-3</v>
      </c>
      <c r="Q23" s="2">
        <f t="shared" si="4"/>
        <v>24730.897299999997</v>
      </c>
    </row>
    <row r="24" spans="1:21" x14ac:dyDescent="0.2">
      <c r="A24" s="53" t="s">
        <v>74</v>
      </c>
      <c r="B24" s="55" t="s">
        <v>44</v>
      </c>
      <c r="C24" s="54">
        <v>41573.332000000002</v>
      </c>
      <c r="D24" s="10"/>
      <c r="E24">
        <f t="shared" si="0"/>
        <v>-1720.0031879182609</v>
      </c>
      <c r="F24">
        <f t="shared" si="1"/>
        <v>-1720</v>
      </c>
      <c r="G24">
        <f t="shared" si="2"/>
        <v>-2.0259999997506384E-2</v>
      </c>
      <c r="I24">
        <f>+G24</f>
        <v>-2.0259999997506384E-2</v>
      </c>
      <c r="O24">
        <f t="shared" ca="1" si="3"/>
        <v>-1.1030104523791572E-2</v>
      </c>
      <c r="Q24" s="2">
        <f t="shared" si="4"/>
        <v>26554.832000000002</v>
      </c>
    </row>
    <row r="25" spans="1:21" x14ac:dyDescent="0.2">
      <c r="A25" s="31" t="s">
        <v>43</v>
      </c>
      <c r="B25" s="32" t="s">
        <v>44</v>
      </c>
      <c r="C25" s="31">
        <v>45189.485999999997</v>
      </c>
      <c r="D25" s="31">
        <v>3.0000000000000001E-3</v>
      </c>
      <c r="E25">
        <f t="shared" si="0"/>
        <v>-1151.0000598718113</v>
      </c>
      <c r="F25">
        <f t="shared" si="1"/>
        <v>-1151</v>
      </c>
      <c r="G25">
        <f t="shared" si="2"/>
        <v>-3.8050000148359686E-4</v>
      </c>
      <c r="I25">
        <f>+G25</f>
        <v>-3.8050000148359686E-4</v>
      </c>
      <c r="O25">
        <f t="shared" ca="1" si="3"/>
        <v>-1.9308517248893733E-2</v>
      </c>
      <c r="Q25" s="2">
        <f t="shared" si="4"/>
        <v>30170.985999999997</v>
      </c>
    </row>
    <row r="26" spans="1:21" x14ac:dyDescent="0.2">
      <c r="A26" s="31" t="s">
        <v>43</v>
      </c>
      <c r="B26" s="32" t="s">
        <v>45</v>
      </c>
      <c r="C26" s="31">
        <v>45993.413</v>
      </c>
      <c r="D26" s="31">
        <v>0.05</v>
      </c>
      <c r="E26">
        <f t="shared" si="0"/>
        <v>-1024.5018582683949</v>
      </c>
      <c r="F26">
        <f t="shared" si="1"/>
        <v>-1024.5</v>
      </c>
      <c r="G26">
        <f t="shared" si="2"/>
        <v>-1.1809749994426966E-2</v>
      </c>
      <c r="I26">
        <f>+G26</f>
        <v>-1.1809749994426966E-2</v>
      </c>
      <c r="O26">
        <f t="shared" ca="1" si="3"/>
        <v>-2.1148972802013985E-2</v>
      </c>
      <c r="Q26" s="2">
        <f t="shared" si="4"/>
        <v>30974.913</v>
      </c>
    </row>
    <row r="27" spans="1:21" x14ac:dyDescent="0.2">
      <c r="A27" s="31" t="s">
        <v>43</v>
      </c>
      <c r="B27" s="32" t="s">
        <v>44</v>
      </c>
      <c r="C27" s="31">
        <v>46009.311999999998</v>
      </c>
      <c r="D27" s="31">
        <v>3.0000000000000001E-3</v>
      </c>
      <c r="E27">
        <f t="shared" si="0"/>
        <v>-1022.0001449196799</v>
      </c>
      <c r="F27">
        <f t="shared" si="1"/>
        <v>-1022</v>
      </c>
      <c r="G27">
        <f t="shared" si="2"/>
        <v>-9.2099999892525375E-4</v>
      </c>
      <c r="I27">
        <f>+G27</f>
        <v>-9.2099999892525375E-4</v>
      </c>
      <c r="O27">
        <f t="shared" ca="1" si="3"/>
        <v>-2.1185345441403713E-2</v>
      </c>
      <c r="Q27" s="2">
        <f t="shared" si="4"/>
        <v>30990.811999999998</v>
      </c>
    </row>
    <row r="28" spans="1:21" x14ac:dyDescent="0.2">
      <c r="A28" s="33" t="s">
        <v>49</v>
      </c>
      <c r="B28" s="34"/>
      <c r="C28" s="35">
        <v>50737.627</v>
      </c>
      <c r="D28" s="35"/>
      <c r="E28">
        <f t="shared" si="0"/>
        <v>-277.99808488878705</v>
      </c>
      <c r="F28">
        <f t="shared" si="1"/>
        <v>-278</v>
      </c>
      <c r="G28">
        <f t="shared" si="2"/>
        <v>1.2171000002126675E-2</v>
      </c>
      <c r="I28">
        <f>+G28</f>
        <v>1.2171000002126675E-2</v>
      </c>
      <c r="O28">
        <f t="shared" ca="1" si="3"/>
        <v>-3.2009842923786849E-2</v>
      </c>
      <c r="Q28" s="2">
        <f t="shared" si="4"/>
        <v>35719.127</v>
      </c>
    </row>
    <row r="29" spans="1:21" x14ac:dyDescent="0.2">
      <c r="A29" s="36" t="s">
        <v>42</v>
      </c>
      <c r="B29" s="36"/>
      <c r="C29" s="35">
        <v>52504.372799999997</v>
      </c>
      <c r="D29" s="36"/>
      <c r="E29">
        <f t="shared" si="0"/>
        <v>0</v>
      </c>
      <c r="F29">
        <f t="shared" si="1"/>
        <v>0</v>
      </c>
      <c r="G29">
        <f t="shared" si="2"/>
        <v>0</v>
      </c>
      <c r="K29">
        <f t="shared" ref="K29:K41" si="5">+G29</f>
        <v>0</v>
      </c>
      <c r="O29">
        <f t="shared" ca="1" si="3"/>
        <v>-3.6054480423924638E-2</v>
      </c>
      <c r="Q29" s="2">
        <f t="shared" si="4"/>
        <v>37485.872799999997</v>
      </c>
    </row>
    <row r="30" spans="1:21" x14ac:dyDescent="0.2">
      <c r="A30" s="36" t="s">
        <v>107</v>
      </c>
      <c r="B30" s="34" t="s">
        <v>44</v>
      </c>
      <c r="C30" s="35">
        <v>54366.454400000002</v>
      </c>
      <c r="D30" s="35"/>
      <c r="E30">
        <f t="shared" si="0"/>
        <v>292.99920719021981</v>
      </c>
      <c r="F30">
        <f t="shared" si="1"/>
        <v>293</v>
      </c>
      <c r="G30">
        <f t="shared" si="2"/>
        <v>-5.0384999922243878E-3</v>
      </c>
      <c r="K30">
        <f t="shared" si="5"/>
        <v>-5.0384999922243878E-3</v>
      </c>
      <c r="O30">
        <f t="shared" ca="1" si="3"/>
        <v>-4.0317353760400798E-2</v>
      </c>
      <c r="Q30" s="2">
        <f t="shared" si="4"/>
        <v>39347.954400000002</v>
      </c>
    </row>
    <row r="31" spans="1:21" x14ac:dyDescent="0.2">
      <c r="A31" s="36" t="s">
        <v>112</v>
      </c>
      <c r="B31" s="34" t="s">
        <v>44</v>
      </c>
      <c r="C31" s="35">
        <v>55097.302799999998</v>
      </c>
      <c r="D31" s="35"/>
      <c r="E31">
        <f t="shared" si="0"/>
        <v>407.99846488990318</v>
      </c>
      <c r="F31">
        <f t="shared" si="1"/>
        <v>408</v>
      </c>
      <c r="G31">
        <f t="shared" si="2"/>
        <v>-9.7559999994700775E-3</v>
      </c>
      <c r="K31">
        <f t="shared" si="5"/>
        <v>-9.7559999994700775E-3</v>
      </c>
      <c r="O31">
        <f t="shared" ca="1" si="3"/>
        <v>-4.1990495172328293E-2</v>
      </c>
      <c r="Q31" s="2">
        <f t="shared" si="4"/>
        <v>40078.802799999998</v>
      </c>
    </row>
    <row r="32" spans="1:21" x14ac:dyDescent="0.2">
      <c r="A32" s="36" t="s">
        <v>118</v>
      </c>
      <c r="B32" s="34" t="s">
        <v>44</v>
      </c>
      <c r="C32" s="35">
        <v>55834.515599999999</v>
      </c>
      <c r="D32" s="35"/>
      <c r="E32">
        <f t="shared" si="0"/>
        <v>523.99916321079399</v>
      </c>
      <c r="F32">
        <f t="shared" si="1"/>
        <v>524</v>
      </c>
      <c r="G32">
        <f t="shared" si="2"/>
        <v>-5.3179999958956614E-3</v>
      </c>
      <c r="K32">
        <f t="shared" si="5"/>
        <v>-5.3179999958956614E-3</v>
      </c>
      <c r="O32">
        <f t="shared" ca="1" si="3"/>
        <v>-4.3678185640011691E-2</v>
      </c>
      <c r="Q32" s="2">
        <f t="shared" si="4"/>
        <v>40816.015599999999</v>
      </c>
    </row>
    <row r="33" spans="1:17" x14ac:dyDescent="0.2">
      <c r="A33" s="33" t="s">
        <v>48</v>
      </c>
      <c r="B33" s="34" t="s">
        <v>44</v>
      </c>
      <c r="C33" s="35">
        <v>56101.43434</v>
      </c>
      <c r="D33" s="35">
        <v>4.0000000000000002E-4</v>
      </c>
      <c r="E33">
        <f t="shared" si="0"/>
        <v>565.99892262209619</v>
      </c>
      <c r="F33">
        <f t="shared" si="1"/>
        <v>566</v>
      </c>
      <c r="G33">
        <f t="shared" si="2"/>
        <v>-6.8469999969238415E-3</v>
      </c>
      <c r="K33">
        <f t="shared" si="5"/>
        <v>-6.8469999969238415E-3</v>
      </c>
      <c r="O33">
        <f t="shared" ca="1" si="3"/>
        <v>-4.4289245981759123E-2</v>
      </c>
      <c r="Q33" s="2">
        <f t="shared" si="4"/>
        <v>41082.93434</v>
      </c>
    </row>
    <row r="34" spans="1:17" x14ac:dyDescent="0.2">
      <c r="A34" s="33" t="s">
        <v>46</v>
      </c>
      <c r="B34" s="34" t="s">
        <v>45</v>
      </c>
      <c r="C34" s="35">
        <v>56231.711000000003</v>
      </c>
      <c r="D34" s="35">
        <v>1E-4</v>
      </c>
      <c r="E34">
        <f t="shared" si="0"/>
        <v>586.49800176846156</v>
      </c>
      <c r="F34">
        <f t="shared" si="1"/>
        <v>586.5</v>
      </c>
      <c r="G34">
        <f t="shared" si="2"/>
        <v>-1.269924999360228E-2</v>
      </c>
      <c r="K34">
        <f t="shared" si="5"/>
        <v>-1.269924999360228E-2</v>
      </c>
      <c r="O34">
        <f t="shared" ca="1" si="3"/>
        <v>-4.4587501624754895E-2</v>
      </c>
      <c r="Q34" s="2">
        <f t="shared" si="4"/>
        <v>41213.211000000003</v>
      </c>
    </row>
    <row r="35" spans="1:17" x14ac:dyDescent="0.2">
      <c r="A35" s="33" t="s">
        <v>48</v>
      </c>
      <c r="B35" s="34" t="s">
        <v>44</v>
      </c>
      <c r="C35" s="35">
        <v>56495.458030000002</v>
      </c>
      <c r="D35" s="35">
        <v>3.5000000000000001E-3</v>
      </c>
      <c r="E35">
        <f t="shared" si="0"/>
        <v>627.99869147441996</v>
      </c>
      <c r="F35">
        <f t="shared" si="1"/>
        <v>628</v>
      </c>
      <c r="G35">
        <f t="shared" si="2"/>
        <v>-8.3159999994677491E-3</v>
      </c>
      <c r="K35">
        <f t="shared" si="5"/>
        <v>-8.3159999994677491E-3</v>
      </c>
      <c r="O35">
        <f t="shared" ca="1" si="3"/>
        <v>-4.5191287438624383E-2</v>
      </c>
      <c r="Q35" s="2">
        <f t="shared" si="4"/>
        <v>41476.958030000002</v>
      </c>
    </row>
    <row r="36" spans="1:17" x14ac:dyDescent="0.2">
      <c r="A36" s="35" t="s">
        <v>52</v>
      </c>
      <c r="B36" s="34"/>
      <c r="C36" s="35">
        <v>56495.459490000001</v>
      </c>
      <c r="D36" s="35">
        <v>1.24E-3</v>
      </c>
      <c r="E36">
        <f t="shared" si="0"/>
        <v>627.99892120594313</v>
      </c>
      <c r="F36">
        <f t="shared" si="1"/>
        <v>628</v>
      </c>
      <c r="G36">
        <f t="shared" si="2"/>
        <v>-6.8559999999706633E-3</v>
      </c>
      <c r="K36">
        <f t="shared" si="5"/>
        <v>-6.8559999999706633E-3</v>
      </c>
      <c r="O36">
        <f t="shared" ca="1" si="3"/>
        <v>-4.5191287438624383E-2</v>
      </c>
      <c r="Q36" s="2">
        <f t="shared" si="4"/>
        <v>41476.959490000001</v>
      </c>
    </row>
    <row r="37" spans="1:17" x14ac:dyDescent="0.2">
      <c r="A37" s="35" t="s">
        <v>52</v>
      </c>
      <c r="B37" s="34"/>
      <c r="C37" s="35">
        <v>56495.460550000003</v>
      </c>
      <c r="D37" s="35">
        <v>1.9300000000000001E-3</v>
      </c>
      <c r="E37">
        <f t="shared" si="0"/>
        <v>627.99908799732339</v>
      </c>
      <c r="F37">
        <f t="shared" si="1"/>
        <v>628</v>
      </c>
      <c r="G37">
        <f t="shared" si="2"/>
        <v>-5.7959999976446852E-3</v>
      </c>
      <c r="K37">
        <f t="shared" si="5"/>
        <v>-5.7959999976446852E-3</v>
      </c>
      <c r="O37">
        <f t="shared" ca="1" si="3"/>
        <v>-4.5191287438624383E-2</v>
      </c>
      <c r="Q37" s="2">
        <f t="shared" si="4"/>
        <v>41476.960550000003</v>
      </c>
    </row>
    <row r="38" spans="1:17" x14ac:dyDescent="0.2">
      <c r="A38" s="33" t="s">
        <v>48</v>
      </c>
      <c r="B38" s="34" t="s">
        <v>44</v>
      </c>
      <c r="C38" s="35">
        <v>56495.461490000002</v>
      </c>
      <c r="D38" s="35">
        <v>1.1999999999999999E-3</v>
      </c>
      <c r="E38">
        <f t="shared" si="0"/>
        <v>627.99923590666003</v>
      </c>
      <c r="F38">
        <f t="shared" si="1"/>
        <v>628</v>
      </c>
      <c r="G38">
        <f t="shared" si="2"/>
        <v>-4.8559999995632097E-3</v>
      </c>
      <c r="K38">
        <f t="shared" si="5"/>
        <v>-4.8559999995632097E-3</v>
      </c>
      <c r="O38">
        <f t="shared" ca="1" si="3"/>
        <v>-4.5191287438624383E-2</v>
      </c>
      <c r="Q38" s="2">
        <f t="shared" si="4"/>
        <v>41476.961490000002</v>
      </c>
    </row>
    <row r="39" spans="1:17" x14ac:dyDescent="0.2">
      <c r="A39" s="33" t="s">
        <v>48</v>
      </c>
      <c r="B39" s="34" t="s">
        <v>44</v>
      </c>
      <c r="C39" s="35">
        <v>56495.462549999997</v>
      </c>
      <c r="D39" s="35">
        <v>1.9E-3</v>
      </c>
      <c r="E39">
        <f t="shared" si="0"/>
        <v>627.99940269803926</v>
      </c>
      <c r="F39">
        <f t="shared" si="1"/>
        <v>628</v>
      </c>
      <c r="G39">
        <f t="shared" si="2"/>
        <v>-3.7960000045131892E-3</v>
      </c>
      <c r="K39">
        <f t="shared" si="5"/>
        <v>-3.7960000045131892E-3</v>
      </c>
      <c r="O39">
        <f t="shared" ca="1" si="3"/>
        <v>-4.5191287438624383E-2</v>
      </c>
      <c r="Q39" s="2">
        <f t="shared" si="4"/>
        <v>41476.962549999997</v>
      </c>
    </row>
    <row r="40" spans="1:17" x14ac:dyDescent="0.2">
      <c r="A40" s="35" t="s">
        <v>52</v>
      </c>
      <c r="B40" s="34"/>
      <c r="C40" s="35">
        <v>56495.463150000003</v>
      </c>
      <c r="D40" s="35">
        <v>9.8999999999999999E-4</v>
      </c>
      <c r="E40">
        <f t="shared" si="0"/>
        <v>627.99949710825535</v>
      </c>
      <c r="F40">
        <f t="shared" si="1"/>
        <v>628</v>
      </c>
      <c r="G40">
        <f t="shared" si="2"/>
        <v>-3.1959999978425913E-3</v>
      </c>
      <c r="K40">
        <f t="shared" si="5"/>
        <v>-3.1959999978425913E-3</v>
      </c>
      <c r="O40">
        <f t="shared" ca="1" si="3"/>
        <v>-4.5191287438624383E-2</v>
      </c>
      <c r="Q40" s="2">
        <f t="shared" si="4"/>
        <v>41476.963150000003</v>
      </c>
    </row>
    <row r="41" spans="1:17" x14ac:dyDescent="0.2">
      <c r="A41" s="33" t="s">
        <v>48</v>
      </c>
      <c r="B41" s="34" t="s">
        <v>44</v>
      </c>
      <c r="C41" s="35">
        <v>56495.465150000004</v>
      </c>
      <c r="D41" s="35">
        <v>1E-3</v>
      </c>
      <c r="E41">
        <f t="shared" si="0"/>
        <v>627.99981180897225</v>
      </c>
      <c r="F41">
        <f t="shared" si="1"/>
        <v>628</v>
      </c>
      <c r="G41">
        <f t="shared" si="2"/>
        <v>-1.1959999974351376E-3</v>
      </c>
      <c r="K41">
        <f t="shared" si="5"/>
        <v>-1.1959999974351376E-3</v>
      </c>
      <c r="O41">
        <f t="shared" ca="1" si="3"/>
        <v>-4.5191287438624383E-2</v>
      </c>
      <c r="Q41" s="2">
        <f t="shared" si="4"/>
        <v>41476.965150000004</v>
      </c>
    </row>
    <row r="42" spans="1:17" x14ac:dyDescent="0.2">
      <c r="A42" s="37" t="s">
        <v>50</v>
      </c>
      <c r="B42" s="38" t="s">
        <v>44</v>
      </c>
      <c r="C42" s="35">
        <v>56568.529699999999</v>
      </c>
      <c r="D42" s="39">
        <v>8.3000000000000001E-3</v>
      </c>
      <c r="E42">
        <f t="shared" si="0"/>
        <v>639.49654494016738</v>
      </c>
      <c r="F42">
        <f t="shared" si="1"/>
        <v>639.5</v>
      </c>
      <c r="G42">
        <f t="shared" si="2"/>
        <v>-2.1957749995635822E-2</v>
      </c>
      <c r="J42">
        <f>+G42</f>
        <v>-2.1957749995635822E-2</v>
      </c>
      <c r="O42">
        <f t="shared" ca="1" si="3"/>
        <v>-4.5358601579817137E-2</v>
      </c>
      <c r="Q42" s="2">
        <f t="shared" si="4"/>
        <v>41550.029699999999</v>
      </c>
    </row>
    <row r="43" spans="1:17" x14ac:dyDescent="0.2">
      <c r="A43" s="39" t="s">
        <v>51</v>
      </c>
      <c r="B43" s="34"/>
      <c r="C43" s="39">
        <v>56924.426899999999</v>
      </c>
      <c r="D43" s="39">
        <v>8.2000000000000007E-3</v>
      </c>
      <c r="E43">
        <f t="shared" si="0"/>
        <v>695.4970969252247</v>
      </c>
      <c r="F43">
        <f t="shared" si="1"/>
        <v>695.5</v>
      </c>
      <c r="G43">
        <f t="shared" si="2"/>
        <v>-1.844975000130944E-2</v>
      </c>
      <c r="J43">
        <f>+G43</f>
        <v>-1.844975000130944E-2</v>
      </c>
      <c r="O43">
        <f t="shared" ca="1" si="3"/>
        <v>-4.6173348702147052E-2</v>
      </c>
      <c r="Q43" s="2">
        <f t="shared" si="4"/>
        <v>41905.926899999999</v>
      </c>
    </row>
    <row r="44" spans="1:17" x14ac:dyDescent="0.2">
      <c r="A44" s="58" t="s">
        <v>156</v>
      </c>
      <c r="B44" s="59" t="s">
        <v>44</v>
      </c>
      <c r="C44" s="60">
        <v>57245.377809999998</v>
      </c>
      <c r="D44" s="60">
        <v>1.1000000000000001E-3</v>
      </c>
      <c r="E44">
        <f t="shared" si="0"/>
        <v>745.99883765290235</v>
      </c>
      <c r="F44">
        <f t="shared" si="1"/>
        <v>746</v>
      </c>
      <c r="G44">
        <f t="shared" si="2"/>
        <v>-7.3869999978342094E-3</v>
      </c>
      <c r="K44">
        <f t="shared" ref="K44:K50" si="6">+G44</f>
        <v>-7.3869999978342094E-3</v>
      </c>
      <c r="O44">
        <f t="shared" ca="1" si="3"/>
        <v>-4.6908076017819558E-2</v>
      </c>
      <c r="Q44" s="2">
        <f t="shared" si="4"/>
        <v>42226.877809999998</v>
      </c>
    </row>
    <row r="45" spans="1:17" x14ac:dyDescent="0.2">
      <c r="A45" s="58" t="s">
        <v>156</v>
      </c>
      <c r="B45" s="59" t="s">
        <v>44</v>
      </c>
      <c r="C45" s="60">
        <v>57245.380579999997</v>
      </c>
      <c r="D45" s="60">
        <v>5.0000000000000001E-4</v>
      </c>
      <c r="E45">
        <f t="shared" si="0"/>
        <v>745.99927351339511</v>
      </c>
      <c r="F45">
        <f t="shared" si="1"/>
        <v>746</v>
      </c>
      <c r="G45">
        <f t="shared" si="2"/>
        <v>-4.6169999986886978E-3</v>
      </c>
      <c r="K45">
        <f t="shared" si="6"/>
        <v>-4.6169999986886978E-3</v>
      </c>
      <c r="O45">
        <f t="shared" ca="1" si="3"/>
        <v>-4.6908076017819558E-2</v>
      </c>
      <c r="Q45" s="2">
        <f t="shared" si="4"/>
        <v>42226.880579999997</v>
      </c>
    </row>
    <row r="46" spans="1:17" s="69" customFormat="1" ht="12" customHeight="1" x14ac:dyDescent="0.2">
      <c r="A46" s="58" t="s">
        <v>156</v>
      </c>
      <c r="B46" s="59" t="s">
        <v>45</v>
      </c>
      <c r="C46" s="60">
        <v>57248.549769999998</v>
      </c>
      <c r="D46" s="60">
        <v>1E-3</v>
      </c>
      <c r="E46" s="69">
        <f t="shared" si="0"/>
        <v>746.49794669583525</v>
      </c>
      <c r="F46" s="69">
        <f t="shared" si="1"/>
        <v>746.5</v>
      </c>
      <c r="G46" s="69">
        <f t="shared" si="2"/>
        <v>-1.304925000295043E-2</v>
      </c>
      <c r="K46" s="69">
        <f t="shared" si="6"/>
        <v>-1.304925000295043E-2</v>
      </c>
      <c r="O46" s="69">
        <f t="shared" ca="1" si="3"/>
        <v>-4.691535054569751E-2</v>
      </c>
      <c r="Q46" s="70">
        <f t="shared" si="4"/>
        <v>42230.049769999998</v>
      </c>
    </row>
    <row r="47" spans="1:17" s="69" customFormat="1" ht="12" customHeight="1" x14ac:dyDescent="0.2">
      <c r="A47" s="57" t="s">
        <v>0</v>
      </c>
      <c r="B47" s="56" t="s">
        <v>44</v>
      </c>
      <c r="C47" s="57">
        <v>58376.612200000003</v>
      </c>
      <c r="D47" s="57">
        <v>2.0000000000000001E-4</v>
      </c>
      <c r="E47" s="69">
        <f t="shared" ref="E47:E52" si="7">+(C47-C$7)/C$8</f>
        <v>923.99897439036465</v>
      </c>
      <c r="F47" s="69">
        <f t="shared" si="1"/>
        <v>924</v>
      </c>
      <c r="G47" s="69">
        <f t="shared" ref="G47:G52" si="8">+C47-(C$7+F47*C$8)</f>
        <v>-6.5179999946849421E-3</v>
      </c>
      <c r="K47" s="69">
        <f t="shared" si="6"/>
        <v>-6.5179999946849421E-3</v>
      </c>
      <c r="O47" s="69">
        <f t="shared" ref="O47:O52" ca="1" si="9">+C$11+C$12*$F47</f>
        <v>-4.9497807942368216E-2</v>
      </c>
      <c r="Q47" s="70">
        <f t="shared" ref="Q47:Q52" si="10">+C47-15018.5</f>
        <v>43358.112200000003</v>
      </c>
    </row>
    <row r="48" spans="1:17" s="69" customFormat="1" ht="12" customHeight="1" x14ac:dyDescent="0.2">
      <c r="A48" s="61" t="s">
        <v>157</v>
      </c>
      <c r="B48" s="62" t="s">
        <v>44</v>
      </c>
      <c r="C48" s="63">
        <v>58719.794199999997</v>
      </c>
      <c r="D48" s="63">
        <v>2.0000000000000001E-4</v>
      </c>
      <c r="E48" s="69">
        <f t="shared" si="7"/>
        <v>977.99878509788232</v>
      </c>
      <c r="F48" s="69">
        <f>ROUND(2*E48,0)/2</f>
        <v>978</v>
      </c>
      <c r="G48" s="69">
        <f t="shared" si="8"/>
        <v>-7.7210000017657876E-3</v>
      </c>
      <c r="K48" s="69">
        <f t="shared" si="6"/>
        <v>-7.7210000017657876E-3</v>
      </c>
      <c r="O48" s="69">
        <f t="shared" ca="1" si="9"/>
        <v>-5.0283456953186347E-2</v>
      </c>
      <c r="Q48" s="70">
        <f t="shared" si="10"/>
        <v>43701.294199999997</v>
      </c>
    </row>
    <row r="49" spans="1:21" s="69" customFormat="1" ht="12" customHeight="1" x14ac:dyDescent="0.2">
      <c r="A49" s="61" t="s">
        <v>158</v>
      </c>
      <c r="B49" s="62" t="s">
        <v>44</v>
      </c>
      <c r="C49" s="63">
        <v>58776.993199999997</v>
      </c>
      <c r="D49" s="63">
        <v>2.1000000000000001E-4</v>
      </c>
      <c r="E49" s="69">
        <f t="shared" si="7"/>
        <v>986.99906824985248</v>
      </c>
      <c r="F49" s="69">
        <f>ROUND(2*E49,0)/2</f>
        <v>987</v>
      </c>
      <c r="G49" s="69">
        <f t="shared" si="8"/>
        <v>-5.9215000001131557E-3</v>
      </c>
      <c r="K49" s="69">
        <f t="shared" si="6"/>
        <v>-5.9215000001131557E-3</v>
      </c>
      <c r="O49" s="69">
        <f t="shared" ca="1" si="9"/>
        <v>-5.0414398454989365E-2</v>
      </c>
      <c r="Q49" s="70">
        <f t="shared" si="10"/>
        <v>43758.493199999997</v>
      </c>
    </row>
    <row r="50" spans="1:21" s="69" customFormat="1" ht="12" customHeight="1" x14ac:dyDescent="0.2">
      <c r="A50" s="61" t="s">
        <v>159</v>
      </c>
      <c r="B50" s="62" t="s">
        <v>44</v>
      </c>
      <c r="C50" s="63">
        <v>59120.178999999996</v>
      </c>
      <c r="D50" s="63" t="s">
        <v>62</v>
      </c>
      <c r="E50" s="69">
        <f t="shared" si="7"/>
        <v>1040.9994768887332</v>
      </c>
      <c r="F50" s="69">
        <f>ROUND(2*E50,0)/2</f>
        <v>1041</v>
      </c>
      <c r="G50" s="69">
        <f t="shared" si="8"/>
        <v>-3.324500001326669E-3</v>
      </c>
      <c r="K50" s="69">
        <f t="shared" si="6"/>
        <v>-3.324500001326669E-3</v>
      </c>
      <c r="O50" s="69">
        <f t="shared" ca="1" si="9"/>
        <v>-5.1200047465807502E-2</v>
      </c>
      <c r="Q50" s="70">
        <f t="shared" si="10"/>
        <v>44101.678999999996</v>
      </c>
    </row>
    <row r="51" spans="1:21" s="69" customFormat="1" ht="12" customHeight="1" x14ac:dyDescent="0.2">
      <c r="A51" s="64" t="s">
        <v>160</v>
      </c>
      <c r="B51" s="65" t="s">
        <v>44</v>
      </c>
      <c r="C51" s="66">
        <v>59462.438000000002</v>
      </c>
      <c r="D51" s="64">
        <v>1.6999999999999999E-3</v>
      </c>
      <c r="E51" s="69">
        <f t="shared" si="7"/>
        <v>1094.8540532154198</v>
      </c>
      <c r="F51" s="69">
        <f>ROUND(2*E51,0)/2</f>
        <v>1095</v>
      </c>
      <c r="G51" s="69">
        <f t="shared" si="8"/>
        <v>-0.92752749999635853</v>
      </c>
      <c r="O51" s="69">
        <f t="shared" ca="1" si="9"/>
        <v>-5.1985696476625626E-2</v>
      </c>
      <c r="Q51" s="70">
        <f t="shared" si="10"/>
        <v>44443.938000000002</v>
      </c>
      <c r="U51" s="69">
        <f>+G51</f>
        <v>-0.92752749999635853</v>
      </c>
    </row>
    <row r="52" spans="1:21" s="69" customFormat="1" ht="12" customHeight="1" x14ac:dyDescent="0.2">
      <c r="A52" s="67" t="s">
        <v>161</v>
      </c>
      <c r="B52" s="68" t="s">
        <v>44</v>
      </c>
      <c r="C52" s="66">
        <v>59857.382599999997</v>
      </c>
      <c r="D52" s="64">
        <v>2.0000000000000001E-4</v>
      </c>
      <c r="E52" s="69">
        <f t="shared" si="7"/>
        <v>1156.9987275863264</v>
      </c>
      <c r="F52" s="69">
        <f>ROUND(2*E52,0)/2</f>
        <v>1157</v>
      </c>
      <c r="G52" s="69">
        <f t="shared" si="8"/>
        <v>-8.0864999981713481E-3</v>
      </c>
      <c r="K52" s="69">
        <f t="shared" ref="K52" si="11">+G52</f>
        <v>-8.0864999981713481E-3</v>
      </c>
      <c r="O52" s="69">
        <f t="shared" ca="1" si="9"/>
        <v>-5.2887737933490893E-2</v>
      </c>
      <c r="Q52" s="70">
        <f t="shared" si="10"/>
        <v>44838.882599999997</v>
      </c>
    </row>
    <row r="53" spans="1:21" s="69" customFormat="1" ht="12" customHeight="1" x14ac:dyDescent="0.2">
      <c r="C53" s="71"/>
      <c r="D53" s="71"/>
    </row>
    <row r="54" spans="1:21" s="69" customFormat="1" ht="12" customHeight="1" x14ac:dyDescent="0.2">
      <c r="C54" s="71"/>
      <c r="D54" s="71"/>
    </row>
    <row r="55" spans="1:21" s="69" customFormat="1" ht="12" customHeight="1" x14ac:dyDescent="0.2">
      <c r="C55" s="71"/>
      <c r="D55" s="71"/>
    </row>
    <row r="56" spans="1:21" s="69" customFormat="1" ht="12" customHeight="1" x14ac:dyDescent="0.2">
      <c r="C56" s="71"/>
      <c r="D56" s="71"/>
    </row>
    <row r="57" spans="1:21" s="69" customFormat="1" ht="12" customHeight="1" x14ac:dyDescent="0.2">
      <c r="C57" s="71"/>
      <c r="D57" s="71"/>
    </row>
    <row r="58" spans="1:21" s="69" customFormat="1" ht="12" customHeight="1" x14ac:dyDescent="0.2">
      <c r="C58" s="71"/>
      <c r="D58" s="71"/>
    </row>
    <row r="59" spans="1:21" s="69" customFormat="1" ht="12" customHeight="1" x14ac:dyDescent="0.2">
      <c r="C59" s="71"/>
      <c r="D59" s="71"/>
    </row>
    <row r="60" spans="1:21" x14ac:dyDescent="0.2">
      <c r="C60" s="10"/>
      <c r="D60" s="10"/>
    </row>
    <row r="61" spans="1:21" x14ac:dyDescent="0.2">
      <c r="C61" s="10"/>
      <c r="D61" s="10"/>
    </row>
    <row r="62" spans="1:21" x14ac:dyDescent="0.2">
      <c r="C62" s="10"/>
      <c r="D62" s="10"/>
    </row>
    <row r="63" spans="1:21" x14ac:dyDescent="0.2">
      <c r="C63" s="10"/>
      <c r="D63" s="10"/>
    </row>
    <row r="64" spans="1:21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protectedRanges>
    <protectedRange sqref="A48:D50" name="Range1"/>
  </protectedRanges>
  <phoneticPr fontId="8" type="noConversion"/>
  <hyperlinks>
    <hyperlink ref="H64036" r:id="rId1" display="http://vsolj.cetus-net.org/bulletin.html" xr:uid="{00000000-0004-0000-0000-000000000000}"/>
    <hyperlink ref="H64029" r:id="rId2" display="https://www.aavso.org/ejaavso" xr:uid="{00000000-0004-0000-0000-000001000000}"/>
    <hyperlink ref="I64036" r:id="rId3" display="http://vsolj.cetus-net.org/bulletin.html" xr:uid="{00000000-0004-0000-0000-000002000000}"/>
    <hyperlink ref="AQ57687" r:id="rId4" display="http://cdsbib.u-strasbg.fr/cgi-bin/cdsbib?1990RMxAA..21..381G" xr:uid="{00000000-0004-0000-0000-000003000000}"/>
    <hyperlink ref="H64033" r:id="rId5" display="https://www.aavso.org/ejaavso" xr:uid="{00000000-0004-0000-0000-000004000000}"/>
    <hyperlink ref="AP5051" r:id="rId6" display="http://cdsbib.u-strasbg.fr/cgi-bin/cdsbib?1990RMxAA..21..381G" xr:uid="{00000000-0004-0000-0000-000005000000}"/>
    <hyperlink ref="AP5054" r:id="rId7" display="http://cdsbib.u-strasbg.fr/cgi-bin/cdsbib?1990RMxAA..21..381G" xr:uid="{00000000-0004-0000-0000-000006000000}"/>
    <hyperlink ref="AP5052" r:id="rId8" display="http://cdsbib.u-strasbg.fr/cgi-bin/cdsbib?1990RMxAA..21..381G" xr:uid="{00000000-0004-0000-0000-000007000000}"/>
    <hyperlink ref="AP5036" r:id="rId9" display="http://cdsbib.u-strasbg.fr/cgi-bin/cdsbib?1990RMxAA..21..381G" xr:uid="{00000000-0004-0000-0000-000008000000}"/>
    <hyperlink ref="AQ5265" r:id="rId10" display="http://cdsbib.u-strasbg.fr/cgi-bin/cdsbib?1990RMxAA..21..381G" xr:uid="{00000000-0004-0000-0000-000009000000}"/>
    <hyperlink ref="AQ5269" r:id="rId11" display="http://cdsbib.u-strasbg.fr/cgi-bin/cdsbib?1990RMxAA..21..381G" xr:uid="{00000000-0004-0000-0000-00000A000000}"/>
    <hyperlink ref="AQ64949" r:id="rId12" display="http://cdsbib.u-strasbg.fr/cgi-bin/cdsbib?1990RMxAA..21..381G" xr:uid="{00000000-0004-0000-0000-00000B000000}"/>
    <hyperlink ref="I2157" r:id="rId13" display="http://vsolj.cetus-net.org/bulletin.html" xr:uid="{00000000-0004-0000-0000-00000C000000}"/>
    <hyperlink ref="H2157" r:id="rId14" display="http://vsolj.cetus-net.org/bulletin.html" xr:uid="{00000000-0004-0000-0000-00000D000000}"/>
    <hyperlink ref="AQ74" r:id="rId15" display="http://cdsbib.u-strasbg.fr/cgi-bin/cdsbib?1990RMxAA..21..381G" xr:uid="{00000000-0004-0000-0000-00000E000000}"/>
    <hyperlink ref="AQ73" r:id="rId16" display="http://cdsbib.u-strasbg.fr/cgi-bin/cdsbib?1990RMxAA..21..381G" xr:uid="{00000000-0004-0000-0000-00000F000000}"/>
    <hyperlink ref="AP3327" r:id="rId17" display="http://cdsbib.u-strasbg.fr/cgi-bin/cdsbib?1990RMxAA..21..381G" xr:uid="{00000000-0004-0000-0000-000010000000}"/>
    <hyperlink ref="AP3345" r:id="rId18" display="http://cdsbib.u-strasbg.fr/cgi-bin/cdsbib?1990RMxAA..21..381G" xr:uid="{00000000-0004-0000-0000-000011000000}"/>
    <hyperlink ref="AP3346" r:id="rId19" display="http://cdsbib.u-strasbg.fr/cgi-bin/cdsbib?1990RMxAA..21..381G" xr:uid="{00000000-0004-0000-0000-000012000000}"/>
    <hyperlink ref="AP3342" r:id="rId20" display="http://cdsbib.u-strasbg.fr/cgi-bin/cdsbib?1990RMxAA..21..381G" xr:uid="{00000000-0004-0000-0000-000013000000}"/>
  </hyperlinks>
  <pageMargins left="0.75" right="0.75" top="1" bottom="1" header="0.5" footer="0.5"/>
  <headerFooter alignWithMargins="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23"/>
  <sheetViews>
    <sheetView topLeftCell="A4" workbookViewId="0">
      <selection activeCell="A24" sqref="A24:C29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40" t="s">
        <v>53</v>
      </c>
      <c r="I1" s="41" t="s">
        <v>54</v>
      </c>
      <c r="J1" s="42" t="s">
        <v>55</v>
      </c>
    </row>
    <row r="2" spans="1:16" x14ac:dyDescent="0.2">
      <c r="I2" s="43" t="s">
        <v>56</v>
      </c>
      <c r="J2" s="44" t="s">
        <v>57</v>
      </c>
    </row>
    <row r="3" spans="1:16" x14ac:dyDescent="0.2">
      <c r="A3" s="45" t="s">
        <v>58</v>
      </c>
      <c r="I3" s="43" t="s">
        <v>59</v>
      </c>
      <c r="J3" s="44" t="s">
        <v>60</v>
      </c>
    </row>
    <row r="4" spans="1:16" x14ac:dyDescent="0.2">
      <c r="I4" s="43" t="s">
        <v>61</v>
      </c>
      <c r="J4" s="44" t="s">
        <v>60</v>
      </c>
    </row>
    <row r="5" spans="1:16" ht="13.5" thickBot="1" x14ac:dyDescent="0.25">
      <c r="I5" s="46" t="s">
        <v>62</v>
      </c>
      <c r="J5" s="47" t="s">
        <v>63</v>
      </c>
    </row>
    <row r="10" spans="1:16" ht="13.5" thickBot="1" x14ac:dyDescent="0.25"/>
    <row r="11" spans="1:16" ht="12.75" customHeight="1" thickBot="1" x14ac:dyDescent="0.25">
      <c r="A11" s="10" t="str">
        <f t="shared" ref="A11:A29" si="0">P11</f>
        <v>IBVS 249 </v>
      </c>
      <c r="B11" s="3" t="str">
        <f t="shared" ref="B11:B29" si="1">IF(H11=INT(H11),"I","II")</f>
        <v>I</v>
      </c>
      <c r="C11" s="10">
        <f t="shared" ref="C11:C29" si="2">1*G11</f>
        <v>39749.397299999997</v>
      </c>
      <c r="D11" s="12" t="str">
        <f t="shared" ref="D11:D29" si="3">VLOOKUP(F11,I$1:J$5,2,FALSE)</f>
        <v>vis</v>
      </c>
      <c r="E11" s="48">
        <f>VLOOKUP(C11,Active!C$21:E$973,3,FALSE)</f>
        <v>-2006.9999667203992</v>
      </c>
      <c r="F11" s="3" t="s">
        <v>62</v>
      </c>
      <c r="G11" s="12" t="str">
        <f t="shared" ref="G11:G29" si="4">MID(I11,3,LEN(I11)-3)</f>
        <v>39749.3973</v>
      </c>
      <c r="H11" s="10">
        <f t="shared" ref="H11:H29" si="5">1*K11</f>
        <v>0</v>
      </c>
      <c r="I11" s="49" t="s">
        <v>75</v>
      </c>
      <c r="J11" s="50" t="s">
        <v>76</v>
      </c>
      <c r="K11" s="49">
        <v>0</v>
      </c>
      <c r="L11" s="49" t="s">
        <v>77</v>
      </c>
      <c r="M11" s="50" t="s">
        <v>78</v>
      </c>
      <c r="N11" s="50" t="s">
        <v>79</v>
      </c>
      <c r="O11" s="51" t="s">
        <v>80</v>
      </c>
      <c r="P11" s="52" t="s">
        <v>81</v>
      </c>
    </row>
    <row r="12" spans="1:16" ht="12.75" customHeight="1" thickBot="1" x14ac:dyDescent="0.25">
      <c r="A12" s="10" t="str">
        <f t="shared" si="0"/>
        <v>IBVS 2798 </v>
      </c>
      <c r="B12" s="3" t="str">
        <f t="shared" si="1"/>
        <v>I</v>
      </c>
      <c r="C12" s="10">
        <f t="shared" si="2"/>
        <v>45189.485999999997</v>
      </c>
      <c r="D12" s="12" t="str">
        <f t="shared" si="3"/>
        <v>vis</v>
      </c>
      <c r="E12" s="48">
        <f>VLOOKUP(C12,Active!C$21:E$973,3,FALSE)</f>
        <v>-1151.0000598718113</v>
      </c>
      <c r="F12" s="3" t="s">
        <v>62</v>
      </c>
      <c r="G12" s="12" t="str">
        <f t="shared" si="4"/>
        <v>45189.486</v>
      </c>
      <c r="H12" s="10">
        <f t="shared" si="5"/>
        <v>856</v>
      </c>
      <c r="I12" s="49" t="s">
        <v>85</v>
      </c>
      <c r="J12" s="50" t="s">
        <v>86</v>
      </c>
      <c r="K12" s="49">
        <v>856</v>
      </c>
      <c r="L12" s="49" t="s">
        <v>87</v>
      </c>
      <c r="M12" s="50" t="s">
        <v>78</v>
      </c>
      <c r="N12" s="50" t="s">
        <v>79</v>
      </c>
      <c r="O12" s="51" t="s">
        <v>88</v>
      </c>
      <c r="P12" s="52" t="s">
        <v>89</v>
      </c>
    </row>
    <row r="13" spans="1:16" ht="12.75" customHeight="1" thickBot="1" x14ac:dyDescent="0.25">
      <c r="A13" s="10" t="str">
        <f t="shared" si="0"/>
        <v>IBVS 2798 </v>
      </c>
      <c r="B13" s="3" t="str">
        <f t="shared" si="1"/>
        <v>II</v>
      </c>
      <c r="C13" s="10">
        <f t="shared" si="2"/>
        <v>45993.413</v>
      </c>
      <c r="D13" s="12" t="str">
        <f t="shared" si="3"/>
        <v>vis</v>
      </c>
      <c r="E13" s="48">
        <f>VLOOKUP(C13,Active!C$21:E$973,3,FALSE)</f>
        <v>-1024.5018582683949</v>
      </c>
      <c r="F13" s="3" t="s">
        <v>62</v>
      </c>
      <c r="G13" s="12" t="str">
        <f t="shared" si="4"/>
        <v>45993.413</v>
      </c>
      <c r="H13" s="10">
        <f t="shared" si="5"/>
        <v>982.5</v>
      </c>
      <c r="I13" s="49" t="s">
        <v>90</v>
      </c>
      <c r="J13" s="50" t="s">
        <v>91</v>
      </c>
      <c r="K13" s="49">
        <v>982.5</v>
      </c>
      <c r="L13" s="49" t="s">
        <v>84</v>
      </c>
      <c r="M13" s="50" t="s">
        <v>78</v>
      </c>
      <c r="N13" s="50" t="s">
        <v>79</v>
      </c>
      <c r="O13" s="51" t="s">
        <v>88</v>
      </c>
      <c r="P13" s="52" t="s">
        <v>89</v>
      </c>
    </row>
    <row r="14" spans="1:16" ht="12.75" customHeight="1" thickBot="1" x14ac:dyDescent="0.25">
      <c r="A14" s="10" t="str">
        <f t="shared" si="0"/>
        <v>IBVS 2798 </v>
      </c>
      <c r="B14" s="3" t="str">
        <f t="shared" si="1"/>
        <v>I</v>
      </c>
      <c r="C14" s="10">
        <f t="shared" si="2"/>
        <v>46009.311999999998</v>
      </c>
      <c r="D14" s="12" t="str">
        <f t="shared" si="3"/>
        <v>vis</v>
      </c>
      <c r="E14" s="48">
        <f>VLOOKUP(C14,Active!C$21:E$973,3,FALSE)</f>
        <v>-1022.0001449196799</v>
      </c>
      <c r="F14" s="3" t="s">
        <v>62</v>
      </c>
      <c r="G14" s="12" t="str">
        <f t="shared" si="4"/>
        <v>46009.312</v>
      </c>
      <c r="H14" s="10">
        <f t="shared" si="5"/>
        <v>985</v>
      </c>
      <c r="I14" s="49" t="s">
        <v>92</v>
      </c>
      <c r="J14" s="50" t="s">
        <v>93</v>
      </c>
      <c r="K14" s="49">
        <v>985</v>
      </c>
      <c r="L14" s="49" t="s">
        <v>94</v>
      </c>
      <c r="M14" s="50" t="s">
        <v>78</v>
      </c>
      <c r="N14" s="50" t="s">
        <v>79</v>
      </c>
      <c r="O14" s="51" t="s">
        <v>88</v>
      </c>
      <c r="P14" s="52" t="s">
        <v>89</v>
      </c>
    </row>
    <row r="15" spans="1:16" ht="12.75" customHeight="1" thickBot="1" x14ac:dyDescent="0.25">
      <c r="A15" s="10" t="str">
        <f t="shared" si="0"/>
        <v> JAAVSO 41;122 </v>
      </c>
      <c r="B15" s="3" t="str">
        <f t="shared" si="1"/>
        <v>I</v>
      </c>
      <c r="C15" s="10">
        <f t="shared" si="2"/>
        <v>50737.627</v>
      </c>
      <c r="D15" s="12" t="str">
        <f t="shared" si="3"/>
        <v>vis</v>
      </c>
      <c r="E15" s="48">
        <f>VLOOKUP(C15,Active!C$21:E$973,3,FALSE)</f>
        <v>-277.99808488878705</v>
      </c>
      <c r="F15" s="3" t="s">
        <v>62</v>
      </c>
      <c r="G15" s="12" t="str">
        <f t="shared" si="4"/>
        <v>50737.627</v>
      </c>
      <c r="H15" s="10">
        <f t="shared" si="5"/>
        <v>1729</v>
      </c>
      <c r="I15" s="49" t="s">
        <v>95</v>
      </c>
      <c r="J15" s="50" t="s">
        <v>96</v>
      </c>
      <c r="K15" s="49">
        <v>1729</v>
      </c>
      <c r="L15" s="49" t="s">
        <v>97</v>
      </c>
      <c r="M15" s="50" t="s">
        <v>98</v>
      </c>
      <c r="N15" s="50"/>
      <c r="O15" s="51" t="s">
        <v>99</v>
      </c>
      <c r="P15" s="51" t="s">
        <v>100</v>
      </c>
    </row>
    <row r="16" spans="1:16" ht="12.75" customHeight="1" thickBot="1" x14ac:dyDescent="0.25">
      <c r="A16" s="10" t="str">
        <f t="shared" si="0"/>
        <v>OEJV 0160 </v>
      </c>
      <c r="B16" s="3" t="str">
        <f t="shared" si="1"/>
        <v>I</v>
      </c>
      <c r="C16" s="10">
        <f t="shared" si="2"/>
        <v>56101.43434</v>
      </c>
      <c r="D16" s="12" t="str">
        <f t="shared" si="3"/>
        <v>vis</v>
      </c>
      <c r="E16" s="48">
        <f>VLOOKUP(C16,Active!C$21:E$973,3,FALSE)</f>
        <v>565.99892262209619</v>
      </c>
      <c r="F16" s="3" t="s">
        <v>62</v>
      </c>
      <c r="G16" s="12" t="str">
        <f t="shared" si="4"/>
        <v>56101.43434</v>
      </c>
      <c r="H16" s="10">
        <f t="shared" si="5"/>
        <v>2573</v>
      </c>
      <c r="I16" s="49" t="s">
        <v>119</v>
      </c>
      <c r="J16" s="50" t="s">
        <v>120</v>
      </c>
      <c r="K16" s="49" t="s">
        <v>121</v>
      </c>
      <c r="L16" s="49" t="s">
        <v>122</v>
      </c>
      <c r="M16" s="50" t="s">
        <v>104</v>
      </c>
      <c r="N16" s="50" t="s">
        <v>54</v>
      </c>
      <c r="O16" s="51" t="s">
        <v>123</v>
      </c>
      <c r="P16" s="52" t="s">
        <v>124</v>
      </c>
    </row>
    <row r="17" spans="1:16" ht="12.75" customHeight="1" thickBot="1" x14ac:dyDescent="0.25">
      <c r="A17" s="10" t="str">
        <f t="shared" si="0"/>
        <v>IBVS 6042 </v>
      </c>
      <c r="B17" s="3" t="str">
        <f t="shared" si="1"/>
        <v>II</v>
      </c>
      <c r="C17" s="10">
        <f t="shared" si="2"/>
        <v>56231.711000000003</v>
      </c>
      <c r="D17" s="12" t="str">
        <f t="shared" si="3"/>
        <v>vis</v>
      </c>
      <c r="E17" s="48">
        <f>VLOOKUP(C17,Active!C$21:E$973,3,FALSE)</f>
        <v>586.49800176846156</v>
      </c>
      <c r="F17" s="3" t="s">
        <v>62</v>
      </c>
      <c r="G17" s="12" t="str">
        <f t="shared" si="4"/>
        <v>56231.711</v>
      </c>
      <c r="H17" s="10">
        <f t="shared" si="5"/>
        <v>2593.5</v>
      </c>
      <c r="I17" s="49" t="s">
        <v>125</v>
      </c>
      <c r="J17" s="50" t="s">
        <v>126</v>
      </c>
      <c r="K17" s="49" t="s">
        <v>127</v>
      </c>
      <c r="L17" s="49" t="s">
        <v>128</v>
      </c>
      <c r="M17" s="50" t="s">
        <v>104</v>
      </c>
      <c r="N17" s="50" t="s">
        <v>62</v>
      </c>
      <c r="O17" s="51" t="s">
        <v>129</v>
      </c>
      <c r="P17" s="52" t="s">
        <v>130</v>
      </c>
    </row>
    <row r="18" spans="1:16" ht="12.75" customHeight="1" thickBot="1" x14ac:dyDescent="0.25">
      <c r="A18" s="10" t="str">
        <f t="shared" si="0"/>
        <v>OEJV 0160 </v>
      </c>
      <c r="B18" s="3" t="str">
        <f t="shared" si="1"/>
        <v>I</v>
      </c>
      <c r="C18" s="10">
        <f t="shared" si="2"/>
        <v>56495.458030000002</v>
      </c>
      <c r="D18" s="12" t="str">
        <f t="shared" si="3"/>
        <v>vis</v>
      </c>
      <c r="E18" s="48">
        <f>VLOOKUP(C18,Active!C$21:E$973,3,FALSE)</f>
        <v>627.99869147441996</v>
      </c>
      <c r="F18" s="3" t="s">
        <v>62</v>
      </c>
      <c r="G18" s="12" t="str">
        <f t="shared" si="4"/>
        <v>56495.45803</v>
      </c>
      <c r="H18" s="10">
        <f t="shared" si="5"/>
        <v>2635</v>
      </c>
      <c r="I18" s="49" t="s">
        <v>131</v>
      </c>
      <c r="J18" s="50" t="s">
        <v>132</v>
      </c>
      <c r="K18" s="49" t="s">
        <v>133</v>
      </c>
      <c r="L18" s="49" t="s">
        <v>134</v>
      </c>
      <c r="M18" s="50" t="s">
        <v>104</v>
      </c>
      <c r="N18" s="50" t="s">
        <v>44</v>
      </c>
      <c r="O18" s="51" t="s">
        <v>135</v>
      </c>
      <c r="P18" s="52" t="s">
        <v>124</v>
      </c>
    </row>
    <row r="19" spans="1:16" ht="12.75" customHeight="1" thickBot="1" x14ac:dyDescent="0.25">
      <c r="A19" s="10" t="str">
        <f t="shared" si="0"/>
        <v>OEJV 0160 </v>
      </c>
      <c r="B19" s="3" t="str">
        <f t="shared" si="1"/>
        <v>I</v>
      </c>
      <c r="C19" s="10">
        <f t="shared" si="2"/>
        <v>56495.461490000002</v>
      </c>
      <c r="D19" s="12" t="str">
        <f t="shared" si="3"/>
        <v>vis</v>
      </c>
      <c r="E19" s="48">
        <f>VLOOKUP(C19,Active!C$21:E$973,3,FALSE)</f>
        <v>627.99923590666003</v>
      </c>
      <c r="F19" s="3" t="s">
        <v>62</v>
      </c>
      <c r="G19" s="12" t="str">
        <f t="shared" si="4"/>
        <v>56495.46149</v>
      </c>
      <c r="H19" s="10">
        <f t="shared" si="5"/>
        <v>2635</v>
      </c>
      <c r="I19" s="49" t="s">
        <v>136</v>
      </c>
      <c r="J19" s="50" t="s">
        <v>137</v>
      </c>
      <c r="K19" s="49" t="s">
        <v>133</v>
      </c>
      <c r="L19" s="49" t="s">
        <v>138</v>
      </c>
      <c r="M19" s="50" t="s">
        <v>104</v>
      </c>
      <c r="N19" s="50" t="s">
        <v>62</v>
      </c>
      <c r="O19" s="51" t="s">
        <v>135</v>
      </c>
      <c r="P19" s="52" t="s">
        <v>124</v>
      </c>
    </row>
    <row r="20" spans="1:16" ht="12.75" customHeight="1" thickBot="1" x14ac:dyDescent="0.25">
      <c r="A20" s="10" t="str">
        <f t="shared" si="0"/>
        <v>OEJV 0160 </v>
      </c>
      <c r="B20" s="3" t="str">
        <f t="shared" si="1"/>
        <v>I</v>
      </c>
      <c r="C20" s="10">
        <f t="shared" si="2"/>
        <v>56495.462549999997</v>
      </c>
      <c r="D20" s="12" t="str">
        <f t="shared" si="3"/>
        <v>vis</v>
      </c>
      <c r="E20" s="48">
        <f>VLOOKUP(C20,Active!C$21:E$973,3,FALSE)</f>
        <v>627.99940269803926</v>
      </c>
      <c r="F20" s="3" t="s">
        <v>62</v>
      </c>
      <c r="G20" s="12" t="str">
        <f t="shared" si="4"/>
        <v>56495.46255</v>
      </c>
      <c r="H20" s="10">
        <f t="shared" si="5"/>
        <v>2635</v>
      </c>
      <c r="I20" s="49" t="s">
        <v>139</v>
      </c>
      <c r="J20" s="50" t="s">
        <v>140</v>
      </c>
      <c r="K20" s="49" t="s">
        <v>133</v>
      </c>
      <c r="L20" s="49" t="s">
        <v>141</v>
      </c>
      <c r="M20" s="50" t="s">
        <v>104</v>
      </c>
      <c r="N20" s="50" t="s">
        <v>142</v>
      </c>
      <c r="O20" s="51" t="s">
        <v>135</v>
      </c>
      <c r="P20" s="52" t="s">
        <v>124</v>
      </c>
    </row>
    <row r="21" spans="1:16" ht="12.75" customHeight="1" thickBot="1" x14ac:dyDescent="0.25">
      <c r="A21" s="10" t="str">
        <f t="shared" si="0"/>
        <v>OEJV 0160 </v>
      </c>
      <c r="B21" s="3" t="str">
        <f t="shared" si="1"/>
        <v>I</v>
      </c>
      <c r="C21" s="10">
        <f t="shared" si="2"/>
        <v>56495.465150000004</v>
      </c>
      <c r="D21" s="12" t="str">
        <f t="shared" si="3"/>
        <v>vis</v>
      </c>
      <c r="E21" s="48">
        <f>VLOOKUP(C21,Active!C$21:E$973,3,FALSE)</f>
        <v>627.99981180897225</v>
      </c>
      <c r="F21" s="3" t="s">
        <v>62</v>
      </c>
      <c r="G21" s="12" t="str">
        <f t="shared" si="4"/>
        <v>56495.46515</v>
      </c>
      <c r="H21" s="10">
        <f t="shared" si="5"/>
        <v>2635</v>
      </c>
      <c r="I21" s="49" t="s">
        <v>143</v>
      </c>
      <c r="J21" s="50" t="s">
        <v>144</v>
      </c>
      <c r="K21" s="49" t="s">
        <v>133</v>
      </c>
      <c r="L21" s="49" t="s">
        <v>145</v>
      </c>
      <c r="M21" s="50" t="s">
        <v>104</v>
      </c>
      <c r="N21" s="50" t="s">
        <v>146</v>
      </c>
      <c r="O21" s="51" t="s">
        <v>135</v>
      </c>
      <c r="P21" s="52" t="s">
        <v>124</v>
      </c>
    </row>
    <row r="22" spans="1:16" ht="12.75" customHeight="1" thickBot="1" x14ac:dyDescent="0.25">
      <c r="A22" s="10" t="str">
        <f t="shared" si="0"/>
        <v>BAVM 234 </v>
      </c>
      <c r="B22" s="3" t="str">
        <f t="shared" si="1"/>
        <v>II</v>
      </c>
      <c r="C22" s="10">
        <f t="shared" si="2"/>
        <v>56568.529699999999</v>
      </c>
      <c r="D22" s="12" t="str">
        <f t="shared" si="3"/>
        <v>vis</v>
      </c>
      <c r="E22" s="48">
        <f>VLOOKUP(C22,Active!C$21:E$973,3,FALSE)</f>
        <v>639.49654494016738</v>
      </c>
      <c r="F22" s="3" t="s">
        <v>62</v>
      </c>
      <c r="G22" s="12" t="str">
        <f t="shared" si="4"/>
        <v>56568.5297</v>
      </c>
      <c r="H22" s="10">
        <f t="shared" si="5"/>
        <v>2646.5</v>
      </c>
      <c r="I22" s="49" t="s">
        <v>147</v>
      </c>
      <c r="J22" s="50" t="s">
        <v>148</v>
      </c>
      <c r="K22" s="49" t="s">
        <v>149</v>
      </c>
      <c r="L22" s="49" t="s">
        <v>150</v>
      </c>
      <c r="M22" s="50" t="s">
        <v>104</v>
      </c>
      <c r="N22" s="50">
        <v>0</v>
      </c>
      <c r="O22" s="51" t="s">
        <v>106</v>
      </c>
      <c r="P22" s="52" t="s">
        <v>151</v>
      </c>
    </row>
    <row r="23" spans="1:16" ht="12.75" customHeight="1" thickBot="1" x14ac:dyDescent="0.25">
      <c r="A23" s="10" t="str">
        <f t="shared" si="0"/>
        <v>BAVM 239 </v>
      </c>
      <c r="B23" s="3" t="str">
        <f t="shared" si="1"/>
        <v>II</v>
      </c>
      <c r="C23" s="10">
        <f t="shared" si="2"/>
        <v>56924.426899999999</v>
      </c>
      <c r="D23" s="12" t="str">
        <f t="shared" si="3"/>
        <v>vis</v>
      </c>
      <c r="E23" s="48">
        <f>VLOOKUP(C23,Active!C$21:E$973,3,FALSE)</f>
        <v>695.4970969252247</v>
      </c>
      <c r="F23" s="3" t="s">
        <v>62</v>
      </c>
      <c r="G23" s="12" t="str">
        <f t="shared" si="4"/>
        <v>56924.4269</v>
      </c>
      <c r="H23" s="10">
        <f t="shared" si="5"/>
        <v>2702.5</v>
      </c>
      <c r="I23" s="49" t="s">
        <v>152</v>
      </c>
      <c r="J23" s="50" t="s">
        <v>153</v>
      </c>
      <c r="K23" s="49">
        <v>2702.5</v>
      </c>
      <c r="L23" s="49" t="s">
        <v>154</v>
      </c>
      <c r="M23" s="50" t="s">
        <v>104</v>
      </c>
      <c r="N23" s="50">
        <v>0</v>
      </c>
      <c r="O23" s="51" t="s">
        <v>106</v>
      </c>
      <c r="P23" s="52" t="s">
        <v>155</v>
      </c>
    </row>
    <row r="24" spans="1:16" ht="12.75" customHeight="1" thickBot="1" x14ac:dyDescent="0.25">
      <c r="A24" s="10" t="str">
        <f t="shared" si="0"/>
        <v> BAN 7.160 </v>
      </c>
      <c r="B24" s="3" t="str">
        <f t="shared" si="1"/>
        <v>I</v>
      </c>
      <c r="C24" s="10">
        <f t="shared" si="2"/>
        <v>20753.536</v>
      </c>
      <c r="D24" s="12" t="str">
        <f t="shared" si="3"/>
        <v>vis</v>
      </c>
      <c r="E24" s="48">
        <f>VLOOKUP(C24,Active!C$21:E$973,3,FALSE)</f>
        <v>-4996.0055510059437</v>
      </c>
      <c r="F24" s="3" t="s">
        <v>62</v>
      </c>
      <c r="G24" s="12" t="str">
        <f t="shared" si="4"/>
        <v>20753.536</v>
      </c>
      <c r="H24" s="10">
        <f t="shared" si="5"/>
        <v>-2989</v>
      </c>
      <c r="I24" s="49" t="s">
        <v>64</v>
      </c>
      <c r="J24" s="50" t="s">
        <v>65</v>
      </c>
      <c r="K24" s="49">
        <v>-2989</v>
      </c>
      <c r="L24" s="49" t="s">
        <v>66</v>
      </c>
      <c r="M24" s="50" t="s">
        <v>67</v>
      </c>
      <c r="N24" s="50"/>
      <c r="O24" s="51" t="s">
        <v>68</v>
      </c>
      <c r="P24" s="51" t="s">
        <v>69</v>
      </c>
    </row>
    <row r="25" spans="1:16" ht="12.75" customHeight="1" thickBot="1" x14ac:dyDescent="0.25">
      <c r="A25" s="10" t="str">
        <f t="shared" si="0"/>
        <v> MHAR 15 </v>
      </c>
      <c r="B25" s="3" t="str">
        <f t="shared" si="1"/>
        <v>I</v>
      </c>
      <c r="C25" s="10">
        <f t="shared" si="2"/>
        <v>39444.313000000002</v>
      </c>
      <c r="D25" s="12" t="str">
        <f t="shared" si="3"/>
        <v>vis</v>
      </c>
      <c r="E25" s="48">
        <f>VLOOKUP(C25,Active!C$21:E$973,3,FALSE)</f>
        <v>-2055.0050906774704</v>
      </c>
      <c r="F25" s="3" t="s">
        <v>62</v>
      </c>
      <c r="G25" s="12" t="str">
        <f t="shared" si="4"/>
        <v>39444.313</v>
      </c>
      <c r="H25" s="10">
        <f t="shared" si="5"/>
        <v>-48</v>
      </c>
      <c r="I25" s="49" t="s">
        <v>70</v>
      </c>
      <c r="J25" s="50" t="s">
        <v>71</v>
      </c>
      <c r="K25" s="49">
        <v>-48</v>
      </c>
      <c r="L25" s="49" t="s">
        <v>72</v>
      </c>
      <c r="M25" s="50" t="s">
        <v>67</v>
      </c>
      <c r="N25" s="50"/>
      <c r="O25" s="51" t="s">
        <v>73</v>
      </c>
      <c r="P25" s="51" t="s">
        <v>74</v>
      </c>
    </row>
    <row r="26" spans="1:16" ht="12.75" customHeight="1" thickBot="1" x14ac:dyDescent="0.25">
      <c r="A26" s="10" t="str">
        <f t="shared" si="0"/>
        <v> MHAR 15 </v>
      </c>
      <c r="B26" s="3" t="str">
        <f t="shared" si="1"/>
        <v>I</v>
      </c>
      <c r="C26" s="10">
        <f t="shared" si="2"/>
        <v>41573.332000000002</v>
      </c>
      <c r="D26" s="12" t="str">
        <f t="shared" si="3"/>
        <v>vis</v>
      </c>
      <c r="E26" s="48">
        <f>VLOOKUP(C26,Active!C$21:E$973,3,FALSE)</f>
        <v>-1720.0031879182609</v>
      </c>
      <c r="F26" s="3" t="s">
        <v>62</v>
      </c>
      <c r="G26" s="12" t="str">
        <f t="shared" si="4"/>
        <v>41573.332</v>
      </c>
      <c r="H26" s="10">
        <f t="shared" si="5"/>
        <v>287</v>
      </c>
      <c r="I26" s="49" t="s">
        <v>82</v>
      </c>
      <c r="J26" s="50" t="s">
        <v>83</v>
      </c>
      <c r="K26" s="49">
        <v>287</v>
      </c>
      <c r="L26" s="49" t="s">
        <v>84</v>
      </c>
      <c r="M26" s="50" t="s">
        <v>67</v>
      </c>
      <c r="N26" s="50"/>
      <c r="O26" s="51" t="s">
        <v>73</v>
      </c>
      <c r="P26" s="51" t="s">
        <v>74</v>
      </c>
    </row>
    <row r="27" spans="1:16" ht="12.75" customHeight="1" thickBot="1" x14ac:dyDescent="0.25">
      <c r="A27" s="10" t="str">
        <f t="shared" si="0"/>
        <v>BAVM 193 </v>
      </c>
      <c r="B27" s="3" t="str">
        <f t="shared" si="1"/>
        <v>I</v>
      </c>
      <c r="C27" s="10">
        <f t="shared" si="2"/>
        <v>54366.454400000002</v>
      </c>
      <c r="D27" s="12" t="str">
        <f t="shared" si="3"/>
        <v>vis</v>
      </c>
      <c r="E27" s="48">
        <f>VLOOKUP(C27,Active!C$21:E$973,3,FALSE)</f>
        <v>292.99920719021981</v>
      </c>
      <c r="F27" s="3" t="s">
        <v>62</v>
      </c>
      <c r="G27" s="12" t="str">
        <f t="shared" si="4"/>
        <v>54366.4544</v>
      </c>
      <c r="H27" s="10">
        <f t="shared" si="5"/>
        <v>2300</v>
      </c>
      <c r="I27" s="49" t="s">
        <v>101</v>
      </c>
      <c r="J27" s="50" t="s">
        <v>102</v>
      </c>
      <c r="K27" s="49">
        <v>2300</v>
      </c>
      <c r="L27" s="49" t="s">
        <v>103</v>
      </c>
      <c r="M27" s="50" t="s">
        <v>104</v>
      </c>
      <c r="N27" s="50" t="s">
        <v>105</v>
      </c>
      <c r="O27" s="51" t="s">
        <v>106</v>
      </c>
      <c r="P27" s="52" t="s">
        <v>107</v>
      </c>
    </row>
    <row r="28" spans="1:16" ht="12.75" customHeight="1" thickBot="1" x14ac:dyDescent="0.25">
      <c r="A28" s="10" t="str">
        <f t="shared" si="0"/>
        <v>BAVM 212 </v>
      </c>
      <c r="B28" s="3" t="str">
        <f t="shared" si="1"/>
        <v>I</v>
      </c>
      <c r="C28" s="10">
        <f t="shared" si="2"/>
        <v>55097.302799999998</v>
      </c>
      <c r="D28" s="12" t="str">
        <f t="shared" si="3"/>
        <v>vis</v>
      </c>
      <c r="E28" s="48">
        <f>VLOOKUP(C28,Active!C$21:E$973,3,FALSE)</f>
        <v>407.99846488990318</v>
      </c>
      <c r="F28" s="3" t="s">
        <v>62</v>
      </c>
      <c r="G28" s="12" t="str">
        <f t="shared" si="4"/>
        <v>55097.3028</v>
      </c>
      <c r="H28" s="10">
        <f t="shared" si="5"/>
        <v>2415</v>
      </c>
      <c r="I28" s="49" t="s">
        <v>108</v>
      </c>
      <c r="J28" s="50" t="s">
        <v>109</v>
      </c>
      <c r="K28" s="49" t="s">
        <v>110</v>
      </c>
      <c r="L28" s="49" t="s">
        <v>111</v>
      </c>
      <c r="M28" s="50" t="s">
        <v>104</v>
      </c>
      <c r="N28" s="50" t="s">
        <v>105</v>
      </c>
      <c r="O28" s="51" t="s">
        <v>106</v>
      </c>
      <c r="P28" s="52" t="s">
        <v>112</v>
      </c>
    </row>
    <row r="29" spans="1:16" ht="12.75" customHeight="1" thickBot="1" x14ac:dyDescent="0.25">
      <c r="A29" s="10" t="str">
        <f t="shared" si="0"/>
        <v>BAVM 225 </v>
      </c>
      <c r="B29" s="3" t="str">
        <f t="shared" si="1"/>
        <v>I</v>
      </c>
      <c r="C29" s="10">
        <f t="shared" si="2"/>
        <v>55834.515599999999</v>
      </c>
      <c r="D29" s="12" t="str">
        <f t="shared" si="3"/>
        <v>vis</v>
      </c>
      <c r="E29" s="48">
        <f>VLOOKUP(C29,Active!C$21:E$973,3,FALSE)</f>
        <v>523.99916321079399</v>
      </c>
      <c r="F29" s="3" t="s">
        <v>62</v>
      </c>
      <c r="G29" s="12" t="str">
        <f t="shared" si="4"/>
        <v>55834.5156</v>
      </c>
      <c r="H29" s="10">
        <f t="shared" si="5"/>
        <v>2531</v>
      </c>
      <c r="I29" s="49" t="s">
        <v>113</v>
      </c>
      <c r="J29" s="50" t="s">
        <v>114</v>
      </c>
      <c r="K29" s="49" t="s">
        <v>115</v>
      </c>
      <c r="L29" s="49" t="s">
        <v>116</v>
      </c>
      <c r="M29" s="50" t="s">
        <v>104</v>
      </c>
      <c r="N29" s="50" t="s">
        <v>105</v>
      </c>
      <c r="O29" s="51" t="s">
        <v>117</v>
      </c>
      <c r="P29" s="52" t="s">
        <v>118</v>
      </c>
    </row>
    <row r="30" spans="1:16" x14ac:dyDescent="0.2">
      <c r="B30" s="3"/>
      <c r="E30" s="48"/>
      <c r="F30" s="3"/>
    </row>
    <row r="31" spans="1:16" x14ac:dyDescent="0.2">
      <c r="B31" s="3"/>
      <c r="E31" s="48"/>
      <c r="F31" s="3"/>
    </row>
    <row r="32" spans="1:16" x14ac:dyDescent="0.2">
      <c r="B32" s="3"/>
      <c r="E32" s="48"/>
      <c r="F32" s="3"/>
    </row>
    <row r="33" spans="2:6" x14ac:dyDescent="0.2">
      <c r="B33" s="3"/>
      <c r="E33" s="48"/>
      <c r="F33" s="3"/>
    </row>
    <row r="34" spans="2:6" x14ac:dyDescent="0.2">
      <c r="B34" s="3"/>
      <c r="E34" s="48"/>
      <c r="F34" s="3"/>
    </row>
    <row r="35" spans="2:6" x14ac:dyDescent="0.2">
      <c r="B35" s="3"/>
      <c r="E35" s="48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  <row r="800" spans="2:6" x14ac:dyDescent="0.2">
      <c r="B800" s="3"/>
      <c r="F800" s="3"/>
    </row>
    <row r="801" spans="2:6" x14ac:dyDescent="0.2">
      <c r="B801" s="3"/>
      <c r="F801" s="3"/>
    </row>
    <row r="802" spans="2:6" x14ac:dyDescent="0.2">
      <c r="B802" s="3"/>
      <c r="F802" s="3"/>
    </row>
    <row r="803" spans="2:6" x14ac:dyDescent="0.2">
      <c r="B803" s="3"/>
      <c r="F803" s="3"/>
    </row>
    <row r="804" spans="2:6" x14ac:dyDescent="0.2">
      <c r="B804" s="3"/>
      <c r="F804" s="3"/>
    </row>
    <row r="805" spans="2:6" x14ac:dyDescent="0.2">
      <c r="B805" s="3"/>
      <c r="F805" s="3"/>
    </row>
    <row r="806" spans="2:6" x14ac:dyDescent="0.2">
      <c r="B806" s="3"/>
      <c r="F806" s="3"/>
    </row>
    <row r="807" spans="2:6" x14ac:dyDescent="0.2">
      <c r="B807" s="3"/>
      <c r="F807" s="3"/>
    </row>
    <row r="808" spans="2:6" x14ac:dyDescent="0.2">
      <c r="B808" s="3"/>
      <c r="F808" s="3"/>
    </row>
    <row r="809" spans="2:6" x14ac:dyDescent="0.2">
      <c r="B809" s="3"/>
      <c r="F809" s="3"/>
    </row>
    <row r="810" spans="2:6" x14ac:dyDescent="0.2">
      <c r="B810" s="3"/>
      <c r="F810" s="3"/>
    </row>
    <row r="811" spans="2:6" x14ac:dyDescent="0.2">
      <c r="B811" s="3"/>
      <c r="F811" s="3"/>
    </row>
    <row r="812" spans="2:6" x14ac:dyDescent="0.2">
      <c r="B812" s="3"/>
      <c r="F812" s="3"/>
    </row>
    <row r="813" spans="2:6" x14ac:dyDescent="0.2">
      <c r="B813" s="3"/>
      <c r="F813" s="3"/>
    </row>
    <row r="814" spans="2:6" x14ac:dyDescent="0.2">
      <c r="B814" s="3"/>
      <c r="F814" s="3"/>
    </row>
    <row r="815" spans="2:6" x14ac:dyDescent="0.2">
      <c r="B815" s="3"/>
      <c r="F815" s="3"/>
    </row>
    <row r="816" spans="2:6" x14ac:dyDescent="0.2">
      <c r="B816" s="3"/>
      <c r="F816" s="3"/>
    </row>
    <row r="817" spans="2:6" x14ac:dyDescent="0.2">
      <c r="B817" s="3"/>
      <c r="F817" s="3"/>
    </row>
    <row r="818" spans="2:6" x14ac:dyDescent="0.2">
      <c r="B818" s="3"/>
      <c r="F818" s="3"/>
    </row>
    <row r="819" spans="2:6" x14ac:dyDescent="0.2">
      <c r="B819" s="3"/>
      <c r="F819" s="3"/>
    </row>
    <row r="820" spans="2:6" x14ac:dyDescent="0.2">
      <c r="B820" s="3"/>
      <c r="F820" s="3"/>
    </row>
    <row r="821" spans="2:6" x14ac:dyDescent="0.2">
      <c r="B821" s="3"/>
      <c r="F821" s="3"/>
    </row>
    <row r="822" spans="2:6" x14ac:dyDescent="0.2">
      <c r="B822" s="3"/>
      <c r="F822" s="3"/>
    </row>
    <row r="823" spans="2:6" x14ac:dyDescent="0.2">
      <c r="B823" s="3"/>
      <c r="F823" s="3"/>
    </row>
  </sheetData>
  <phoneticPr fontId="8" type="noConversion"/>
  <hyperlinks>
    <hyperlink ref="P11" r:id="rId1" display="http://www.konkoly.hu/cgi-bin/IBVS?249" xr:uid="{00000000-0004-0000-0100-000000000000}"/>
    <hyperlink ref="P12" r:id="rId2" display="http://www.konkoly.hu/cgi-bin/IBVS?2798" xr:uid="{00000000-0004-0000-0100-000001000000}"/>
    <hyperlink ref="P13" r:id="rId3" display="http://www.konkoly.hu/cgi-bin/IBVS?2798" xr:uid="{00000000-0004-0000-0100-000002000000}"/>
    <hyperlink ref="P14" r:id="rId4" display="http://www.konkoly.hu/cgi-bin/IBVS?2798" xr:uid="{00000000-0004-0000-0100-000003000000}"/>
    <hyperlink ref="P27" r:id="rId5" display="http://www.bav-astro.de/sfs/BAVM_link.php?BAVMnr=193" xr:uid="{00000000-0004-0000-0100-000004000000}"/>
    <hyperlink ref="P28" r:id="rId6" display="http://www.bav-astro.de/sfs/BAVM_link.php?BAVMnr=212" xr:uid="{00000000-0004-0000-0100-000005000000}"/>
    <hyperlink ref="P29" r:id="rId7" display="http://www.bav-astro.de/sfs/BAVM_link.php?BAVMnr=225" xr:uid="{00000000-0004-0000-0100-000006000000}"/>
    <hyperlink ref="P16" r:id="rId8" display="http://var.astro.cz/oejv/issues/oejv0160.pdf" xr:uid="{00000000-0004-0000-0100-000007000000}"/>
    <hyperlink ref="P17" r:id="rId9" display="http://www.konkoly.hu/cgi-bin/IBVS?6042" xr:uid="{00000000-0004-0000-0100-000008000000}"/>
    <hyperlink ref="P18" r:id="rId10" display="http://var.astro.cz/oejv/issues/oejv0160.pdf" xr:uid="{00000000-0004-0000-0100-000009000000}"/>
    <hyperlink ref="P19" r:id="rId11" display="http://var.astro.cz/oejv/issues/oejv0160.pdf" xr:uid="{00000000-0004-0000-0100-00000A000000}"/>
    <hyperlink ref="P20" r:id="rId12" display="http://var.astro.cz/oejv/issues/oejv0160.pdf" xr:uid="{00000000-0004-0000-0100-00000B000000}"/>
    <hyperlink ref="P21" r:id="rId13" display="http://var.astro.cz/oejv/issues/oejv0160.pdf" xr:uid="{00000000-0004-0000-0100-00000C000000}"/>
    <hyperlink ref="P22" r:id="rId14" display="http://www.bav-astro.de/sfs/BAVM_link.php?BAVMnr=234" xr:uid="{00000000-0004-0000-0100-00000D000000}"/>
    <hyperlink ref="P23" r:id="rId15" display="http://www.bav-astro.de/sfs/BAVM_link.php?BAVMnr=239" xr:uid="{00000000-0004-0000-0100-00000E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2023-08-06T08:21:58Z</dcterms:modified>
</cp:coreProperties>
</file>