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446C53DA-66C3-4EBF-AB3C-6CCFFBD9687A}" xr6:coauthVersionLast="47" xr6:coauthVersionMax="47" xr10:uidLastSave="{00000000-0000-0000-0000-000000000000}"/>
  <bookViews>
    <workbookView xWindow="13290" yWindow="660" windowWidth="12975" windowHeight="1464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8" i="1" l="1"/>
  <c r="F38" i="1" s="1"/>
  <c r="G38" i="1" s="1"/>
  <c r="K38" i="1" s="1"/>
  <c r="Q38" i="1"/>
  <c r="E21" i="1"/>
  <c r="F21" i="1" s="1"/>
  <c r="G21" i="1" s="1"/>
  <c r="J21" i="1" s="1"/>
  <c r="E23" i="1"/>
  <c r="F23" i="1"/>
  <c r="G23" i="1" s="1"/>
  <c r="J23" i="1" s="1"/>
  <c r="E24" i="1"/>
  <c r="F24" i="1" s="1"/>
  <c r="G24" i="1" s="1"/>
  <c r="J24" i="1" s="1"/>
  <c r="E25" i="1"/>
  <c r="F25" i="1"/>
  <c r="G25" i="1" s="1"/>
  <c r="J25" i="1" s="1"/>
  <c r="E26" i="1"/>
  <c r="E16" i="2" s="1"/>
  <c r="E27" i="1"/>
  <c r="F27" i="1"/>
  <c r="G27" i="1" s="1"/>
  <c r="J27" i="1" s="1"/>
  <c r="E28" i="1"/>
  <c r="F28" i="1" s="1"/>
  <c r="G28" i="1" s="1"/>
  <c r="J28" i="1" s="1"/>
  <c r="E29" i="1"/>
  <c r="F29" i="1"/>
  <c r="G29" i="1" s="1"/>
  <c r="J29" i="1" s="1"/>
  <c r="E30" i="1"/>
  <c r="F30" i="1" s="1"/>
  <c r="G30" i="1" s="1"/>
  <c r="J30" i="1" s="1"/>
  <c r="E31" i="1"/>
  <c r="F31" i="1"/>
  <c r="G31" i="1" s="1"/>
  <c r="J31" i="1" s="1"/>
  <c r="E32" i="1"/>
  <c r="F32" i="1" s="1"/>
  <c r="G32" i="1" s="1"/>
  <c r="J32" i="1" s="1"/>
  <c r="E33" i="1"/>
  <c r="F33" i="1"/>
  <c r="G33" i="1" s="1"/>
  <c r="J33" i="1" s="1"/>
  <c r="E34" i="1"/>
  <c r="E24" i="2" s="1"/>
  <c r="E35" i="1"/>
  <c r="F35" i="1"/>
  <c r="U35" i="1" s="1"/>
  <c r="E37" i="1"/>
  <c r="F37" i="1"/>
  <c r="G37" i="1" s="1"/>
  <c r="J37" i="1" s="1"/>
  <c r="E22" i="1"/>
  <c r="F22" i="1" s="1"/>
  <c r="G22" i="1" s="1"/>
  <c r="H22" i="1" s="1"/>
  <c r="E36" i="1"/>
  <c r="F36" i="1"/>
  <c r="G36" i="1" s="1"/>
  <c r="I36" i="1" s="1"/>
  <c r="G11" i="1"/>
  <c r="F11" i="1"/>
  <c r="Q2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7" i="1"/>
  <c r="G26" i="2"/>
  <c r="C26" i="2"/>
  <c r="E26" i="2"/>
  <c r="G11" i="2"/>
  <c r="C11" i="2"/>
  <c r="E11" i="2"/>
  <c r="G25" i="2"/>
  <c r="C25" i="2"/>
  <c r="E25" i="2"/>
  <c r="G24" i="2"/>
  <c r="C24" i="2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18" i="2"/>
  <c r="C18" i="2"/>
  <c r="G17" i="2"/>
  <c r="C17" i="2"/>
  <c r="E17" i="2"/>
  <c r="G16" i="2"/>
  <c r="C16" i="2"/>
  <c r="G15" i="2"/>
  <c r="C15" i="2"/>
  <c r="E15" i="2"/>
  <c r="G14" i="2"/>
  <c r="C14" i="2"/>
  <c r="E14" i="2"/>
  <c r="G13" i="2"/>
  <c r="C13" i="2"/>
  <c r="E13" i="2"/>
  <c r="G12" i="2"/>
  <c r="C12" i="2"/>
  <c r="E12" i="2"/>
  <c r="H26" i="2"/>
  <c r="B26" i="2"/>
  <c r="D26" i="2"/>
  <c r="A26" i="2"/>
  <c r="H11" i="2"/>
  <c r="B11" i="2"/>
  <c r="D11" i="2"/>
  <c r="A11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Q36" i="1"/>
  <c r="E14" i="1"/>
  <c r="C17" i="1"/>
  <c r="Q22" i="1"/>
  <c r="E18" i="2" l="1"/>
  <c r="F34" i="1"/>
  <c r="G34" i="1" s="1"/>
  <c r="J34" i="1" s="1"/>
  <c r="F26" i="1"/>
  <c r="G26" i="1" s="1"/>
  <c r="E15" i="1"/>
  <c r="C11" i="1"/>
  <c r="C12" i="1"/>
  <c r="J26" i="1" l="1"/>
  <c r="O38" i="1"/>
  <c r="C16" i="1"/>
  <c r="D18" i="1" s="1"/>
  <c r="O33" i="1"/>
  <c r="O31" i="1"/>
  <c r="O25" i="1"/>
  <c r="C15" i="1"/>
  <c r="O35" i="1"/>
  <c r="O36" i="1"/>
  <c r="O37" i="1"/>
  <c r="O21" i="1"/>
  <c r="O29" i="1"/>
  <c r="O26" i="1"/>
  <c r="O28" i="1"/>
  <c r="O27" i="1"/>
  <c r="O22" i="1"/>
  <c r="O24" i="1"/>
  <c r="O30" i="1"/>
  <c r="O23" i="1"/>
  <c r="O34" i="1"/>
  <c r="O32" i="1"/>
  <c r="C18" i="1" l="1"/>
  <c r="E16" i="1"/>
  <c r="E17" i="1" s="1"/>
</calcChain>
</file>

<file path=xl/sharedStrings.xml><?xml version="1.0" encoding="utf-8"?>
<sst xmlns="http://schemas.openxmlformats.org/spreadsheetml/2006/main" count="209" uniqueCount="118">
  <si>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</si>
  <si>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</si>
  <si>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</si>
  <si>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</si>
  <si>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</si>
  <si>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</si>
  <si>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</si>
  <si>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</si>
  <si>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</si>
  <si>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</si>
  <si>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</si>
  <si>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</si>
  <si>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</si>
  <si>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</si>
  <si>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</si>
  <si>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</si>
  <si>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</si>
  <si>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</si>
  <si>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</si>
  <si>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</si>
  <si>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</si>
  <si>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</si>
  <si>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</si>
  <si>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</si>
  <si>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</si>
  <si>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</si>
  <si>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</si>
  <si>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</si>
  <si>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</si>
  <si>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</si>
  <si>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</si>
  <si>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</si>
  <si>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</si>
  <si>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</si>
  <si>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</si>
  <si>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</si>
  <si>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</si>
  <si>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GCVS</t>
  </si>
  <si>
    <t>BAD</t>
  </si>
  <si>
    <t>Add cycle</t>
  </si>
  <si>
    <t>Old Cycle</t>
  </si>
  <si>
    <t>OX Lac</t>
  </si>
  <si>
    <t>OX Lac / GSC 3632-2713</t>
  </si>
  <si>
    <t>EB</t>
  </si>
  <si>
    <t>Malkov</t>
  </si>
  <si>
    <t>IBVS 5918</t>
  </si>
  <si>
    <t>I</t>
  </si>
  <si>
    <t>G3632-2713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</si>
  <si>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</si>
  <si>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</si>
  <si>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</si>
  <si>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</si>
  <si>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</si>
  <si>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</si>
  <si>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</si>
  <si>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</si>
  <si>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</si>
  <si>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</si>
  <si>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</si>
  <si>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2433562.463 </t>
  </si>
  <si>
    <t> 07.10.1950 23:06 </t>
  </si>
  <si>
    <t> -0.057 </t>
  </si>
  <si>
    <t>P </t>
  </si>
  <si>
    <t> Miller &amp; Wachmann </t>
  </si>
  <si>
    <t> RIA 8.305 </t>
  </si>
  <si>
    <t>2434691.319 </t>
  </si>
  <si>
    <t> 09.11.1953 19:39 </t>
  </si>
  <si>
    <t> -0.088 </t>
  </si>
  <si>
    <t>2436019.505 </t>
  </si>
  <si>
    <t> 30.06.1957 00:07 </t>
  </si>
  <si>
    <t> -0.005 </t>
  </si>
  <si>
    <t> H.Busch </t>
  </si>
  <si>
    <t> MHAR 6 </t>
  </si>
  <si>
    <t>2436495.455 </t>
  </si>
  <si>
    <t> 18.10.1958 22:55 </t>
  </si>
  <si>
    <t> 0.041 </t>
  </si>
  <si>
    <t>2437231.452 </t>
  </si>
  <si>
    <t> 23.10.1960 22:50 </t>
  </si>
  <si>
    <t> 0.048 </t>
  </si>
  <si>
    <t>2437917.566 </t>
  </si>
  <si>
    <t> 10.09.1962 01:35 </t>
  </si>
  <si>
    <t> -0.024 </t>
  </si>
  <si>
    <t>2437956.310 </t>
  </si>
  <si>
    <t> 18.10.1962 19:26 </t>
  </si>
  <si>
    <t> -0.017 </t>
  </si>
  <si>
    <t>2438332.660 </t>
  </si>
  <si>
    <t> 30.10.1963 03:50 </t>
  </si>
  <si>
    <t> 0.038 </t>
  </si>
  <si>
    <t>2438371.272 </t>
  </si>
  <si>
    <t> 07.12.1963 18:31 </t>
  </si>
  <si>
    <t> -0.087 </t>
  </si>
  <si>
    <t>2439760.335 </t>
  </si>
  <si>
    <t> 26.09.1967 20:02 </t>
  </si>
  <si>
    <t> 0.002 </t>
  </si>
  <si>
    <t>2439904.260 </t>
  </si>
  <si>
    <t> 17.02.1968 18:14 </t>
  </si>
  <si>
    <t> 0.049 </t>
  </si>
  <si>
    <t>2439915.273 </t>
  </si>
  <si>
    <t> 28.02.1968 18:33 </t>
  </si>
  <si>
    <t>2440778.488 </t>
  </si>
  <si>
    <t> 10.07.1970 23:42 </t>
  </si>
  <si>
    <t>2440834.451 </t>
  </si>
  <si>
    <t> 04.09.1970 22:49 </t>
  </si>
  <si>
    <t> 0.568 </t>
  </si>
  <si>
    <t>2454834.4434 </t>
  </si>
  <si>
    <t> 02.01.2009 22:38 </t>
  </si>
  <si>
    <t> 0.1442 </t>
  </si>
  <si>
    <t>C </t>
  </si>
  <si>
    <t>-I</t>
  </si>
  <si>
    <t> F.Agerer </t>
  </si>
  <si>
    <t>BAVM 209 </t>
  </si>
  <si>
    <t>2455808.3933 </t>
  </si>
  <si>
    <t> 03.09.2011 21:26 </t>
  </si>
  <si>
    <t>4020</t>
  </si>
  <si>
    <t> 0.1521 </t>
  </si>
  <si>
    <t>BAVM 225 </t>
  </si>
  <si>
    <t>JBAV, 60</t>
  </si>
  <si>
    <t>JBAV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</si>
</sst>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21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1" applyNumberFormat="0" applyFont="0" applyFill="0" applyAlignment="0" applyProtection="0"/>
  </cellStyleXfs>
  <cellXfs count="5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7" fillId="0" borderId="0" xfId="7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0" fillId="0" borderId="0" xfId="0" quotePrefix="1">
      <alignment vertical="top"/>
    </xf>
    <xf numFmtId="0" fontId="5" fillId="2" borderId="11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right" vertical="top" wrapText="1"/>
    </xf>
    <xf numFmtId="0" fontId="17" fillId="2" borderId="11" xfId="7" applyFill="1" applyBorder="1" applyAlignment="1" applyProtection="1">
      <alignment horizontal="right" vertical="top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76" fontId="20" fillId="0" borderId="0" xfId="0" applyNumberFormat="1" applyFont="1" applyAlignment="1">
      <alignment vertical="center" wrapText="1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OX Lac - O-C Diagr.</a:t>
            </a:r>
          </a:p>
        </c:rich>
      </c:tx>
      <c:layout>
        <c:manualLayout>
          <c:xMode val="edge"/>
          <c:yMode val="edge"/>
          <c:x val="0.3864661654135338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3308270676691731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444</c:v>
                </c:pt>
                <c:pt idx="4">
                  <c:v>530</c:v>
                </c:pt>
                <c:pt idx="5">
                  <c:v>663</c:v>
                </c:pt>
                <c:pt idx="6">
                  <c:v>787</c:v>
                </c:pt>
                <c:pt idx="7">
                  <c:v>794</c:v>
                </c:pt>
                <c:pt idx="8">
                  <c:v>862</c:v>
                </c:pt>
                <c:pt idx="9">
                  <c:v>869</c:v>
                </c:pt>
                <c:pt idx="10">
                  <c:v>1120</c:v>
                </c:pt>
                <c:pt idx="11">
                  <c:v>1146</c:v>
                </c:pt>
                <c:pt idx="12">
                  <c:v>1148</c:v>
                </c:pt>
                <c:pt idx="13">
                  <c:v>1304</c:v>
                </c:pt>
                <c:pt idx="14">
                  <c:v>1314</c:v>
                </c:pt>
                <c:pt idx="15">
                  <c:v>3844</c:v>
                </c:pt>
                <c:pt idx="16">
                  <c:v>4020</c:v>
                </c:pt>
                <c:pt idx="17">
                  <c:v>4672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46-4C16-864F-2227706F9BD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444</c:v>
                </c:pt>
                <c:pt idx="4">
                  <c:v>530</c:v>
                </c:pt>
                <c:pt idx="5">
                  <c:v>663</c:v>
                </c:pt>
                <c:pt idx="6">
                  <c:v>787</c:v>
                </c:pt>
                <c:pt idx="7">
                  <c:v>794</c:v>
                </c:pt>
                <c:pt idx="8">
                  <c:v>862</c:v>
                </c:pt>
                <c:pt idx="9">
                  <c:v>869</c:v>
                </c:pt>
                <c:pt idx="10">
                  <c:v>1120</c:v>
                </c:pt>
                <c:pt idx="11">
                  <c:v>1146</c:v>
                </c:pt>
                <c:pt idx="12">
                  <c:v>1148</c:v>
                </c:pt>
                <c:pt idx="13">
                  <c:v>1304</c:v>
                </c:pt>
                <c:pt idx="14">
                  <c:v>1314</c:v>
                </c:pt>
                <c:pt idx="15">
                  <c:v>3844</c:v>
                </c:pt>
                <c:pt idx="16">
                  <c:v>4020</c:v>
                </c:pt>
                <c:pt idx="17">
                  <c:v>4672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5">
                  <c:v>0.14419400000042515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46-4C16-864F-2227706F9BD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444</c:v>
                </c:pt>
                <c:pt idx="4">
                  <c:v>530</c:v>
                </c:pt>
                <c:pt idx="5">
                  <c:v>663</c:v>
                </c:pt>
                <c:pt idx="6">
                  <c:v>787</c:v>
                </c:pt>
                <c:pt idx="7">
                  <c:v>794</c:v>
                </c:pt>
                <c:pt idx="8">
                  <c:v>862</c:v>
                </c:pt>
                <c:pt idx="9">
                  <c:v>869</c:v>
                </c:pt>
                <c:pt idx="10">
                  <c:v>1120</c:v>
                </c:pt>
                <c:pt idx="11">
                  <c:v>1146</c:v>
                </c:pt>
                <c:pt idx="12">
                  <c:v>1148</c:v>
                </c:pt>
                <c:pt idx="13">
                  <c:v>1304</c:v>
                </c:pt>
                <c:pt idx="14">
                  <c:v>1314</c:v>
                </c:pt>
                <c:pt idx="15">
                  <c:v>3844</c:v>
                </c:pt>
                <c:pt idx="16">
                  <c:v>4020</c:v>
                </c:pt>
                <c:pt idx="17">
                  <c:v>4672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0">
                  <c:v>-5.6999999993422534E-2</c:v>
                </c:pt>
                <c:pt idx="2">
                  <c:v>-8.8345999996818136E-2</c:v>
                </c:pt>
                <c:pt idx="3">
                  <c:v>-5.1059999968856573E-3</c:v>
                </c:pt>
                <c:pt idx="4">
                  <c:v>4.1405000003578607E-2</c:v>
                </c:pt>
                <c:pt idx="5">
                  <c:v>4.8125499997695442E-2</c:v>
                </c:pt>
                <c:pt idx="6">
                  <c:v>-2.4300500001118053E-2</c:v>
                </c:pt>
                <c:pt idx="7">
                  <c:v>-1.6630999998596963E-2</c:v>
                </c:pt>
                <c:pt idx="8">
                  <c:v>3.7587000006169546E-2</c:v>
                </c:pt>
                <c:pt idx="9">
                  <c:v>-8.674349999637343E-2</c:v>
                </c:pt>
                <c:pt idx="10">
                  <c:v>2.1200000046519563E-3</c:v>
                </c:pt>
                <c:pt idx="11">
                  <c:v>4.9321000005875248E-2</c:v>
                </c:pt>
                <c:pt idx="12">
                  <c:v>-5.2019999930053018E-3</c:v>
                </c:pt>
                <c:pt idx="13">
                  <c:v>-5.6995999999344349E-2</c:v>
                </c:pt>
                <c:pt idx="16">
                  <c:v>0.15207000000373228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46-4C16-864F-2227706F9BD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JBAV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444</c:v>
                </c:pt>
                <c:pt idx="4">
                  <c:v>530</c:v>
                </c:pt>
                <c:pt idx="5">
                  <c:v>663</c:v>
                </c:pt>
                <c:pt idx="6">
                  <c:v>787</c:v>
                </c:pt>
                <c:pt idx="7">
                  <c:v>794</c:v>
                </c:pt>
                <c:pt idx="8">
                  <c:v>862</c:v>
                </c:pt>
                <c:pt idx="9">
                  <c:v>869</c:v>
                </c:pt>
                <c:pt idx="10">
                  <c:v>1120</c:v>
                </c:pt>
                <c:pt idx="11">
                  <c:v>1146</c:v>
                </c:pt>
                <c:pt idx="12">
                  <c:v>1148</c:v>
                </c:pt>
                <c:pt idx="13">
                  <c:v>1304</c:v>
                </c:pt>
                <c:pt idx="14">
                  <c:v>1314</c:v>
                </c:pt>
                <c:pt idx="15">
                  <c:v>3844</c:v>
                </c:pt>
                <c:pt idx="16">
                  <c:v>4020</c:v>
                </c:pt>
                <c:pt idx="17">
                  <c:v>4672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7">
                  <c:v>0.19347200000629527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46-4C16-864F-2227706F9BD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444</c:v>
                </c:pt>
                <c:pt idx="4">
                  <c:v>530</c:v>
                </c:pt>
                <c:pt idx="5">
                  <c:v>663</c:v>
                </c:pt>
                <c:pt idx="6">
                  <c:v>787</c:v>
                </c:pt>
                <c:pt idx="7">
                  <c:v>794</c:v>
                </c:pt>
                <c:pt idx="8">
                  <c:v>862</c:v>
                </c:pt>
                <c:pt idx="9">
                  <c:v>869</c:v>
                </c:pt>
                <c:pt idx="10">
                  <c:v>1120</c:v>
                </c:pt>
                <c:pt idx="11">
                  <c:v>1146</c:v>
                </c:pt>
                <c:pt idx="12">
                  <c:v>1148</c:v>
                </c:pt>
                <c:pt idx="13">
                  <c:v>1304</c:v>
                </c:pt>
                <c:pt idx="14">
                  <c:v>1314</c:v>
                </c:pt>
                <c:pt idx="15">
                  <c:v>3844</c:v>
                </c:pt>
                <c:pt idx="16">
                  <c:v>4020</c:v>
                </c:pt>
                <c:pt idx="17">
                  <c:v>4672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46-4C16-864F-2227706F9BD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444</c:v>
                </c:pt>
                <c:pt idx="4">
                  <c:v>530</c:v>
                </c:pt>
                <c:pt idx="5">
                  <c:v>663</c:v>
                </c:pt>
                <c:pt idx="6">
                  <c:v>787</c:v>
                </c:pt>
                <c:pt idx="7">
                  <c:v>794</c:v>
                </c:pt>
                <c:pt idx="8">
                  <c:v>862</c:v>
                </c:pt>
                <c:pt idx="9">
                  <c:v>869</c:v>
                </c:pt>
                <c:pt idx="10">
                  <c:v>1120</c:v>
                </c:pt>
                <c:pt idx="11">
                  <c:v>1146</c:v>
                </c:pt>
                <c:pt idx="12">
                  <c:v>1148</c:v>
                </c:pt>
                <c:pt idx="13">
                  <c:v>1304</c:v>
                </c:pt>
                <c:pt idx="14">
                  <c:v>1314</c:v>
                </c:pt>
                <c:pt idx="15">
                  <c:v>3844</c:v>
                </c:pt>
                <c:pt idx="16">
                  <c:v>4020</c:v>
                </c:pt>
                <c:pt idx="17">
                  <c:v>4672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46-4C16-864F-2227706F9BD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1">
                    <c:v>0</c:v>
                  </c:pt>
                  <c:pt idx="15">
                    <c:v>5.9999999999999995E-4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444</c:v>
                </c:pt>
                <c:pt idx="4">
                  <c:v>530</c:v>
                </c:pt>
                <c:pt idx="5">
                  <c:v>663</c:v>
                </c:pt>
                <c:pt idx="6">
                  <c:v>787</c:v>
                </c:pt>
                <c:pt idx="7">
                  <c:v>794</c:v>
                </c:pt>
                <c:pt idx="8">
                  <c:v>862</c:v>
                </c:pt>
                <c:pt idx="9">
                  <c:v>869</c:v>
                </c:pt>
                <c:pt idx="10">
                  <c:v>1120</c:v>
                </c:pt>
                <c:pt idx="11">
                  <c:v>1146</c:v>
                </c:pt>
                <c:pt idx="12">
                  <c:v>1148</c:v>
                </c:pt>
                <c:pt idx="13">
                  <c:v>1304</c:v>
                </c:pt>
                <c:pt idx="14">
                  <c:v>1314</c:v>
                </c:pt>
                <c:pt idx="15">
                  <c:v>3844</c:v>
                </c:pt>
                <c:pt idx="16">
                  <c:v>4020</c:v>
                </c:pt>
                <c:pt idx="17">
                  <c:v>4672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46-4C16-864F-2227706F9BD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444</c:v>
                </c:pt>
                <c:pt idx="4">
                  <c:v>530</c:v>
                </c:pt>
                <c:pt idx="5">
                  <c:v>663</c:v>
                </c:pt>
                <c:pt idx="6">
                  <c:v>787</c:v>
                </c:pt>
                <c:pt idx="7">
                  <c:v>794</c:v>
                </c:pt>
                <c:pt idx="8">
                  <c:v>862</c:v>
                </c:pt>
                <c:pt idx="9">
                  <c:v>869</c:v>
                </c:pt>
                <c:pt idx="10">
                  <c:v>1120</c:v>
                </c:pt>
                <c:pt idx="11">
                  <c:v>1146</c:v>
                </c:pt>
                <c:pt idx="12">
                  <c:v>1148</c:v>
                </c:pt>
                <c:pt idx="13">
                  <c:v>1304</c:v>
                </c:pt>
                <c:pt idx="14">
                  <c:v>1314</c:v>
                </c:pt>
                <c:pt idx="15">
                  <c:v>3844</c:v>
                </c:pt>
                <c:pt idx="16">
                  <c:v>4020</c:v>
                </c:pt>
                <c:pt idx="17">
                  <c:v>4672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-4.4498538505980817E-2</c:v>
                </c:pt>
                <c:pt idx="1">
                  <c:v>-4.4498538505980817E-2</c:v>
                </c:pt>
                <c:pt idx="2">
                  <c:v>-3.4625431461328487E-2</c:v>
                </c:pt>
                <c:pt idx="3">
                  <c:v>-2.3010011408796334E-2</c:v>
                </c:pt>
                <c:pt idx="4">
                  <c:v>-1.8847819223305647E-2</c:v>
                </c:pt>
                <c:pt idx="5">
                  <c:v>-1.2410940610860746E-2</c:v>
                </c:pt>
                <c:pt idx="6">
                  <c:v>-6.4096402503858035E-3</c:v>
                </c:pt>
                <c:pt idx="7">
                  <c:v>-6.070857165520277E-3</c:v>
                </c:pt>
                <c:pt idx="8">
                  <c:v>-2.7798214839695051E-3</c:v>
                </c:pt>
                <c:pt idx="9">
                  <c:v>-2.4410383991039786E-3</c:v>
                </c:pt>
                <c:pt idx="10">
                  <c:v>9.7067550725025639E-3</c:v>
                </c:pt>
                <c:pt idx="11">
                  <c:v>1.0965092244860211E-2</c:v>
                </c:pt>
                <c:pt idx="12">
                  <c:v>1.1061887411964642E-2</c:v>
                </c:pt>
                <c:pt idx="13">
                  <c:v>1.8611910446110547E-2</c:v>
                </c:pt>
                <c:pt idx="14">
                  <c:v>1.9095886281632724E-2</c:v>
                </c:pt>
                <c:pt idx="15">
                  <c:v>0.14154177266874249</c:v>
                </c:pt>
                <c:pt idx="16">
                  <c:v>0.15005974737393274</c:v>
                </c:pt>
                <c:pt idx="17">
                  <c:v>0.18161497184997841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546-4C16-864F-2227706F9BD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204</c:v>
                </c:pt>
                <c:pt idx="3">
                  <c:v>444</c:v>
                </c:pt>
                <c:pt idx="4">
                  <c:v>530</c:v>
                </c:pt>
                <c:pt idx="5">
                  <c:v>663</c:v>
                </c:pt>
                <c:pt idx="6">
                  <c:v>787</c:v>
                </c:pt>
                <c:pt idx="7">
                  <c:v>794</c:v>
                </c:pt>
                <c:pt idx="8">
                  <c:v>862</c:v>
                </c:pt>
                <c:pt idx="9">
                  <c:v>869</c:v>
                </c:pt>
                <c:pt idx="10">
                  <c:v>1120</c:v>
                </c:pt>
                <c:pt idx="11">
                  <c:v>1146</c:v>
                </c:pt>
                <c:pt idx="12">
                  <c:v>1148</c:v>
                </c:pt>
                <c:pt idx="13">
                  <c:v>1304</c:v>
                </c:pt>
                <c:pt idx="14">
                  <c:v>1314</c:v>
                </c:pt>
                <c:pt idx="15">
                  <c:v>3844</c:v>
                </c:pt>
                <c:pt idx="16">
                  <c:v>4020</c:v>
                </c:pt>
                <c:pt idx="17">
                  <c:v>4672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14">
                  <c:v>0.56838900000730064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546-4C16-864F-2227706F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15520"/>
        <c:axId val="1"/>
      </c:scatterChart>
      <c:valAx>
        <c:axId val="470415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4155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097744360902255"/>
          <c:y val="0.92397937099967764"/>
          <c:w val="0.74586466165413534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16</xdr:col>
      <xdr:colOff>142875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FF788A60-3F3F-39E0-07F4-E096C1C2A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v-astro.de/sfs/BAVM_link.php?BAVMnr=225" TargetMode="External"/><Relationship Id="rId1" Type="http://schemas.openxmlformats.org/officeDocument/2006/relationships/hyperlink" Target="http://www.bav-astro.de/sfs/BAVM_link.php?BAVMnr=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E5" sqref="E5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7" ht="20.25" x14ac:dyDescent="0.3">
      <c r="A1" s="1" t="s">
        <v>42</v>
      </c>
      <c r="E1" s="30" t="s">
        <v>41</v>
      </c>
      <c r="F1" t="s">
        <v>47</v>
      </c>
    </row>
    <row r="2" spans="1:7" x14ac:dyDescent="0.2">
      <c r="A2" t="s">
        <v>24</v>
      </c>
      <c r="B2" t="s">
        <v>43</v>
      </c>
      <c r="C2" s="3"/>
      <c r="D2" s="3"/>
      <c r="E2">
        <v>0</v>
      </c>
    </row>
    <row r="3" spans="1:7" ht="13.5" thickBot="1" x14ac:dyDescent="0.25"/>
    <row r="4" spans="1:7" ht="14.25" thickTop="1" thickBot="1" x14ac:dyDescent="0.25">
      <c r="A4" s="5" t="s">
        <v>0</v>
      </c>
      <c r="C4" s="8">
        <v>33562.519999999997</v>
      </c>
      <c r="D4" s="9">
        <v>5.5337614999999998</v>
      </c>
    </row>
    <row r="5" spans="1:7" ht="13.5" thickTop="1" x14ac:dyDescent="0.2"/>
    <row r="6" spans="1:7" x14ac:dyDescent="0.2">
      <c r="A6" s="5" t="s">
        <v>1</v>
      </c>
    </row>
    <row r="7" spans="1:7" x14ac:dyDescent="0.2">
      <c r="A7" t="s">
        <v>2</v>
      </c>
      <c r="C7">
        <v>33562.519999999997</v>
      </c>
    </row>
    <row r="8" spans="1:7" x14ac:dyDescent="0.2">
      <c r="A8" t="s">
        <v>3</v>
      </c>
      <c r="C8">
        <v>5.5337614999999998</v>
      </c>
    </row>
    <row r="9" spans="1:7" x14ac:dyDescent="0.2">
      <c r="A9" s="11" t="s">
        <v>30</v>
      </c>
      <c r="B9" s="12"/>
      <c r="C9" s="13">
        <v>-9.5</v>
      </c>
      <c r="D9" s="12" t="s">
        <v>31</v>
      </c>
      <c r="E9" s="12"/>
    </row>
    <row r="10" spans="1:7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7" x14ac:dyDescent="0.2">
      <c r="A11" s="12" t="s">
        <v>15</v>
      </c>
      <c r="B11" s="12"/>
      <c r="C11" s="24">
        <f ca="1">INTERCEPT(INDIRECT($G$11):G992,INDIRECT($F$11):F992)</f>
        <v>-4.4498538505980817E-2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16</v>
      </c>
      <c r="B12" s="12"/>
      <c r="C12" s="24">
        <f ca="1">SLOPE(INDIRECT($G$11):G992,INDIRECT($F$11):F992)</f>
        <v>4.8397583552217301E-5</v>
      </c>
      <c r="D12" s="3"/>
      <c r="E12" s="12"/>
    </row>
    <row r="13" spans="1:7" x14ac:dyDescent="0.2">
      <c r="A13" s="12" t="s">
        <v>19</v>
      </c>
      <c r="B13" s="12"/>
      <c r="C13" s="3" t="s">
        <v>13</v>
      </c>
      <c r="D13" s="16" t="s">
        <v>39</v>
      </c>
      <c r="E13" s="13">
        <v>1</v>
      </c>
    </row>
    <row r="14" spans="1:7" x14ac:dyDescent="0.2">
      <c r="A14" s="12"/>
      <c r="B14" s="12"/>
      <c r="C14" s="12"/>
      <c r="D14" s="16" t="s">
        <v>32</v>
      </c>
      <c r="E14" s="17">
        <f ca="1">NOW()+15018.5+$C$9/24</f>
        <v>59961.593366550922</v>
      </c>
    </row>
    <row r="15" spans="1:7" x14ac:dyDescent="0.2">
      <c r="A15" s="14" t="s">
        <v>17</v>
      </c>
      <c r="B15" s="12"/>
      <c r="C15" s="15">
        <f ca="1">(C7+C11)+(C8+C12)*INT(MAX(F21:F3533))</f>
        <v>59416.435342971847</v>
      </c>
      <c r="D15" s="16" t="s">
        <v>40</v>
      </c>
      <c r="E15" s="17">
        <f ca="1">ROUND(2*(E14-$C$7)/$C$8,0)/2+E13</f>
        <v>4771.5</v>
      </c>
    </row>
    <row r="16" spans="1:7" x14ac:dyDescent="0.2">
      <c r="A16" s="18" t="s">
        <v>4</v>
      </c>
      <c r="B16" s="12"/>
      <c r="C16" s="19">
        <f ca="1">+C8+C12</f>
        <v>5.5338098975835521</v>
      </c>
      <c r="D16" s="16" t="s">
        <v>33</v>
      </c>
      <c r="E16" s="26">
        <f ca="1">ROUND(2*(E14-$C$15)/$C$16,0)/2+E13</f>
        <v>99.5</v>
      </c>
    </row>
    <row r="17" spans="1:21" ht="13.5" thickBot="1" x14ac:dyDescent="0.25">
      <c r="A17" s="16" t="s">
        <v>29</v>
      </c>
      <c r="B17" s="12"/>
      <c r="C17" s="12">
        <f>COUNT(C21:C2191)</f>
        <v>18</v>
      </c>
      <c r="D17" s="16" t="s">
        <v>34</v>
      </c>
      <c r="E17" s="20">
        <f ca="1">+$C$15+$C$16*E16-15018.5-$C$9/24</f>
        <v>44948.945261114743</v>
      </c>
    </row>
    <row r="18" spans="1:21" ht="14.25" thickTop="1" thickBot="1" x14ac:dyDescent="0.25">
      <c r="A18" s="18" t="s">
        <v>5</v>
      </c>
      <c r="B18" s="12"/>
      <c r="C18" s="21">
        <f ca="1">+C15</f>
        <v>59416.435342971847</v>
      </c>
      <c r="D18" s="22">
        <f ca="1">+C16</f>
        <v>5.5338098975835521</v>
      </c>
      <c r="E18" s="23" t="s">
        <v>35</v>
      </c>
    </row>
    <row r="19" spans="1:21" ht="13.5" thickTop="1" x14ac:dyDescent="0.2">
      <c r="A19" s="27" t="s">
        <v>36</v>
      </c>
      <c r="E19" s="28">
        <v>21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37</v>
      </c>
      <c r="I20" s="7" t="s">
        <v>28</v>
      </c>
      <c r="J20" s="7" t="s">
        <v>18</v>
      </c>
      <c r="K20" s="7" t="s">
        <v>117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14</v>
      </c>
      <c r="U20" s="29" t="s">
        <v>38</v>
      </c>
    </row>
    <row r="21" spans="1:21" x14ac:dyDescent="0.2">
      <c r="A21" s="46" t="s">
        <v>64</v>
      </c>
      <c r="B21" s="48" t="s">
        <v>46</v>
      </c>
      <c r="C21" s="47">
        <v>33562.463000000003</v>
      </c>
      <c r="D21" s="10"/>
      <c r="E21">
        <f t="shared" ref="E21:E37" si="0">+(C21-C$7)/C$8</f>
        <v>-1.0300407777498639E-2</v>
      </c>
      <c r="F21">
        <f t="shared" ref="F21:F37" si="1">ROUND(2*E21,0)/2</f>
        <v>0</v>
      </c>
      <c r="G21">
        <f t="shared" ref="G21:G34" si="2">+C21-(C$7+F21*C$8)</f>
        <v>-5.6999999993422534E-2</v>
      </c>
      <c r="J21">
        <f>+G21</f>
        <v>-5.6999999993422534E-2</v>
      </c>
      <c r="O21">
        <f t="shared" ref="O21:O37" ca="1" si="3">+C$11+C$12*$F21</f>
        <v>-4.4498538505980817E-2</v>
      </c>
      <c r="Q21" s="2">
        <f t="shared" ref="Q21:Q37" si="4">+C21-15018.5</f>
        <v>18543.963000000003</v>
      </c>
    </row>
    <row r="22" spans="1:21" x14ac:dyDescent="0.2">
      <c r="A22" t="s">
        <v>44</v>
      </c>
      <c r="C22" s="10">
        <v>33562.519999999997</v>
      </c>
      <c r="D22" s="10" t="s">
        <v>13</v>
      </c>
      <c r="E22">
        <f t="shared" si="0"/>
        <v>0</v>
      </c>
      <c r="F22">
        <f t="shared" si="1"/>
        <v>0</v>
      </c>
      <c r="G22">
        <f t="shared" si="2"/>
        <v>0</v>
      </c>
      <c r="H22">
        <f>+G22</f>
        <v>0</v>
      </c>
      <c r="O22">
        <f t="shared" ca="1" si="3"/>
        <v>-4.4498538505980817E-2</v>
      </c>
      <c r="Q22" s="2">
        <f t="shared" si="4"/>
        <v>18544.019999999997</v>
      </c>
    </row>
    <row r="23" spans="1:21" x14ac:dyDescent="0.2">
      <c r="A23" s="46" t="s">
        <v>64</v>
      </c>
      <c r="B23" s="48" t="s">
        <v>46</v>
      </c>
      <c r="C23" s="47">
        <v>34691.319000000003</v>
      </c>
      <c r="D23" s="10"/>
      <c r="E23">
        <f t="shared" si="0"/>
        <v>203.98403509077983</v>
      </c>
      <c r="F23">
        <f t="shared" si="1"/>
        <v>204</v>
      </c>
      <c r="G23">
        <f t="shared" si="2"/>
        <v>-8.8345999996818136E-2</v>
      </c>
      <c r="J23">
        <f t="shared" ref="J23:J34" si="5">+G23</f>
        <v>-8.8345999996818136E-2</v>
      </c>
      <c r="O23">
        <f t="shared" ca="1" si="3"/>
        <v>-3.4625431461328487E-2</v>
      </c>
      <c r="Q23" s="2">
        <f t="shared" si="4"/>
        <v>19672.819000000003</v>
      </c>
    </row>
    <row r="24" spans="1:21" x14ac:dyDescent="0.2">
      <c r="A24" s="46" t="s">
        <v>72</v>
      </c>
      <c r="B24" s="48" t="s">
        <v>46</v>
      </c>
      <c r="C24" s="47">
        <v>36019.504999999997</v>
      </c>
      <c r="D24" s="10"/>
      <c r="E24">
        <f t="shared" si="0"/>
        <v>443.99907730031384</v>
      </c>
      <c r="F24">
        <f t="shared" si="1"/>
        <v>444</v>
      </c>
      <c r="G24">
        <f t="shared" si="2"/>
        <v>-5.1059999968856573E-3</v>
      </c>
      <c r="J24">
        <f t="shared" si="5"/>
        <v>-5.1059999968856573E-3</v>
      </c>
      <c r="O24">
        <f t="shared" ca="1" si="3"/>
        <v>-2.3010011408796334E-2</v>
      </c>
      <c r="Q24" s="2">
        <f t="shared" si="4"/>
        <v>21001.004999999997</v>
      </c>
    </row>
    <row r="25" spans="1:21" x14ac:dyDescent="0.2">
      <c r="A25" s="46" t="s">
        <v>72</v>
      </c>
      <c r="B25" s="48" t="s">
        <v>46</v>
      </c>
      <c r="C25" s="47">
        <v>36495.455000000002</v>
      </c>
      <c r="D25" s="10"/>
      <c r="E25">
        <f t="shared" si="0"/>
        <v>530.00748225235316</v>
      </c>
      <c r="F25">
        <f t="shared" si="1"/>
        <v>530</v>
      </c>
      <c r="G25">
        <f t="shared" si="2"/>
        <v>4.1405000003578607E-2</v>
      </c>
      <c r="J25">
        <f t="shared" si="5"/>
        <v>4.1405000003578607E-2</v>
      </c>
      <c r="O25">
        <f t="shared" ca="1" si="3"/>
        <v>-1.8847819223305647E-2</v>
      </c>
      <c r="Q25" s="2">
        <f t="shared" si="4"/>
        <v>21476.955000000002</v>
      </c>
    </row>
    <row r="26" spans="1:21" x14ac:dyDescent="0.2">
      <c r="A26" s="46" t="s">
        <v>72</v>
      </c>
      <c r="B26" s="48" t="s">
        <v>46</v>
      </c>
      <c r="C26" s="47">
        <v>37231.451999999997</v>
      </c>
      <c r="D26" s="10"/>
      <c r="E26">
        <f t="shared" si="0"/>
        <v>663.0086967065713</v>
      </c>
      <c r="F26">
        <f t="shared" si="1"/>
        <v>663</v>
      </c>
      <c r="G26">
        <f t="shared" si="2"/>
        <v>4.8125499997695442E-2</v>
      </c>
      <c r="J26">
        <f t="shared" si="5"/>
        <v>4.8125499997695442E-2</v>
      </c>
      <c r="O26">
        <f t="shared" ca="1" si="3"/>
        <v>-1.2410940610860746E-2</v>
      </c>
      <c r="Q26" s="2">
        <f t="shared" si="4"/>
        <v>22212.951999999997</v>
      </c>
    </row>
    <row r="27" spans="1:21" x14ac:dyDescent="0.2">
      <c r="A27" s="46" t="s">
        <v>72</v>
      </c>
      <c r="B27" s="48" t="s">
        <v>46</v>
      </c>
      <c r="C27" s="47">
        <v>37917.565999999999</v>
      </c>
      <c r="D27" s="10"/>
      <c r="E27">
        <f t="shared" si="0"/>
        <v>786.99560868317189</v>
      </c>
      <c r="F27">
        <f t="shared" si="1"/>
        <v>787</v>
      </c>
      <c r="G27">
        <f t="shared" si="2"/>
        <v>-2.4300500001118053E-2</v>
      </c>
      <c r="J27">
        <f t="shared" si="5"/>
        <v>-2.4300500001118053E-2</v>
      </c>
      <c r="O27">
        <f t="shared" ca="1" si="3"/>
        <v>-6.4096402503858035E-3</v>
      </c>
      <c r="Q27" s="2">
        <f t="shared" si="4"/>
        <v>22899.065999999999</v>
      </c>
    </row>
    <row r="28" spans="1:21" x14ac:dyDescent="0.2">
      <c r="A28" s="46" t="s">
        <v>72</v>
      </c>
      <c r="B28" s="48" t="s">
        <v>46</v>
      </c>
      <c r="C28" s="47">
        <v>37956.31</v>
      </c>
      <c r="D28" s="10"/>
      <c r="E28">
        <f t="shared" si="0"/>
        <v>793.99699463014463</v>
      </c>
      <c r="F28">
        <f t="shared" si="1"/>
        <v>794</v>
      </c>
      <c r="G28">
        <f t="shared" si="2"/>
        <v>-1.6630999998596963E-2</v>
      </c>
      <c r="J28">
        <f t="shared" si="5"/>
        <v>-1.6630999998596963E-2</v>
      </c>
      <c r="O28">
        <f t="shared" ca="1" si="3"/>
        <v>-6.070857165520277E-3</v>
      </c>
      <c r="Q28" s="2">
        <f t="shared" si="4"/>
        <v>22937.809999999998</v>
      </c>
    </row>
    <row r="29" spans="1:21" x14ac:dyDescent="0.2">
      <c r="A29" s="46" t="s">
        <v>72</v>
      </c>
      <c r="B29" s="48" t="s">
        <v>46</v>
      </c>
      <c r="C29" s="47">
        <v>38332.660000000003</v>
      </c>
      <c r="D29" s="10"/>
      <c r="E29">
        <f t="shared" si="0"/>
        <v>862.00679230574121</v>
      </c>
      <c r="F29">
        <f t="shared" si="1"/>
        <v>862</v>
      </c>
      <c r="G29">
        <f t="shared" si="2"/>
        <v>3.7587000006169546E-2</v>
      </c>
      <c r="J29">
        <f t="shared" si="5"/>
        <v>3.7587000006169546E-2</v>
      </c>
      <c r="O29">
        <f t="shared" ca="1" si="3"/>
        <v>-2.7798214839695051E-3</v>
      </c>
      <c r="Q29" s="2">
        <f t="shared" si="4"/>
        <v>23314.160000000003</v>
      </c>
    </row>
    <row r="30" spans="1:21" x14ac:dyDescent="0.2">
      <c r="A30" s="46" t="s">
        <v>72</v>
      </c>
      <c r="B30" s="48" t="s">
        <v>46</v>
      </c>
      <c r="C30" s="47">
        <v>38371.271999999997</v>
      </c>
      <c r="D30" s="10"/>
      <c r="E30">
        <f t="shared" si="0"/>
        <v>868.98432467680448</v>
      </c>
      <c r="F30">
        <f t="shared" si="1"/>
        <v>869</v>
      </c>
      <c r="G30">
        <f t="shared" si="2"/>
        <v>-8.674349999637343E-2</v>
      </c>
      <c r="J30">
        <f t="shared" si="5"/>
        <v>-8.674349999637343E-2</v>
      </c>
      <c r="O30">
        <f t="shared" ca="1" si="3"/>
        <v>-2.4410383991039786E-3</v>
      </c>
      <c r="Q30" s="2">
        <f t="shared" si="4"/>
        <v>23352.771999999997</v>
      </c>
    </row>
    <row r="31" spans="1:21" x14ac:dyDescent="0.2">
      <c r="A31" s="46" t="s">
        <v>72</v>
      </c>
      <c r="B31" s="48" t="s">
        <v>46</v>
      </c>
      <c r="C31" s="47">
        <v>39760.334999999999</v>
      </c>
      <c r="D31" s="10"/>
      <c r="E31">
        <f t="shared" si="0"/>
        <v>1120.0003831028862</v>
      </c>
      <c r="F31">
        <f t="shared" si="1"/>
        <v>1120</v>
      </c>
      <c r="G31">
        <f t="shared" si="2"/>
        <v>2.1200000046519563E-3</v>
      </c>
      <c r="J31">
        <f t="shared" si="5"/>
        <v>2.1200000046519563E-3</v>
      </c>
      <c r="O31">
        <f t="shared" ca="1" si="3"/>
        <v>9.7067550725025639E-3</v>
      </c>
      <c r="Q31" s="2">
        <f t="shared" si="4"/>
        <v>24741.834999999999</v>
      </c>
    </row>
    <row r="32" spans="1:21" x14ac:dyDescent="0.2">
      <c r="A32" s="46" t="s">
        <v>72</v>
      </c>
      <c r="B32" s="48" t="s">
        <v>46</v>
      </c>
      <c r="C32" s="47">
        <v>39904.26</v>
      </c>
      <c r="D32" s="10"/>
      <c r="E32">
        <f t="shared" si="0"/>
        <v>1146.0089127440722</v>
      </c>
      <c r="F32">
        <f t="shared" si="1"/>
        <v>1146</v>
      </c>
      <c r="G32">
        <f t="shared" si="2"/>
        <v>4.9321000005875248E-2</v>
      </c>
      <c r="J32">
        <f t="shared" si="5"/>
        <v>4.9321000005875248E-2</v>
      </c>
      <c r="O32">
        <f t="shared" ca="1" si="3"/>
        <v>1.0965092244860211E-2</v>
      </c>
      <c r="Q32" s="2">
        <f t="shared" si="4"/>
        <v>24885.760000000002</v>
      </c>
    </row>
    <row r="33" spans="1:21" x14ac:dyDescent="0.2">
      <c r="A33" s="46" t="s">
        <v>72</v>
      </c>
      <c r="B33" s="48" t="s">
        <v>46</v>
      </c>
      <c r="C33" s="47">
        <v>39915.273000000001</v>
      </c>
      <c r="D33" s="10"/>
      <c r="E33">
        <f t="shared" si="0"/>
        <v>1147.9990599522594</v>
      </c>
      <c r="F33">
        <f t="shared" si="1"/>
        <v>1148</v>
      </c>
      <c r="G33">
        <f t="shared" si="2"/>
        <v>-5.2019999930053018E-3</v>
      </c>
      <c r="J33">
        <f t="shared" si="5"/>
        <v>-5.2019999930053018E-3</v>
      </c>
      <c r="O33">
        <f t="shared" ca="1" si="3"/>
        <v>1.1061887411964642E-2</v>
      </c>
      <c r="Q33" s="2">
        <f t="shared" si="4"/>
        <v>24896.773000000001</v>
      </c>
    </row>
    <row r="34" spans="1:21" x14ac:dyDescent="0.2">
      <c r="A34" s="46" t="s">
        <v>72</v>
      </c>
      <c r="B34" s="48" t="s">
        <v>46</v>
      </c>
      <c r="C34" s="47">
        <v>40778.487999999998</v>
      </c>
      <c r="D34" s="10"/>
      <c r="E34">
        <f t="shared" si="0"/>
        <v>1303.9897003150572</v>
      </c>
      <c r="F34">
        <f t="shared" si="1"/>
        <v>1304</v>
      </c>
      <c r="G34">
        <f t="shared" si="2"/>
        <v>-5.6995999999344349E-2</v>
      </c>
      <c r="J34">
        <f t="shared" si="5"/>
        <v>-5.6995999999344349E-2</v>
      </c>
      <c r="O34">
        <f t="shared" ca="1" si="3"/>
        <v>1.8611910446110547E-2</v>
      </c>
      <c r="Q34" s="2">
        <f t="shared" si="4"/>
        <v>25759.987999999998</v>
      </c>
    </row>
    <row r="35" spans="1:21" x14ac:dyDescent="0.2">
      <c r="A35" s="46" t="s">
        <v>72</v>
      </c>
      <c r="B35" s="48" t="s">
        <v>46</v>
      </c>
      <c r="C35" s="47">
        <v>40834.451000000001</v>
      </c>
      <c r="D35" s="10"/>
      <c r="E35">
        <f t="shared" si="0"/>
        <v>1314.1027129557363</v>
      </c>
      <c r="F35">
        <f t="shared" si="1"/>
        <v>1314</v>
      </c>
      <c r="O35">
        <f t="shared" ca="1" si="3"/>
        <v>1.9095886281632724E-2</v>
      </c>
      <c r="Q35" s="2">
        <f t="shared" si="4"/>
        <v>25815.951000000001</v>
      </c>
      <c r="U35">
        <f>+C35-(C$7+F35*C$8)</f>
        <v>0.56838900000730064</v>
      </c>
    </row>
    <row r="36" spans="1:21" x14ac:dyDescent="0.2">
      <c r="A36" s="31" t="s">
        <v>45</v>
      </c>
      <c r="B36" s="32" t="s">
        <v>46</v>
      </c>
      <c r="C36" s="31">
        <v>54834.443399999996</v>
      </c>
      <c r="D36" s="31">
        <v>5.9999999999999995E-4</v>
      </c>
      <c r="E36">
        <f t="shared" si="0"/>
        <v>3844.0260571403378</v>
      </c>
      <c r="F36">
        <f t="shared" si="1"/>
        <v>3844</v>
      </c>
      <c r="G36">
        <f>+C36-(C$7+F36*C$8)</f>
        <v>0.14419400000042515</v>
      </c>
      <c r="I36">
        <f>+G36</f>
        <v>0.14419400000042515</v>
      </c>
      <c r="O36">
        <f t="shared" ca="1" si="3"/>
        <v>0.14154177266874249</v>
      </c>
      <c r="Q36" s="2">
        <f t="shared" si="4"/>
        <v>39815.943399999996</v>
      </c>
    </row>
    <row r="37" spans="1:21" x14ac:dyDescent="0.2">
      <c r="A37" s="46" t="s">
        <v>115</v>
      </c>
      <c r="B37" s="48" t="s">
        <v>46</v>
      </c>
      <c r="C37" s="47">
        <v>55808.393300000003</v>
      </c>
      <c r="D37" s="10"/>
      <c r="E37">
        <f t="shared" si="0"/>
        <v>4020.0274804037012</v>
      </c>
      <c r="F37">
        <f t="shared" si="1"/>
        <v>4020</v>
      </c>
      <c r="G37">
        <f>+C37-(C$7+F37*C$8)</f>
        <v>0.15207000000373228</v>
      </c>
      <c r="J37">
        <f>+G37</f>
        <v>0.15207000000373228</v>
      </c>
      <c r="O37">
        <f t="shared" ca="1" si="3"/>
        <v>0.15005974737393274</v>
      </c>
      <c r="Q37" s="2">
        <f t="shared" si="4"/>
        <v>40789.893300000003</v>
      </c>
    </row>
    <row r="38" spans="1:21" x14ac:dyDescent="0.2">
      <c r="A38" s="49" t="s">
        <v>116</v>
      </c>
      <c r="B38" s="50" t="s">
        <v>46</v>
      </c>
      <c r="C38" s="51">
        <v>59416.447200000002</v>
      </c>
      <c r="D38" s="49">
        <v>1.8E-3</v>
      </c>
      <c r="E38">
        <f t="shared" ref="E38" si="6">+(C38-C$7)/C$8</f>
        <v>4672.0349621139267</v>
      </c>
      <c r="F38">
        <f t="shared" ref="F38" si="7">ROUND(2*E38,0)/2</f>
        <v>4672</v>
      </c>
      <c r="G38">
        <f>+C38-(C$7+F38*C$8)</f>
        <v>0.19347200000629527</v>
      </c>
      <c r="K38">
        <f>+G38</f>
        <v>0.19347200000629527</v>
      </c>
      <c r="O38">
        <f t="shared" ref="O38" ca="1" si="8">+C$11+C$12*$F38</f>
        <v>0.18161497184997841</v>
      </c>
      <c r="Q38" s="2">
        <f t="shared" ref="Q38" si="9">+C38-15018.5</f>
        <v>44397.947200000002</v>
      </c>
    </row>
    <row r="39" spans="1:21" x14ac:dyDescent="0.2">
      <c r="C39" s="10"/>
      <c r="D39" s="10"/>
    </row>
    <row r="40" spans="1:21" x14ac:dyDescent="0.2">
      <c r="C40" s="10"/>
      <c r="D40" s="10"/>
    </row>
    <row r="41" spans="1:21" x14ac:dyDescent="0.2">
      <c r="C41" s="10"/>
      <c r="D41" s="10"/>
    </row>
    <row r="42" spans="1:21" x14ac:dyDescent="0.2">
      <c r="C42" s="10"/>
      <c r="D42" s="10"/>
    </row>
    <row r="43" spans="1:21" x14ac:dyDescent="0.2">
      <c r="C43" s="10"/>
      <c r="D43" s="10"/>
    </row>
    <row r="44" spans="1:21" x14ac:dyDescent="0.2">
      <c r="C44" s="10"/>
      <c r="D44" s="10"/>
    </row>
    <row r="45" spans="1:21" x14ac:dyDescent="0.2">
      <c r="C45" s="10"/>
      <c r="D45" s="10"/>
    </row>
    <row r="46" spans="1:21" x14ac:dyDescent="0.2">
      <c r="C46" s="10"/>
      <c r="D46" s="10"/>
    </row>
    <row r="47" spans="1:21" x14ac:dyDescent="0.2">
      <c r="C47" s="10"/>
      <c r="D47" s="10"/>
    </row>
    <row r="48" spans="1:21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1"/>
  <sheetViews>
    <sheetView workbookViewId="0">
      <selection activeCell="A12" sqref="A12:C26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3" t="s">
        <v>48</v>
      </c>
      <c r="I1" s="34" t="s">
        <v>49</v>
      </c>
      <c r="J1" s="35" t="s">
        <v>50</v>
      </c>
    </row>
    <row r="2" spans="1:16" x14ac:dyDescent="0.2">
      <c r="I2" s="36" t="s">
        <v>51</v>
      </c>
      <c r="J2" s="37" t="s">
        <v>52</v>
      </c>
    </row>
    <row r="3" spans="1:16" x14ac:dyDescent="0.2">
      <c r="A3" s="38" t="s">
        <v>53</v>
      </c>
      <c r="I3" s="36" t="s">
        <v>54</v>
      </c>
      <c r="J3" s="37" t="s">
        <v>55</v>
      </c>
    </row>
    <row r="4" spans="1:16" x14ac:dyDescent="0.2">
      <c r="I4" s="36" t="s">
        <v>56</v>
      </c>
      <c r="J4" s="37" t="s">
        <v>55</v>
      </c>
    </row>
    <row r="5" spans="1:16" ht="13.5" thickBot="1" x14ac:dyDescent="0.25">
      <c r="I5" s="39" t="s">
        <v>57</v>
      </c>
      <c r="J5" s="40" t="s">
        <v>58</v>
      </c>
    </row>
    <row r="10" spans="1:16" ht="13.5" thickBot="1" x14ac:dyDescent="0.25"/>
    <row r="11" spans="1:16" ht="12.75" customHeight="1" thickBot="1" x14ac:dyDescent="0.25">
      <c r="A11" s="10" t="str">
        <f t="shared" ref="A11:A26" si="0">P11</f>
        <v>BAVM 209 </v>
      </c>
      <c r="B11" s="3" t="str">
        <f t="shared" ref="B11:B26" si="1">IF(H11=INT(H11),"I","II")</f>
        <v>I</v>
      </c>
      <c r="C11" s="10">
        <f t="shared" ref="C11:C26" si="2">1*G11</f>
        <v>54834.443399999996</v>
      </c>
      <c r="D11" s="12" t="str">
        <f t="shared" ref="D11:D26" si="3">VLOOKUP(F11,I$1:J$5,2,FALSE)</f>
        <v>vis</v>
      </c>
      <c r="E11" s="41">
        <f>VLOOKUP(C11,Active!C$21:E$973,3,FALSE)</f>
        <v>3844.0260571403378</v>
      </c>
      <c r="F11" s="3" t="s">
        <v>57</v>
      </c>
      <c r="G11" s="12" t="str">
        <f t="shared" ref="G11:G26" si="4">MID(I11,3,LEN(I11)-3)</f>
        <v>54834.4434</v>
      </c>
      <c r="H11" s="10">
        <f t="shared" ref="H11:H26" si="5">1*K11</f>
        <v>3844</v>
      </c>
      <c r="I11" s="42" t="s">
        <v>104</v>
      </c>
      <c r="J11" s="43" t="s">
        <v>105</v>
      </c>
      <c r="K11" s="42">
        <v>3844</v>
      </c>
      <c r="L11" s="42" t="s">
        <v>106</v>
      </c>
      <c r="M11" s="43" t="s">
        <v>107</v>
      </c>
      <c r="N11" s="43" t="s">
        <v>108</v>
      </c>
      <c r="O11" s="44" t="s">
        <v>109</v>
      </c>
      <c r="P11" s="45" t="s">
        <v>110</v>
      </c>
    </row>
    <row r="12" spans="1:16" ht="12.75" customHeight="1" thickBot="1" x14ac:dyDescent="0.25">
      <c r="A12" s="10" t="str">
        <f t="shared" si="0"/>
        <v> RIA 8.305 </v>
      </c>
      <c r="B12" s="3" t="str">
        <f t="shared" si="1"/>
        <v>I</v>
      </c>
      <c r="C12" s="10">
        <f t="shared" si="2"/>
        <v>33562.463000000003</v>
      </c>
      <c r="D12" s="12" t="str">
        <f t="shared" si="3"/>
        <v>vis</v>
      </c>
      <c r="E12" s="41">
        <f>VLOOKUP(C12,Active!C$21:E$973,3,FALSE)</f>
        <v>-1.0300407777498639E-2</v>
      </c>
      <c r="F12" s="3" t="s">
        <v>57</v>
      </c>
      <c r="G12" s="12" t="str">
        <f t="shared" si="4"/>
        <v>33562.463</v>
      </c>
      <c r="H12" s="10">
        <f t="shared" si="5"/>
        <v>0</v>
      </c>
      <c r="I12" s="42" t="s">
        <v>59</v>
      </c>
      <c r="J12" s="43" t="s">
        <v>60</v>
      </c>
      <c r="K12" s="42">
        <v>0</v>
      </c>
      <c r="L12" s="42" t="s">
        <v>61</v>
      </c>
      <c r="M12" s="43" t="s">
        <v>62</v>
      </c>
      <c r="N12" s="43"/>
      <c r="O12" s="44" t="s">
        <v>63</v>
      </c>
      <c r="P12" s="44" t="s">
        <v>64</v>
      </c>
    </row>
    <row r="13" spans="1:16" ht="12.75" customHeight="1" thickBot="1" x14ac:dyDescent="0.25">
      <c r="A13" s="10" t="str">
        <f t="shared" si="0"/>
        <v> RIA 8.305 </v>
      </c>
      <c r="B13" s="3" t="str">
        <f t="shared" si="1"/>
        <v>I</v>
      </c>
      <c r="C13" s="10">
        <f t="shared" si="2"/>
        <v>34691.319000000003</v>
      </c>
      <c r="D13" s="12" t="str">
        <f t="shared" si="3"/>
        <v>vis</v>
      </c>
      <c r="E13" s="41">
        <f>VLOOKUP(C13,Active!C$21:E$973,3,FALSE)</f>
        <v>203.98403509077983</v>
      </c>
      <c r="F13" s="3" t="s">
        <v>57</v>
      </c>
      <c r="G13" s="12" t="str">
        <f t="shared" si="4"/>
        <v>34691.319</v>
      </c>
      <c r="H13" s="10">
        <f t="shared" si="5"/>
        <v>204</v>
      </c>
      <c r="I13" s="42" t="s">
        <v>65</v>
      </c>
      <c r="J13" s="43" t="s">
        <v>66</v>
      </c>
      <c r="K13" s="42">
        <v>204</v>
      </c>
      <c r="L13" s="42" t="s">
        <v>67</v>
      </c>
      <c r="M13" s="43" t="s">
        <v>62</v>
      </c>
      <c r="N13" s="43"/>
      <c r="O13" s="44" t="s">
        <v>63</v>
      </c>
      <c r="P13" s="44" t="s">
        <v>64</v>
      </c>
    </row>
    <row r="14" spans="1:16" ht="12.75" customHeight="1" thickBot="1" x14ac:dyDescent="0.25">
      <c r="A14" s="10" t="str">
        <f t="shared" si="0"/>
        <v> MHAR 6 </v>
      </c>
      <c r="B14" s="3" t="str">
        <f t="shared" si="1"/>
        <v>I</v>
      </c>
      <c r="C14" s="10">
        <f t="shared" si="2"/>
        <v>36019.504999999997</v>
      </c>
      <c r="D14" s="12" t="str">
        <f t="shared" si="3"/>
        <v>vis</v>
      </c>
      <c r="E14" s="41">
        <f>VLOOKUP(C14,Active!C$21:E$973,3,FALSE)</f>
        <v>443.99907730031384</v>
      </c>
      <c r="F14" s="3" t="s">
        <v>57</v>
      </c>
      <c r="G14" s="12" t="str">
        <f t="shared" si="4"/>
        <v>36019.505</v>
      </c>
      <c r="H14" s="10">
        <f t="shared" si="5"/>
        <v>444</v>
      </c>
      <c r="I14" s="42" t="s">
        <v>68</v>
      </c>
      <c r="J14" s="43" t="s">
        <v>69</v>
      </c>
      <c r="K14" s="42">
        <v>444</v>
      </c>
      <c r="L14" s="42" t="s">
        <v>70</v>
      </c>
      <c r="M14" s="43" t="s">
        <v>62</v>
      </c>
      <c r="N14" s="43"/>
      <c r="O14" s="44" t="s">
        <v>71</v>
      </c>
      <c r="P14" s="44" t="s">
        <v>72</v>
      </c>
    </row>
    <row r="15" spans="1:16" ht="12.75" customHeight="1" thickBot="1" x14ac:dyDescent="0.25">
      <c r="A15" s="10" t="str">
        <f t="shared" si="0"/>
        <v> MHAR 6 </v>
      </c>
      <c r="B15" s="3" t="str">
        <f t="shared" si="1"/>
        <v>I</v>
      </c>
      <c r="C15" s="10">
        <f t="shared" si="2"/>
        <v>36495.455000000002</v>
      </c>
      <c r="D15" s="12" t="str">
        <f t="shared" si="3"/>
        <v>vis</v>
      </c>
      <c r="E15" s="41">
        <f>VLOOKUP(C15,Active!C$21:E$973,3,FALSE)</f>
        <v>530.00748225235316</v>
      </c>
      <c r="F15" s="3" t="s">
        <v>57</v>
      </c>
      <c r="G15" s="12" t="str">
        <f t="shared" si="4"/>
        <v>36495.455</v>
      </c>
      <c r="H15" s="10">
        <f t="shared" si="5"/>
        <v>530</v>
      </c>
      <c r="I15" s="42" t="s">
        <v>73</v>
      </c>
      <c r="J15" s="43" t="s">
        <v>74</v>
      </c>
      <c r="K15" s="42">
        <v>530</v>
      </c>
      <c r="L15" s="42" t="s">
        <v>75</v>
      </c>
      <c r="M15" s="43" t="s">
        <v>62</v>
      </c>
      <c r="N15" s="43"/>
      <c r="O15" s="44" t="s">
        <v>71</v>
      </c>
      <c r="P15" s="44" t="s">
        <v>72</v>
      </c>
    </row>
    <row r="16" spans="1:16" ht="12.75" customHeight="1" thickBot="1" x14ac:dyDescent="0.25">
      <c r="A16" s="10" t="str">
        <f t="shared" si="0"/>
        <v> MHAR 6 </v>
      </c>
      <c r="B16" s="3" t="str">
        <f t="shared" si="1"/>
        <v>I</v>
      </c>
      <c r="C16" s="10">
        <f t="shared" si="2"/>
        <v>37231.451999999997</v>
      </c>
      <c r="D16" s="12" t="str">
        <f t="shared" si="3"/>
        <v>vis</v>
      </c>
      <c r="E16" s="41">
        <f>VLOOKUP(C16,Active!C$21:E$973,3,FALSE)</f>
        <v>663.0086967065713</v>
      </c>
      <c r="F16" s="3" t="s">
        <v>57</v>
      </c>
      <c r="G16" s="12" t="str">
        <f t="shared" si="4"/>
        <v>37231.452</v>
      </c>
      <c r="H16" s="10">
        <f t="shared" si="5"/>
        <v>663</v>
      </c>
      <c r="I16" s="42" t="s">
        <v>76</v>
      </c>
      <c r="J16" s="43" t="s">
        <v>77</v>
      </c>
      <c r="K16" s="42">
        <v>663</v>
      </c>
      <c r="L16" s="42" t="s">
        <v>78</v>
      </c>
      <c r="M16" s="43" t="s">
        <v>62</v>
      </c>
      <c r="N16" s="43"/>
      <c r="O16" s="44" t="s">
        <v>71</v>
      </c>
      <c r="P16" s="44" t="s">
        <v>72</v>
      </c>
    </row>
    <row r="17" spans="1:16" ht="12.75" customHeight="1" thickBot="1" x14ac:dyDescent="0.25">
      <c r="A17" s="10" t="str">
        <f t="shared" si="0"/>
        <v> MHAR 6 </v>
      </c>
      <c r="B17" s="3" t="str">
        <f t="shared" si="1"/>
        <v>I</v>
      </c>
      <c r="C17" s="10">
        <f t="shared" si="2"/>
        <v>37917.565999999999</v>
      </c>
      <c r="D17" s="12" t="str">
        <f t="shared" si="3"/>
        <v>vis</v>
      </c>
      <c r="E17" s="41">
        <f>VLOOKUP(C17,Active!C$21:E$973,3,FALSE)</f>
        <v>786.99560868317189</v>
      </c>
      <c r="F17" s="3" t="s">
        <v>57</v>
      </c>
      <c r="G17" s="12" t="str">
        <f t="shared" si="4"/>
        <v>37917.566</v>
      </c>
      <c r="H17" s="10">
        <f t="shared" si="5"/>
        <v>787</v>
      </c>
      <c r="I17" s="42" t="s">
        <v>79</v>
      </c>
      <c r="J17" s="43" t="s">
        <v>80</v>
      </c>
      <c r="K17" s="42">
        <v>787</v>
      </c>
      <c r="L17" s="42" t="s">
        <v>81</v>
      </c>
      <c r="M17" s="43" t="s">
        <v>62</v>
      </c>
      <c r="N17" s="43"/>
      <c r="O17" s="44" t="s">
        <v>71</v>
      </c>
      <c r="P17" s="44" t="s">
        <v>72</v>
      </c>
    </row>
    <row r="18" spans="1:16" ht="12.75" customHeight="1" thickBot="1" x14ac:dyDescent="0.25">
      <c r="A18" s="10" t="str">
        <f t="shared" si="0"/>
        <v> MHAR 6 </v>
      </c>
      <c r="B18" s="3" t="str">
        <f t="shared" si="1"/>
        <v>I</v>
      </c>
      <c r="C18" s="10">
        <f t="shared" si="2"/>
        <v>37956.31</v>
      </c>
      <c r="D18" s="12" t="str">
        <f t="shared" si="3"/>
        <v>vis</v>
      </c>
      <c r="E18" s="41">
        <f>VLOOKUP(C18,Active!C$21:E$973,3,FALSE)</f>
        <v>793.99699463014463</v>
      </c>
      <c r="F18" s="3" t="s">
        <v>57</v>
      </c>
      <c r="G18" s="12" t="str">
        <f t="shared" si="4"/>
        <v>37956.310</v>
      </c>
      <c r="H18" s="10">
        <f t="shared" si="5"/>
        <v>794</v>
      </c>
      <c r="I18" s="42" t="s">
        <v>82</v>
      </c>
      <c r="J18" s="43" t="s">
        <v>83</v>
      </c>
      <c r="K18" s="42">
        <v>794</v>
      </c>
      <c r="L18" s="42" t="s">
        <v>84</v>
      </c>
      <c r="M18" s="43" t="s">
        <v>62</v>
      </c>
      <c r="N18" s="43"/>
      <c r="O18" s="44" t="s">
        <v>71</v>
      </c>
      <c r="P18" s="44" t="s">
        <v>72</v>
      </c>
    </row>
    <row r="19" spans="1:16" ht="12.75" customHeight="1" thickBot="1" x14ac:dyDescent="0.25">
      <c r="A19" s="10" t="str">
        <f t="shared" si="0"/>
        <v> MHAR 6 </v>
      </c>
      <c r="B19" s="3" t="str">
        <f t="shared" si="1"/>
        <v>I</v>
      </c>
      <c r="C19" s="10">
        <f t="shared" si="2"/>
        <v>38332.660000000003</v>
      </c>
      <c r="D19" s="12" t="str">
        <f t="shared" si="3"/>
        <v>vis</v>
      </c>
      <c r="E19" s="41">
        <f>VLOOKUP(C19,Active!C$21:E$973,3,FALSE)</f>
        <v>862.00679230574121</v>
      </c>
      <c r="F19" s="3" t="s">
        <v>57</v>
      </c>
      <c r="G19" s="12" t="str">
        <f t="shared" si="4"/>
        <v>38332.660</v>
      </c>
      <c r="H19" s="10">
        <f t="shared" si="5"/>
        <v>862</v>
      </c>
      <c r="I19" s="42" t="s">
        <v>85</v>
      </c>
      <c r="J19" s="43" t="s">
        <v>86</v>
      </c>
      <c r="K19" s="42">
        <v>862</v>
      </c>
      <c r="L19" s="42" t="s">
        <v>87</v>
      </c>
      <c r="M19" s="43" t="s">
        <v>62</v>
      </c>
      <c r="N19" s="43"/>
      <c r="O19" s="44" t="s">
        <v>71</v>
      </c>
      <c r="P19" s="44" t="s">
        <v>72</v>
      </c>
    </row>
    <row r="20" spans="1:16" ht="12.75" customHeight="1" thickBot="1" x14ac:dyDescent="0.25">
      <c r="A20" s="10" t="str">
        <f t="shared" si="0"/>
        <v> MHAR 6 </v>
      </c>
      <c r="B20" s="3" t="str">
        <f t="shared" si="1"/>
        <v>I</v>
      </c>
      <c r="C20" s="10">
        <f t="shared" si="2"/>
        <v>38371.271999999997</v>
      </c>
      <c r="D20" s="12" t="str">
        <f t="shared" si="3"/>
        <v>vis</v>
      </c>
      <c r="E20" s="41">
        <f>VLOOKUP(C20,Active!C$21:E$973,3,FALSE)</f>
        <v>868.98432467680448</v>
      </c>
      <c r="F20" s="3" t="s">
        <v>57</v>
      </c>
      <c r="G20" s="12" t="str">
        <f t="shared" si="4"/>
        <v>38371.272</v>
      </c>
      <c r="H20" s="10">
        <f t="shared" si="5"/>
        <v>869</v>
      </c>
      <c r="I20" s="42" t="s">
        <v>88</v>
      </c>
      <c r="J20" s="43" t="s">
        <v>89</v>
      </c>
      <c r="K20" s="42">
        <v>869</v>
      </c>
      <c r="L20" s="42" t="s">
        <v>90</v>
      </c>
      <c r="M20" s="43" t="s">
        <v>62</v>
      </c>
      <c r="N20" s="43"/>
      <c r="O20" s="44" t="s">
        <v>71</v>
      </c>
      <c r="P20" s="44" t="s">
        <v>72</v>
      </c>
    </row>
    <row r="21" spans="1:16" ht="12.75" customHeight="1" thickBot="1" x14ac:dyDescent="0.25">
      <c r="A21" s="10" t="str">
        <f t="shared" si="0"/>
        <v> MHAR 6 </v>
      </c>
      <c r="B21" s="3" t="str">
        <f t="shared" si="1"/>
        <v>I</v>
      </c>
      <c r="C21" s="10">
        <f t="shared" si="2"/>
        <v>39760.334999999999</v>
      </c>
      <c r="D21" s="12" t="str">
        <f t="shared" si="3"/>
        <v>vis</v>
      </c>
      <c r="E21" s="41">
        <f>VLOOKUP(C21,Active!C$21:E$973,3,FALSE)</f>
        <v>1120.0003831028862</v>
      </c>
      <c r="F21" s="3" t="s">
        <v>57</v>
      </c>
      <c r="G21" s="12" t="str">
        <f t="shared" si="4"/>
        <v>39760.335</v>
      </c>
      <c r="H21" s="10">
        <f t="shared" si="5"/>
        <v>1120</v>
      </c>
      <c r="I21" s="42" t="s">
        <v>91</v>
      </c>
      <c r="J21" s="43" t="s">
        <v>92</v>
      </c>
      <c r="K21" s="42">
        <v>1120</v>
      </c>
      <c r="L21" s="42" t="s">
        <v>93</v>
      </c>
      <c r="M21" s="43" t="s">
        <v>62</v>
      </c>
      <c r="N21" s="43"/>
      <c r="O21" s="44" t="s">
        <v>71</v>
      </c>
      <c r="P21" s="44" t="s">
        <v>72</v>
      </c>
    </row>
    <row r="22" spans="1:16" ht="12.75" customHeight="1" thickBot="1" x14ac:dyDescent="0.25">
      <c r="A22" s="10" t="str">
        <f t="shared" si="0"/>
        <v> MHAR 6 </v>
      </c>
      <c r="B22" s="3" t="str">
        <f t="shared" si="1"/>
        <v>I</v>
      </c>
      <c r="C22" s="10">
        <f t="shared" si="2"/>
        <v>39904.26</v>
      </c>
      <c r="D22" s="12" t="str">
        <f t="shared" si="3"/>
        <v>vis</v>
      </c>
      <c r="E22" s="41">
        <f>VLOOKUP(C22,Active!C$21:E$973,3,FALSE)</f>
        <v>1146.0089127440722</v>
      </c>
      <c r="F22" s="3" t="s">
        <v>57</v>
      </c>
      <c r="G22" s="12" t="str">
        <f t="shared" si="4"/>
        <v>39904.260</v>
      </c>
      <c r="H22" s="10">
        <f t="shared" si="5"/>
        <v>1146</v>
      </c>
      <c r="I22" s="42" t="s">
        <v>94</v>
      </c>
      <c r="J22" s="43" t="s">
        <v>95</v>
      </c>
      <c r="K22" s="42">
        <v>1146</v>
      </c>
      <c r="L22" s="42" t="s">
        <v>96</v>
      </c>
      <c r="M22" s="43" t="s">
        <v>62</v>
      </c>
      <c r="N22" s="43"/>
      <c r="O22" s="44" t="s">
        <v>71</v>
      </c>
      <c r="P22" s="44" t="s">
        <v>72</v>
      </c>
    </row>
    <row r="23" spans="1:16" ht="12.75" customHeight="1" thickBot="1" x14ac:dyDescent="0.25">
      <c r="A23" s="10" t="str">
        <f t="shared" si="0"/>
        <v> MHAR 6 </v>
      </c>
      <c r="B23" s="3" t="str">
        <f t="shared" si="1"/>
        <v>I</v>
      </c>
      <c r="C23" s="10">
        <f t="shared" si="2"/>
        <v>39915.273000000001</v>
      </c>
      <c r="D23" s="12" t="str">
        <f t="shared" si="3"/>
        <v>vis</v>
      </c>
      <c r="E23" s="41">
        <f>VLOOKUP(C23,Active!C$21:E$973,3,FALSE)</f>
        <v>1147.9990599522594</v>
      </c>
      <c r="F23" s="3" t="s">
        <v>57</v>
      </c>
      <c r="G23" s="12" t="str">
        <f t="shared" si="4"/>
        <v>39915.273</v>
      </c>
      <c r="H23" s="10">
        <f t="shared" si="5"/>
        <v>1148</v>
      </c>
      <c r="I23" s="42" t="s">
        <v>97</v>
      </c>
      <c r="J23" s="43" t="s">
        <v>98</v>
      </c>
      <c r="K23" s="42">
        <v>1148</v>
      </c>
      <c r="L23" s="42" t="s">
        <v>70</v>
      </c>
      <c r="M23" s="43" t="s">
        <v>62</v>
      </c>
      <c r="N23" s="43"/>
      <c r="O23" s="44" t="s">
        <v>71</v>
      </c>
      <c r="P23" s="44" t="s">
        <v>72</v>
      </c>
    </row>
    <row r="24" spans="1:16" ht="12.75" customHeight="1" thickBot="1" x14ac:dyDescent="0.25">
      <c r="A24" s="10" t="str">
        <f t="shared" si="0"/>
        <v> MHAR 6 </v>
      </c>
      <c r="B24" s="3" t="str">
        <f t="shared" si="1"/>
        <v>I</v>
      </c>
      <c r="C24" s="10">
        <f t="shared" si="2"/>
        <v>40778.487999999998</v>
      </c>
      <c r="D24" s="12" t="str">
        <f t="shared" si="3"/>
        <v>vis</v>
      </c>
      <c r="E24" s="41">
        <f>VLOOKUP(C24,Active!C$21:E$973,3,FALSE)</f>
        <v>1303.9897003150572</v>
      </c>
      <c r="F24" s="3" t="s">
        <v>57</v>
      </c>
      <c r="G24" s="12" t="str">
        <f t="shared" si="4"/>
        <v>40778.488</v>
      </c>
      <c r="H24" s="10">
        <f t="shared" si="5"/>
        <v>1304</v>
      </c>
      <c r="I24" s="42" t="s">
        <v>99</v>
      </c>
      <c r="J24" s="43" t="s">
        <v>100</v>
      </c>
      <c r="K24" s="42">
        <v>1304</v>
      </c>
      <c r="L24" s="42" t="s">
        <v>61</v>
      </c>
      <c r="M24" s="43" t="s">
        <v>62</v>
      </c>
      <c r="N24" s="43"/>
      <c r="O24" s="44" t="s">
        <v>71</v>
      </c>
      <c r="P24" s="44" t="s">
        <v>72</v>
      </c>
    </row>
    <row r="25" spans="1:16" ht="12.75" customHeight="1" thickBot="1" x14ac:dyDescent="0.25">
      <c r="A25" s="10" t="str">
        <f t="shared" si="0"/>
        <v> MHAR 6 </v>
      </c>
      <c r="B25" s="3" t="str">
        <f t="shared" si="1"/>
        <v>I</v>
      </c>
      <c r="C25" s="10">
        <f t="shared" si="2"/>
        <v>40834.451000000001</v>
      </c>
      <c r="D25" s="12" t="str">
        <f t="shared" si="3"/>
        <v>vis</v>
      </c>
      <c r="E25" s="41">
        <f>VLOOKUP(C25,Active!C$21:E$973,3,FALSE)</f>
        <v>1314.1027129557363</v>
      </c>
      <c r="F25" s="3" t="s">
        <v>57</v>
      </c>
      <c r="G25" s="12" t="str">
        <f t="shared" si="4"/>
        <v>40834.451</v>
      </c>
      <c r="H25" s="10">
        <f t="shared" si="5"/>
        <v>1314</v>
      </c>
      <c r="I25" s="42" t="s">
        <v>101</v>
      </c>
      <c r="J25" s="43" t="s">
        <v>102</v>
      </c>
      <c r="K25" s="42">
        <v>1314</v>
      </c>
      <c r="L25" s="42" t="s">
        <v>103</v>
      </c>
      <c r="M25" s="43" t="s">
        <v>62</v>
      </c>
      <c r="N25" s="43"/>
      <c r="O25" s="44" t="s">
        <v>71</v>
      </c>
      <c r="P25" s="44" t="s">
        <v>72</v>
      </c>
    </row>
    <row r="26" spans="1:16" ht="12.75" customHeight="1" thickBot="1" x14ac:dyDescent="0.25">
      <c r="A26" s="10" t="str">
        <f t="shared" si="0"/>
        <v>BAVM 225 </v>
      </c>
      <c r="B26" s="3" t="str">
        <f t="shared" si="1"/>
        <v>I</v>
      </c>
      <c r="C26" s="10">
        <f t="shared" si="2"/>
        <v>55808.393300000003</v>
      </c>
      <c r="D26" s="12" t="str">
        <f t="shared" si="3"/>
        <v>vis</v>
      </c>
      <c r="E26" s="41">
        <f>VLOOKUP(C26,Active!C$21:E$973,3,FALSE)</f>
        <v>4020.0274804037012</v>
      </c>
      <c r="F26" s="3" t="s">
        <v>57</v>
      </c>
      <c r="G26" s="12" t="str">
        <f t="shared" si="4"/>
        <v>55808.3933</v>
      </c>
      <c r="H26" s="10">
        <f t="shared" si="5"/>
        <v>4020</v>
      </c>
      <c r="I26" s="42" t="s">
        <v>111</v>
      </c>
      <c r="J26" s="43" t="s">
        <v>112</v>
      </c>
      <c r="K26" s="42" t="s">
        <v>113</v>
      </c>
      <c r="L26" s="42" t="s">
        <v>114</v>
      </c>
      <c r="M26" s="43" t="s">
        <v>107</v>
      </c>
      <c r="N26" s="43" t="s">
        <v>108</v>
      </c>
      <c r="O26" s="44" t="s">
        <v>109</v>
      </c>
      <c r="P26" s="45" t="s">
        <v>115</v>
      </c>
    </row>
    <row r="27" spans="1:16" x14ac:dyDescent="0.2">
      <c r="B27" s="3"/>
      <c r="E27" s="41"/>
      <c r="F27" s="3"/>
    </row>
    <row r="28" spans="1:16" x14ac:dyDescent="0.2">
      <c r="B28" s="3"/>
      <c r="E28" s="41"/>
      <c r="F28" s="3"/>
    </row>
    <row r="29" spans="1:16" x14ac:dyDescent="0.2">
      <c r="B29" s="3"/>
      <c r="E29" s="41"/>
      <c r="F29" s="3"/>
    </row>
    <row r="30" spans="1:16" x14ac:dyDescent="0.2">
      <c r="B30" s="3"/>
      <c r="E30" s="41"/>
      <c r="F30" s="3"/>
    </row>
    <row r="31" spans="1:16" x14ac:dyDescent="0.2">
      <c r="B31" s="3"/>
      <c r="E31" s="41"/>
      <c r="F31" s="3"/>
    </row>
    <row r="32" spans="1:16" x14ac:dyDescent="0.2">
      <c r="B32" s="3"/>
      <c r="E32" s="41"/>
      <c r="F32" s="3"/>
    </row>
    <row r="33" spans="2:6" x14ac:dyDescent="0.2">
      <c r="B33" s="3"/>
      <c r="E33" s="41"/>
      <c r="F33" s="3"/>
    </row>
    <row r="34" spans="2:6" x14ac:dyDescent="0.2">
      <c r="B34" s="3"/>
      <c r="F34" s="3"/>
    </row>
    <row r="35" spans="2:6" x14ac:dyDescent="0.2">
      <c r="B35" s="3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</sheetData>
  <phoneticPr fontId="7" type="noConversion"/>
  <hyperlinks>
    <hyperlink ref="P11" r:id="rId1" display="http://www.bav-astro.de/sfs/BAVM_link.php?BAVMnr=209"/>
    <hyperlink ref="P26" r:id="rId2" display="http://www.bav-astro.de/sfs/BAVM_link.php?BAVMnr=225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2023-01-17T01:14:26Z</dcterms:modified>
</cp:coreProperties>
</file>