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9375" windowHeight="1450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<sst xmlns="http://schemas.openxmlformats.org/spreadsheetml/2006/main" count="410" uniqueCount="174">
  <si>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</si>
  <si>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</si>
  <si>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</si>
  <si>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</si>
  <si>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</si>
  <si>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</si>
  <si>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</si>
  <si>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</si>
  <si>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</si>
  <si>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</si>
  <si>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</si>
  <si>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</si>
  <si>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</si>
  <si>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</si>
  <si>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</si>
  <si>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</si>
  <si>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</si>
  <si>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</si>
  <si>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</si>
  <si>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</si>
  <si>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</si>
  <si>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</si>
  <si>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</si>
  <si>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</si>
  <si>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S5</t>
  </si>
  <si>
    <t>Misc</t>
  </si>
  <si>
    <t>Type of system</t>
  </si>
  <si>
    <t>EA</t>
  </si>
  <si>
    <t xml:space="preserve">MVS 5,95 </t>
  </si>
  <si>
    <t>MVS 7,143</t>
  </si>
  <si>
    <t>IBVS 3593</t>
  </si>
  <si>
    <t>BAV-M 56</t>
  </si>
  <si>
    <t>BAV-M 59</t>
  </si>
  <si>
    <t>IBVS 4711</t>
  </si>
  <si>
    <t>IBVS 5016</t>
  </si>
  <si>
    <t>BBSAG 127</t>
  </si>
  <si>
    <t>I</t>
  </si>
  <si>
    <t>II</t>
  </si>
  <si>
    <t>Krajci, private comm.</t>
  </si>
  <si>
    <t>VS Bull 40</t>
  </si>
  <si>
    <t>IBVS</t>
  </si>
  <si>
    <t>IBVS 5296</t>
  </si>
  <si>
    <t>Krajci</t>
  </si>
  <si>
    <t># of data points:</t>
  </si>
  <si>
    <t>JD today</t>
  </si>
  <si>
    <t>Next ToM</t>
  </si>
  <si>
    <t>New Cycle</t>
  </si>
  <si>
    <t>My time zone &gt;&gt;&gt;&gt;&gt;</t>
  </si>
  <si>
    <t>(PST=8, PDT=MDT=7, MDT=CST=6, etc.)</t>
  </si>
  <si>
    <t>Local time</t>
  </si>
  <si>
    <t>FS Leo / GSC 00862-00442</t>
  </si>
  <si>
    <t>System Type:</t>
  </si>
  <si>
    <t>EB</t>
  </si>
  <si>
    <t>Not avail</t>
  </si>
  <si>
    <t>not avail</t>
  </si>
  <si>
    <t>Hipparcos</t>
  </si>
  <si>
    <t>ROTSE</t>
  </si>
  <si>
    <t>IBVS 5548</t>
  </si>
  <si>
    <t>S6</t>
  </si>
  <si>
    <t>Start of linear fit &gt;&gt;&gt;&gt;&gt;&gt;&gt;&gt;&gt;&gt;&gt;&gt;&gt;&gt;&gt;&gt;&gt;&gt;&gt;&gt;&gt;</t>
  </si>
  <si>
    <t>OEJV 0107</t>
  </si>
  <si>
    <t>Add cycle</t>
  </si>
  <si>
    <t>Old Cycle</t>
  </si>
  <si>
    <t>IBVS 6007</t>
  </si>
  <si>
    <t>BAD</t>
  </si>
  <si>
    <t>2013JAVSO..41..122</t>
  </si>
  <si>
    <t>OEJV 0160</t>
  </si>
  <si>
    <t>IBVS 6048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</si>
  <si>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</si>
  <si>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</si>
  <si>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</si>
  <si>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</si>
  <si>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</si>
  <si>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</si>
  <si>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</si>
  <si>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</si>
  <si>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</si>
  <si>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</si>
  <si>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</si>
  <si>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2452322.4207 </t>
  </si>
  <si>
    <t> 16.02.2002 22:05 </t>
  </si>
  <si>
    <t> -0.0030 </t>
  </si>
  <si>
    <t>E </t>
  </si>
  <si>
    <t>?</t>
  </si>
  <si>
    <t> G.Tas et al. </t>
  </si>
  <si>
    <t>IBVS 5548 </t>
  </si>
  <si>
    <t>2452323.3349 </t>
  </si>
  <si>
    <t> 17.02.2002 20:02 </t>
  </si>
  <si>
    <t> -0.0027 </t>
  </si>
  <si>
    <t>2452353.4921 </t>
  </si>
  <si>
    <t> 19.03.2002 23:48 </t>
  </si>
  <si>
    <t> -0.0053 </t>
  </si>
  <si>
    <t>2452364.4640 </t>
  </si>
  <si>
    <t> 30.03.2002 23:08 </t>
  </si>
  <si>
    <t> -0.0006 </t>
  </si>
  <si>
    <t>2452391.4222 </t>
  </si>
  <si>
    <t> 26.04.2002 22:07 </t>
  </si>
  <si>
    <t> -0.0034 </t>
  </si>
  <si>
    <t>2452397.3629 </t>
  </si>
  <si>
    <t> 02.05.2002 20:42 </t>
  </si>
  <si>
    <t> -0.0032 </t>
  </si>
  <si>
    <t>2452399.4204 </t>
  </si>
  <si>
    <t> 04.05.2002 22:05 </t>
  </si>
  <si>
    <t> -0.0021 </t>
  </si>
  <si>
    <t>2452692.3397 </t>
  </si>
  <si>
    <t> 21.02.2003 20:09 </t>
  </si>
  <si>
    <t> 0.0020 </t>
  </si>
  <si>
    <t>2452697.3654 </t>
  </si>
  <si>
    <t> 26.02.2003 20:46 </t>
  </si>
  <si>
    <t> 0.0010 </t>
  </si>
  <si>
    <t>2452697.5918 </t>
  </si>
  <si>
    <t> 27.02.2003 02:12 </t>
  </si>
  <si>
    <t> -0.0011 </t>
  </si>
  <si>
    <t>2452698.5051 </t>
  </si>
  <si>
    <t> 28.02.2003 00:07 </t>
  </si>
  <si>
    <t> -0.0017 </t>
  </si>
  <si>
    <t>2453082.3585 </t>
  </si>
  <si>
    <t> 17.03.2004 20:36 </t>
  </si>
  <si>
    <t> 0.0002 </t>
  </si>
  <si>
    <t> T.Krajci </t>
  </si>
  <si>
    <t>IBVS 5592 </t>
  </si>
  <si>
    <t>2453460.9423 </t>
  </si>
  <si>
    <t> 31.03.2005 10:36 </t>
  </si>
  <si>
    <t> -0.0124 </t>
  </si>
  <si>
    <t> Nakajima </t>
  </si>
  <si>
    <t>VSB 44 </t>
  </si>
  <si>
    <t>2453461.1839 </t>
  </si>
  <si>
    <t> 31.03.2005 16:24 </t>
  </si>
  <si>
    <t> 0.0007 </t>
  </si>
  <si>
    <t>2453832.6949 </t>
  </si>
  <si>
    <t> 07.04.2006 04:40 </t>
  </si>
  <si>
    <t>C </t>
  </si>
  <si>
    <t>V </t>
  </si>
  <si>
    <t> V.Petriew </t>
  </si>
  <si>
    <t> JAAVSO 41;122 </t>
  </si>
  <si>
    <t>2454942.4403 </t>
  </si>
  <si>
    <t> 20.04.2009 22:34 </t>
  </si>
  <si>
    <t> 0.0015 </t>
  </si>
  <si>
    <t> L.Brát </t>
  </si>
  <si>
    <t>OEJV 0107 </t>
  </si>
  <si>
    <t>2454942.4410 </t>
  </si>
  <si>
    <t> 20.04.2009 22:35 </t>
  </si>
  <si>
    <t> 0.0022 </t>
  </si>
  <si>
    <t>2454942.4411 </t>
  </si>
  <si>
    <t> 0.0023 </t>
  </si>
  <si>
    <t>R</t>
  </si>
  <si>
    <t>2455592.47240 </t>
  </si>
  <si>
    <t> 30.01.2011 23:20 </t>
  </si>
  <si>
    <t> -0.00070 </t>
  </si>
  <si>
    <t> R.Uhlar </t>
  </si>
  <si>
    <t>IBVS 6007 </t>
  </si>
  <si>
    <t>2455617.60629 </t>
  </si>
  <si>
    <t> 25.02.2011 02:33 </t>
  </si>
  <si>
    <t> 0.00006 </t>
  </si>
  <si>
    <t>2455957.5916 </t>
  </si>
  <si>
    <t> 31.01.2012 02:11 </t>
  </si>
  <si>
    <t> 0.0026 </t>
  </si>
  <si>
    <t> J.Trnka </t>
  </si>
  <si>
    <t>OEJV 0160 </t>
  </si>
  <si>
    <t>2456001.4582 </t>
  </si>
  <si>
    <t> 14.03.2012 22:59 </t>
  </si>
  <si>
    <t> 0.0004 </t>
  </si>
  <si>
    <t> P.Frank </t>
  </si>
  <si>
    <t>BAVM 228 </t>
  </si>
  <si>
    <t>2456012.4254 </t>
  </si>
  <si>
    <t> 25.03.2012 22:12 </t>
  </si>
  <si>
    <t> 0.0005 </t>
  </si>
  <si>
    <t> M.Mašek </t>
  </si>
  <si>
    <t>VSB-64</t>
  </si>
  <si>
    <t>s5</t>
  </si>
  <si>
    <t>s6</t>
  </si>
  <si>
    <t>s7</t>
  </si>
  <si>
    <t>OEJV 0211</t>
  </si>
  <si>
    <t>JAVSO 49, 256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</si>
</sst>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6.75"/>
      <color indexed="8"/>
      <name val="Arial"/>
      <family val="2"/>
    </font>
    <font>
      <sz val="6.75"/>
      <color indexed="14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0" xfId="0" applyNumberFormat="1" applyAlignment="1">
      <alignment horizontal="left"/>
    </xf>
    <xf numFmtId="22" fontId="0" fillId="0" borderId="0" xfId="0" applyNumberForma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72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left"/>
      <protection/>
    </xf>
    <xf numFmtId="0" fontId="1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FS Leo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"/>
          <c:w val="0.908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Active!$F$21:$F$990</c:f>
              <c:numCache/>
            </c:numRef>
          </c:xVal>
          <c:yVal>
            <c:numRef>
              <c:f>Active!$H$21:$H$990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Active!$D$21:$D$990</c:f>
                <c:numCache>
                  <c:ptCount val="9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Active!$D$21:$D$990</c:f>
                <c:numCache>
                  <c:ptCount val="9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Active!$I$21:$I$990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Active!$J$21:$J$990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Active!$K$21:$K$990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Active!$L$21:$L$990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Active!$M$21:$M$990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Active!$N$21:$N$990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Active!$F$21:$F$990</c:f>
              <c:numCache/>
            </c:numRef>
          </c:xVal>
          <c:yVal>
            <c:numRef>
              <c:f>Active!$O$21:$O$990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Active!$F$21:$F$990</c:f>
              <c:numCache/>
            </c:numRef>
          </c:xVal>
          <c:yVal>
            <c:numRef>
              <c:f>Active!$U$21:$U$990</c:f>
              <c:numCache/>
            </c:numRef>
          </c:yVal>
          <c:smooth val="0"/>
        </c:ser>
        <c:axId val="11483207"/>
        <c:axId val="15372464"/>
      </c:scatterChart>
      <c:valAx>
        <c:axId val="114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2464"/>
        <c:crosses val="autoZero"/>
        <c:crossBetween val="midCat"/>
        <c:dispUnits/>
      </c:valAx>
      <c:valAx>
        <c:axId val="1537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32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25"/>
          <c:y val="0.9305"/>
          <c:w val="0.876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FS Leo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5"/>
          <c:w val="0.895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Hipparcos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(old)'!$H$21:$H$992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 (old)'!$D$21:$D$992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(old)'!$I$21:$I$992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(old)'!$J$21:$J$992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(old)'!$K$21:$K$992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(old)'!$L$21:$L$992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(old)'!$M$21:$M$992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(old)'!$N$21:$N$992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(old)'!$F$21:$F$992</c:f>
              <c:numCache/>
            </c:numRef>
          </c:xVal>
          <c:yVal>
            <c:numRef>
              <c:f>'A (old)'!$O$21:$O$992</c:f>
              <c:numCache/>
            </c:numRef>
          </c:yVal>
          <c:smooth val="0"/>
        </c:ser>
        <c:axId val="25972017"/>
        <c:axId val="29808138"/>
      </c:scatterChart>
      <c:valAx>
        <c:axId val="2597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8138"/>
        <c:crosses val="autoZero"/>
        <c:crossBetween val="midCat"/>
        <c:dispUnits/>
      </c:valAx>
      <c:valAx>
        <c:axId val="2980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720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92925"/>
          <c:w val="0.942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16</xdr:col>
      <xdr:colOff>523875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19050"/>
        <a:ext cx="6096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13</xdr:col>
      <xdr:colOff>485775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790950" y="9525"/>
        <a:ext cx="50673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48" TargetMode="External" /><Relationship Id="rId2" Type="http://schemas.openxmlformats.org/officeDocument/2006/relationships/hyperlink" Target="http://www.konkoly.hu/cgi-bin/IBVS?5548" TargetMode="External" /><Relationship Id="rId3" Type="http://schemas.openxmlformats.org/officeDocument/2006/relationships/hyperlink" Target="http://www.konkoly.hu/cgi-bin/IBVS?5548" TargetMode="External" /><Relationship Id="rId4" Type="http://schemas.openxmlformats.org/officeDocument/2006/relationships/hyperlink" Target="http://www.konkoly.hu/cgi-bin/IBVS?5548" TargetMode="External" /><Relationship Id="rId5" Type="http://schemas.openxmlformats.org/officeDocument/2006/relationships/hyperlink" Target="http://www.konkoly.hu/cgi-bin/IBVS?5548" TargetMode="External" /><Relationship Id="rId6" Type="http://schemas.openxmlformats.org/officeDocument/2006/relationships/hyperlink" Target="http://www.konkoly.hu/cgi-bin/IBVS?5548" TargetMode="External" /><Relationship Id="rId7" Type="http://schemas.openxmlformats.org/officeDocument/2006/relationships/hyperlink" Target="http://www.konkoly.hu/cgi-bin/IBVS?5548" TargetMode="External" /><Relationship Id="rId8" Type="http://schemas.openxmlformats.org/officeDocument/2006/relationships/hyperlink" Target="http://www.konkoly.hu/cgi-bin/IBVS?5548" TargetMode="External" /><Relationship Id="rId9" Type="http://schemas.openxmlformats.org/officeDocument/2006/relationships/hyperlink" Target="http://www.konkoly.hu/cgi-bin/IBVS?5548" TargetMode="External" /><Relationship Id="rId10" Type="http://schemas.openxmlformats.org/officeDocument/2006/relationships/hyperlink" Target="http://www.konkoly.hu/cgi-bin/IBVS?5548" TargetMode="External" /><Relationship Id="rId11" Type="http://schemas.openxmlformats.org/officeDocument/2006/relationships/hyperlink" Target="http://www.konkoly.hu/cgi-bin/IBVS?5548" TargetMode="External" /><Relationship Id="rId12" Type="http://schemas.openxmlformats.org/officeDocument/2006/relationships/hyperlink" Target="http://www.konkoly.hu/cgi-bin/IBVS?5592" TargetMode="External" /><Relationship Id="rId13" Type="http://schemas.openxmlformats.org/officeDocument/2006/relationships/hyperlink" Target="http://vsolj.cetus-net.org/no44.pdf" TargetMode="External" /><Relationship Id="rId14" Type="http://schemas.openxmlformats.org/officeDocument/2006/relationships/hyperlink" Target="http://vsolj.cetus-net.org/no44.pdf" TargetMode="External" /><Relationship Id="rId15" Type="http://schemas.openxmlformats.org/officeDocument/2006/relationships/hyperlink" Target="http://var.astro.cz/oejv/issues/oejv0107.pdf" TargetMode="External" /><Relationship Id="rId16" Type="http://schemas.openxmlformats.org/officeDocument/2006/relationships/hyperlink" Target="http://var.astro.cz/oejv/issues/oejv0107.pdf" TargetMode="External" /><Relationship Id="rId17" Type="http://schemas.openxmlformats.org/officeDocument/2006/relationships/hyperlink" Target="http://var.astro.cz/oejv/issues/oejv0107.pdf" TargetMode="External" /><Relationship Id="rId18" Type="http://schemas.openxmlformats.org/officeDocument/2006/relationships/hyperlink" Target="http://www.konkoly.hu/cgi-bin/IBVS?6007" TargetMode="External" /><Relationship Id="rId19" Type="http://schemas.openxmlformats.org/officeDocument/2006/relationships/hyperlink" Target="http://www.konkoly.hu/cgi-bin/IBVS?6007" TargetMode="External" /><Relationship Id="rId20" Type="http://schemas.openxmlformats.org/officeDocument/2006/relationships/hyperlink" Target="http://var.astro.cz/oejv/issues/oejv0160.pdf" TargetMode="External" /><Relationship Id="rId21" Type="http://schemas.openxmlformats.org/officeDocument/2006/relationships/hyperlink" Target="http://www.bav-astro.de/sfs/BAVM_link.php?BAVMnr=228" TargetMode="External" /><Relationship Id="rId22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1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4" ht="20.25">
      <c r="A1" s="1" t="s">
        <v>50</v>
      </c>
      <c r="D1" s="11"/>
    </row>
    <row r="2" spans="1:2" ht="12.75">
      <c r="A2" t="s">
        <v>26</v>
      </c>
      <c r="B2" t="s">
        <v>27</v>
      </c>
    </row>
    <row r="3" ht="13.5" thickBot="1"/>
    <row r="4" spans="1:4" ht="14.25" thickBot="1" thickTop="1">
      <c r="A4" s="8" t="s">
        <v>0</v>
      </c>
      <c r="C4" s="3">
        <v>29880.74</v>
      </c>
      <c r="D4" s="4">
        <v>0.9351004</v>
      </c>
    </row>
    <row r="5" spans="1:4" ht="13.5" thickTop="1">
      <c r="A5" s="38" t="s">
        <v>47</v>
      </c>
      <c r="B5" s="25"/>
      <c r="C5" s="39">
        <v>-9.5</v>
      </c>
      <c r="D5" s="25" t="s">
        <v>48</v>
      </c>
    </row>
    <row r="6" ht="12.75">
      <c r="A6" s="8" t="s">
        <v>1</v>
      </c>
    </row>
    <row r="7" spans="1:3" ht="12.75">
      <c r="A7" t="s">
        <v>2</v>
      </c>
      <c r="C7">
        <v>29880.74</v>
      </c>
    </row>
    <row r="8" spans="1:3" ht="12.75">
      <c r="A8" t="s">
        <v>3</v>
      </c>
      <c r="C8">
        <v>0.9350971380974894</v>
      </c>
    </row>
    <row r="9" spans="1:4" ht="12.75">
      <c r="A9" s="49" t="s">
        <v>59</v>
      </c>
      <c r="B9" s="50">
        <v>21</v>
      </c>
      <c r="C9" s="40" t="str">
        <f>"F"&amp;B9</f>
        <v>F21</v>
      </c>
      <c r="D9" s="41" t="str">
        <f>"G"&amp;B9</f>
        <v>G21</v>
      </c>
    </row>
    <row r="10" spans="1:5" ht="13.5" thickBot="1">
      <c r="A10" s="25"/>
      <c r="B10" s="25"/>
      <c r="C10" s="7" t="s">
        <v>20</v>
      </c>
      <c r="D10" s="7" t="s">
        <v>21</v>
      </c>
      <c r="E10" s="25"/>
    </row>
    <row r="11" spans="1:5" ht="12.75">
      <c r="A11" s="25" t="s">
        <v>16</v>
      </c>
      <c r="B11" s="25"/>
      <c r="C11" s="19">
        <f ca="1">INTERCEPT(INDIRECT($D$9):G989,INDIRECT($C$9):F989)</f>
        <v>0.016575891990442515</v>
      </c>
      <c r="D11" s="6"/>
      <c r="E11" s="25"/>
    </row>
    <row r="12" spans="1:5" ht="12.75">
      <c r="A12" s="25" t="s">
        <v>17</v>
      </c>
      <c r="B12" s="25"/>
      <c r="C12" s="19">
        <f ca="1">SLOPE(INDIRECT($D$9):G989,INDIRECT($C$9):F989)</f>
        <v>-1.8372123188011485E-06</v>
      </c>
      <c r="D12" s="6"/>
      <c r="E12" s="25"/>
    </row>
    <row r="13" spans="1:3" ht="12.75">
      <c r="A13" s="25" t="s">
        <v>19</v>
      </c>
      <c r="B13" s="25"/>
      <c r="C13" s="6" t="s">
        <v>14</v>
      </c>
    </row>
    <row r="14" spans="1:3" ht="12.75">
      <c r="A14" s="25"/>
      <c r="B14" s="25"/>
      <c r="C14" s="25"/>
    </row>
    <row r="15" spans="1:6" ht="12.75">
      <c r="A15" s="42" t="s">
        <v>18</v>
      </c>
      <c r="B15" s="25"/>
      <c r="C15" s="22">
        <f>(C7+C11)+(C8+C12)*INT(MAX(F21:F3530))</f>
        <v>59309.14079004919</v>
      </c>
      <c r="E15" s="43" t="s">
        <v>61</v>
      </c>
      <c r="F15" s="39">
        <v>1</v>
      </c>
    </row>
    <row r="16" spans="1:6" ht="12.75">
      <c r="A16" s="45" t="s">
        <v>4</v>
      </c>
      <c r="B16" s="25"/>
      <c r="C16" s="23">
        <f>+C8+C12</f>
        <v>0.9350953008851706</v>
      </c>
      <c r="E16" s="43" t="s">
        <v>44</v>
      </c>
      <c r="F16" s="44">
        <f ca="1">NOW()+15018.5+$C$5/24</f>
        <v>59902.75254594907</v>
      </c>
    </row>
    <row r="17" spans="1:6" ht="13.5" thickBot="1">
      <c r="A17" s="43" t="s">
        <v>43</v>
      </c>
      <c r="B17" s="25"/>
      <c r="C17" s="25">
        <f>COUNT(C21:C2188)</f>
        <v>55</v>
      </c>
      <c r="E17" s="43" t="s">
        <v>62</v>
      </c>
      <c r="F17" s="44">
        <f>ROUND(2*(F16-$C$7)/$C$8,0)/2+F15</f>
        <v>32107</v>
      </c>
    </row>
    <row r="18" spans="1:6" ht="14.25" thickBot="1" thickTop="1">
      <c r="A18" s="45" t="s">
        <v>5</v>
      </c>
      <c r="B18" s="25"/>
      <c r="C18" s="47">
        <f>+C15</f>
        <v>59309.14079004919</v>
      </c>
      <c r="D18" s="48">
        <f>+C16</f>
        <v>0.9350953008851706</v>
      </c>
      <c r="E18" s="43" t="s">
        <v>46</v>
      </c>
      <c r="F18" s="41">
        <f>ROUND(2*(F16-$C$15)/$C$16,0)/2+F15</f>
        <v>636</v>
      </c>
    </row>
    <row r="19" spans="5:6" ht="13.5" thickTop="1">
      <c r="E19" s="43" t="s">
        <v>45</v>
      </c>
      <c r="F19" s="46">
        <f>+$C$15+$C$16*F18-15018.5-$C$5/24</f>
        <v>44885.75723474549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75</v>
      </c>
      <c r="I20" s="10" t="s">
        <v>78</v>
      </c>
      <c r="J20" s="10" t="s">
        <v>72</v>
      </c>
      <c r="K20" s="10" t="s">
        <v>70</v>
      </c>
      <c r="L20" s="10" t="s">
        <v>169</v>
      </c>
      <c r="M20" s="10" t="s">
        <v>170</v>
      </c>
      <c r="N20" s="10" t="s">
        <v>171</v>
      </c>
      <c r="O20" s="10" t="s">
        <v>23</v>
      </c>
      <c r="P20" s="9" t="s">
        <v>22</v>
      </c>
      <c r="Q20" s="7" t="s">
        <v>15</v>
      </c>
      <c r="U20" s="51" t="s">
        <v>64</v>
      </c>
    </row>
    <row r="21" spans="1:17" ht="12.75">
      <c r="A21" s="57" t="s">
        <v>65</v>
      </c>
      <c r="B21" s="58" t="s">
        <v>36</v>
      </c>
      <c r="C21" s="59">
        <v>53832.6949</v>
      </c>
      <c r="D21" s="59">
        <v>0.0001</v>
      </c>
      <c r="E21">
        <f aca="true" t="shared" si="0" ref="E21:E52">+(C21-C$7)/C$8</f>
        <v>25614.402957891278</v>
      </c>
      <c r="F21">
        <f aca="true" t="shared" si="1" ref="F21:F52">ROUND(2*E21,0)/2</f>
        <v>25614.5</v>
      </c>
      <c r="G21">
        <f aca="true" t="shared" si="2" ref="G21:G53">+C21-(C$7+F21*C$8)</f>
        <v>-0.09074379813682754</v>
      </c>
      <c r="I21">
        <f>+C21-(C$7+F21*C$8)</f>
        <v>-0.09074379813682754</v>
      </c>
      <c r="O21">
        <f aca="true" t="shared" si="3" ref="O21:O52">+C$11+C$12*F21</f>
        <v>-0.030483382949489504</v>
      </c>
      <c r="Q21" s="2">
        <f aca="true" t="shared" si="4" ref="Q21:Q52">+C21-15018.5</f>
        <v>38814.1949</v>
      </c>
    </row>
    <row r="22" spans="1:17" ht="12.75">
      <c r="A22" t="s">
        <v>31</v>
      </c>
      <c r="B22" s="6"/>
      <c r="C22" s="20">
        <v>47851.4297</v>
      </c>
      <c r="D22" s="20"/>
      <c r="E22">
        <f t="shared" si="0"/>
        <v>19217.992407251328</v>
      </c>
      <c r="F22">
        <f t="shared" si="1"/>
        <v>19218</v>
      </c>
      <c r="G22">
        <f t="shared" si="2"/>
        <v>-0.007099957547325175</v>
      </c>
      <c r="J22">
        <f>G22</f>
        <v>-0.007099957547325175</v>
      </c>
      <c r="O22">
        <f t="shared" si="3"/>
        <v>-0.018731654352277957</v>
      </c>
      <c r="Q22" s="2">
        <f t="shared" si="4"/>
        <v>32832.9297</v>
      </c>
    </row>
    <row r="23" spans="1:17" ht="12.75">
      <c r="A23" t="s">
        <v>32</v>
      </c>
      <c r="B23" s="6"/>
      <c r="C23" s="20">
        <v>48180.5793</v>
      </c>
      <c r="D23" s="20"/>
      <c r="E23">
        <f t="shared" si="0"/>
        <v>19569.987495878882</v>
      </c>
      <c r="F23">
        <f t="shared" si="1"/>
        <v>19570</v>
      </c>
      <c r="G23">
        <f t="shared" si="2"/>
        <v>-0.011692567873978987</v>
      </c>
      <c r="J23">
        <f>G23</f>
        <v>-0.011692567873978987</v>
      </c>
      <c r="O23">
        <f t="shared" si="3"/>
        <v>-0.01937835308849596</v>
      </c>
      <c r="Q23" s="2">
        <f t="shared" si="4"/>
        <v>33162.0793</v>
      </c>
    </row>
    <row r="24" spans="1:17" ht="12.75">
      <c r="A24" t="s">
        <v>32</v>
      </c>
      <c r="B24" s="6"/>
      <c r="C24" s="20">
        <v>48180.5803</v>
      </c>
      <c r="D24" s="20"/>
      <c r="E24">
        <f t="shared" si="0"/>
        <v>19569.9885652865</v>
      </c>
      <c r="F24">
        <f t="shared" si="1"/>
        <v>19570</v>
      </c>
      <c r="G24">
        <f t="shared" si="2"/>
        <v>-0.010692567870137282</v>
      </c>
      <c r="J24">
        <f>G24</f>
        <v>-0.010692567870137282</v>
      </c>
      <c r="O24">
        <f t="shared" si="3"/>
        <v>-0.01937835308849596</v>
      </c>
      <c r="Q24" s="2">
        <f t="shared" si="4"/>
        <v>33162.0803</v>
      </c>
    </row>
    <row r="25" spans="1:17" ht="12.75">
      <c r="A25" s="52" t="s">
        <v>35</v>
      </c>
      <c r="B25" s="53" t="s">
        <v>36</v>
      </c>
      <c r="C25" s="54">
        <v>52218.3312</v>
      </c>
      <c r="D25" s="54">
        <v>0.0013</v>
      </c>
      <c r="E25">
        <f t="shared" si="0"/>
        <v>23887.990124156677</v>
      </c>
      <c r="F25">
        <f t="shared" si="1"/>
        <v>23888</v>
      </c>
      <c r="G25">
        <f t="shared" si="2"/>
        <v>-0.00923487282852875</v>
      </c>
      <c r="K25">
        <f>G25</f>
        <v>-0.00923487282852875</v>
      </c>
      <c r="O25">
        <f t="shared" si="3"/>
        <v>-0.027311435881079323</v>
      </c>
      <c r="Q25" s="2">
        <f t="shared" si="4"/>
        <v>37199.8312</v>
      </c>
    </row>
    <row r="26" spans="1:17" ht="12.75">
      <c r="A26" s="52" t="s">
        <v>35</v>
      </c>
      <c r="B26" s="53" t="s">
        <v>36</v>
      </c>
      <c r="C26" s="54">
        <v>52218.3312</v>
      </c>
      <c r="D26" s="54">
        <v>0.0013</v>
      </c>
      <c r="E26" s="13">
        <f t="shared" si="0"/>
        <v>23887.990124156677</v>
      </c>
      <c r="F26">
        <f t="shared" si="1"/>
        <v>23888</v>
      </c>
      <c r="G26" s="14">
        <f t="shared" si="2"/>
        <v>-0.00923487282852875</v>
      </c>
      <c r="K26" s="14">
        <f>G26</f>
        <v>-0.00923487282852875</v>
      </c>
      <c r="O26">
        <f t="shared" si="3"/>
        <v>-0.027311435881079323</v>
      </c>
      <c r="Q26" s="2">
        <f t="shared" si="4"/>
        <v>37199.8312</v>
      </c>
    </row>
    <row r="27" spans="1:17" ht="12.75">
      <c r="A27" s="52" t="s">
        <v>35</v>
      </c>
      <c r="B27" s="53" t="s">
        <v>37</v>
      </c>
      <c r="C27" s="54">
        <v>52224.414</v>
      </c>
      <c r="D27" s="54">
        <v>0.004</v>
      </c>
      <c r="E27">
        <f t="shared" si="0"/>
        <v>23894.495116795595</v>
      </c>
      <c r="F27">
        <f t="shared" si="1"/>
        <v>23894.5</v>
      </c>
      <c r="G27">
        <f t="shared" si="2"/>
        <v>-0.0045662704651476815</v>
      </c>
      <c r="K27">
        <f>G27</f>
        <v>-0.0045662704651476815</v>
      </c>
      <c r="O27">
        <f t="shared" si="3"/>
        <v>-0.027323377761151527</v>
      </c>
      <c r="Q27" s="2">
        <f t="shared" si="4"/>
        <v>37205.914</v>
      </c>
    </row>
    <row r="28" spans="1:17" ht="12.75">
      <c r="A28" s="52" t="s">
        <v>35</v>
      </c>
      <c r="B28" s="53" t="s">
        <v>37</v>
      </c>
      <c r="C28" s="54">
        <v>52224.414</v>
      </c>
      <c r="D28" s="54">
        <v>0.004</v>
      </c>
      <c r="E28" s="13">
        <f t="shared" si="0"/>
        <v>23894.495116795595</v>
      </c>
      <c r="F28">
        <f t="shared" si="1"/>
        <v>23894.5</v>
      </c>
      <c r="G28" s="14">
        <f t="shared" si="2"/>
        <v>-0.0045662704651476815</v>
      </c>
      <c r="K28" s="14">
        <f>G28</f>
        <v>-0.0045662704651476815</v>
      </c>
      <c r="O28">
        <f t="shared" si="3"/>
        <v>-0.027323377761151527</v>
      </c>
      <c r="Q28" s="2">
        <f t="shared" si="4"/>
        <v>37205.914</v>
      </c>
    </row>
    <row r="29" spans="1:17" ht="12.75">
      <c r="A29" t="s">
        <v>12</v>
      </c>
      <c r="B29" s="6"/>
      <c r="C29" s="20">
        <v>29880.74</v>
      </c>
      <c r="D29" s="20"/>
      <c r="E29">
        <f t="shared" si="0"/>
        <v>0</v>
      </c>
      <c r="F29">
        <f t="shared" si="1"/>
        <v>0</v>
      </c>
      <c r="G29">
        <f t="shared" si="2"/>
        <v>0</v>
      </c>
      <c r="H29">
        <f>+G29</f>
        <v>0</v>
      </c>
      <c r="O29">
        <f t="shared" si="3"/>
        <v>0.016575891990442515</v>
      </c>
      <c r="Q29" s="2">
        <f t="shared" si="4"/>
        <v>14862.240000000002</v>
      </c>
    </row>
    <row r="30" spans="1:17" ht="12.75">
      <c r="A30" s="79" t="s">
        <v>30</v>
      </c>
      <c r="B30" s="6"/>
      <c r="C30" s="20">
        <v>41598.443</v>
      </c>
      <c r="D30" s="20" t="s">
        <v>14</v>
      </c>
      <c r="E30">
        <f t="shared" si="0"/>
        <v>12531.00081542369</v>
      </c>
      <c r="F30">
        <f t="shared" si="1"/>
        <v>12531</v>
      </c>
      <c r="G30">
        <f t="shared" si="2"/>
        <v>0.0007625003563589416</v>
      </c>
      <c r="I30">
        <f aca="true" t="shared" si="5" ref="I30:I40">G30</f>
        <v>0.0007625003563589416</v>
      </c>
      <c r="O30">
        <f t="shared" si="3"/>
        <v>-0.006446215576454677</v>
      </c>
      <c r="Q30" s="2">
        <f t="shared" si="4"/>
        <v>26579.943</v>
      </c>
    </row>
    <row r="31" spans="1:17" ht="12.75">
      <c r="A31" s="79" t="s">
        <v>30</v>
      </c>
      <c r="B31" s="6"/>
      <c r="C31" s="20">
        <v>41599.376</v>
      </c>
      <c r="D31" s="20" t="s">
        <v>14</v>
      </c>
      <c r="E31">
        <f t="shared" si="0"/>
        <v>12531.998572728236</v>
      </c>
      <c r="F31">
        <f t="shared" si="1"/>
        <v>12532</v>
      </c>
      <c r="G31">
        <f t="shared" si="2"/>
        <v>-0.001334637745458167</v>
      </c>
      <c r="I31">
        <f t="shared" si="5"/>
        <v>-0.001334637745458167</v>
      </c>
      <c r="O31">
        <f t="shared" si="3"/>
        <v>-0.006448052788773476</v>
      </c>
      <c r="Q31" s="2">
        <f t="shared" si="4"/>
        <v>26580.875999999997</v>
      </c>
    </row>
    <row r="32" spans="1:17" ht="12.75">
      <c r="A32" s="79" t="s">
        <v>30</v>
      </c>
      <c r="B32" s="6"/>
      <c r="C32" s="20">
        <v>41600.308</v>
      </c>
      <c r="D32" s="20" t="s">
        <v>14</v>
      </c>
      <c r="E32">
        <f t="shared" si="0"/>
        <v>12532.995260625172</v>
      </c>
      <c r="F32">
        <f t="shared" si="1"/>
        <v>12533</v>
      </c>
      <c r="G32">
        <f t="shared" si="2"/>
        <v>-0.004431775836565066</v>
      </c>
      <c r="I32">
        <f t="shared" si="5"/>
        <v>-0.004431775836565066</v>
      </c>
      <c r="O32">
        <f t="shared" si="3"/>
        <v>-0.006449890001092279</v>
      </c>
      <c r="Q32" s="2">
        <f t="shared" si="4"/>
        <v>26581.807999999997</v>
      </c>
    </row>
    <row r="33" spans="1:17" ht="12.75">
      <c r="A33" s="79" t="s">
        <v>30</v>
      </c>
      <c r="B33" s="6"/>
      <c r="C33" s="20">
        <v>41959.374</v>
      </c>
      <c r="D33" s="20" t="s">
        <v>14</v>
      </c>
      <c r="E33">
        <f t="shared" si="0"/>
        <v>12916.983175218244</v>
      </c>
      <c r="F33">
        <f t="shared" si="1"/>
        <v>12917</v>
      </c>
      <c r="G33">
        <f t="shared" si="2"/>
        <v>-0.015732805266452488</v>
      </c>
      <c r="I33">
        <f t="shared" si="5"/>
        <v>-0.015732805266452488</v>
      </c>
      <c r="O33">
        <f t="shared" si="3"/>
        <v>-0.007155379531511921</v>
      </c>
      <c r="Q33" s="2">
        <f t="shared" si="4"/>
        <v>26940.874000000003</v>
      </c>
    </row>
    <row r="34" spans="1:17" ht="12.75">
      <c r="A34" s="79" t="s">
        <v>30</v>
      </c>
      <c r="B34" s="6"/>
      <c r="C34" s="20">
        <v>41960.324</v>
      </c>
      <c r="D34" s="20" t="s">
        <v>14</v>
      </c>
      <c r="E34">
        <f t="shared" si="0"/>
        <v>12917.999112452242</v>
      </c>
      <c r="F34">
        <f t="shared" si="1"/>
        <v>12918</v>
      </c>
      <c r="G34">
        <f t="shared" si="2"/>
        <v>-0.0008299433684442192</v>
      </c>
      <c r="I34">
        <f t="shared" si="5"/>
        <v>-0.0008299433684442192</v>
      </c>
      <c r="O34">
        <f t="shared" si="3"/>
        <v>-0.00715721674383072</v>
      </c>
      <c r="Q34" s="2">
        <f t="shared" si="4"/>
        <v>26941.824</v>
      </c>
    </row>
    <row r="35" spans="1:17" ht="12.75">
      <c r="A35" s="79" t="s">
        <v>30</v>
      </c>
      <c r="B35" s="6"/>
      <c r="C35" s="20">
        <v>47060.3455</v>
      </c>
      <c r="D35" s="20" t="s">
        <v>14</v>
      </c>
      <c r="E35">
        <f t="shared" si="0"/>
        <v>18372.0009398734</v>
      </c>
      <c r="F35">
        <f t="shared" si="1"/>
        <v>18372</v>
      </c>
      <c r="G35">
        <f t="shared" si="2"/>
        <v>0.0008788729246589355</v>
      </c>
      <c r="I35">
        <f t="shared" si="5"/>
        <v>0.0008788729246589355</v>
      </c>
      <c r="O35">
        <f t="shared" si="3"/>
        <v>-0.017177372730572182</v>
      </c>
      <c r="Q35" s="2">
        <f t="shared" si="4"/>
        <v>32041.845500000003</v>
      </c>
    </row>
    <row r="36" spans="1:17" ht="12.75">
      <c r="A36" s="79" t="s">
        <v>30</v>
      </c>
      <c r="B36" s="6"/>
      <c r="C36" s="20">
        <v>48209.5689</v>
      </c>
      <c r="D36" s="20" t="s">
        <v>14</v>
      </c>
      <c r="E36">
        <f t="shared" si="0"/>
        <v>19600.989194867056</v>
      </c>
      <c r="F36">
        <f t="shared" si="1"/>
        <v>19601</v>
      </c>
      <c r="G36">
        <f t="shared" si="2"/>
        <v>-0.010103848893777467</v>
      </c>
      <c r="I36">
        <f t="shared" si="5"/>
        <v>-0.010103848893777467</v>
      </c>
      <c r="O36">
        <f t="shared" si="3"/>
        <v>-0.019435306670378794</v>
      </c>
      <c r="Q36" s="2">
        <f t="shared" si="4"/>
        <v>33191.0689</v>
      </c>
    </row>
    <row r="37" spans="1:17" ht="12.75">
      <c r="A37" s="79" t="s">
        <v>30</v>
      </c>
      <c r="B37" s="6"/>
      <c r="C37" s="20">
        <v>39033.448</v>
      </c>
      <c r="D37" s="20" t="s">
        <v>14</v>
      </c>
      <c r="E37">
        <f t="shared" si="0"/>
        <v>9787.97563066199</v>
      </c>
      <c r="F37">
        <f t="shared" si="1"/>
        <v>9788</v>
      </c>
      <c r="G37">
        <f t="shared" si="2"/>
        <v>-0.022787698231695686</v>
      </c>
      <c r="I37">
        <f t="shared" si="5"/>
        <v>-0.022787698231695686</v>
      </c>
      <c r="O37">
        <f t="shared" si="3"/>
        <v>-0.0014067421859831272</v>
      </c>
      <c r="Q37" s="2">
        <f t="shared" si="4"/>
        <v>24014.947999999997</v>
      </c>
    </row>
    <row r="38" spans="1:17" ht="12.75">
      <c r="A38" t="s">
        <v>30</v>
      </c>
      <c r="B38" s="6"/>
      <c r="C38" s="20">
        <v>47804.667</v>
      </c>
      <c r="D38" s="20" t="s">
        <v>14</v>
      </c>
      <c r="E38">
        <f t="shared" si="0"/>
        <v>19167.98401978568</v>
      </c>
      <c r="F38">
        <f t="shared" si="1"/>
        <v>19168</v>
      </c>
      <c r="G38">
        <f t="shared" si="2"/>
        <v>-0.014943052679882385</v>
      </c>
      <c r="I38">
        <f t="shared" si="5"/>
        <v>-0.014943052679882385</v>
      </c>
      <c r="O38">
        <f t="shared" si="3"/>
        <v>-0.018639793736337902</v>
      </c>
      <c r="Q38" s="2">
        <f t="shared" si="4"/>
        <v>32786.167</v>
      </c>
    </row>
    <row r="39" spans="1:17" ht="12.75">
      <c r="A39" t="s">
        <v>33</v>
      </c>
      <c r="B39" s="6"/>
      <c r="C39" s="20">
        <v>50013.371</v>
      </c>
      <c r="D39" s="20">
        <v>0.0022</v>
      </c>
      <c r="E39">
        <f t="shared" si="0"/>
        <v>21529.9888960852</v>
      </c>
      <c r="F39">
        <f t="shared" si="1"/>
        <v>21530</v>
      </c>
      <c r="G39">
        <f t="shared" si="2"/>
        <v>-0.010383238950453233</v>
      </c>
      <c r="I39">
        <f t="shared" si="5"/>
        <v>-0.010383238950453233</v>
      </c>
      <c r="O39">
        <f t="shared" si="3"/>
        <v>-0.02297928923334621</v>
      </c>
      <c r="Q39" s="2">
        <f t="shared" si="4"/>
        <v>34994.871</v>
      </c>
    </row>
    <row r="40" spans="1:17" ht="12.75">
      <c r="A40" s="52" t="s">
        <v>34</v>
      </c>
      <c r="B40" s="53"/>
      <c r="C40" s="54">
        <v>51468.3842</v>
      </c>
      <c r="D40" s="54">
        <v>0.0005</v>
      </c>
      <c r="E40">
        <f t="shared" si="0"/>
        <v>23085.991091707692</v>
      </c>
      <c r="F40">
        <f t="shared" si="1"/>
        <v>23086</v>
      </c>
      <c r="G40">
        <f t="shared" si="2"/>
        <v>-0.008330118638696149</v>
      </c>
      <c r="I40">
        <f t="shared" si="5"/>
        <v>-0.008330118638696149</v>
      </c>
      <c r="O40">
        <f t="shared" si="3"/>
        <v>-0.025837991601400802</v>
      </c>
      <c r="Q40" s="2">
        <f t="shared" si="4"/>
        <v>36449.8842</v>
      </c>
    </row>
    <row r="41" spans="1:17" ht="12.75">
      <c r="A41" s="52" t="s">
        <v>41</v>
      </c>
      <c r="B41" s="53"/>
      <c r="C41" s="54">
        <v>51770.4167</v>
      </c>
      <c r="D41" s="54">
        <v>0.0006</v>
      </c>
      <c r="E41">
        <f t="shared" si="0"/>
        <v>23408.986947105674</v>
      </c>
      <c r="F41">
        <f t="shared" si="1"/>
        <v>23409</v>
      </c>
      <c r="G41">
        <f t="shared" si="2"/>
        <v>-0.012205724124214612</v>
      </c>
      <c r="I41">
        <f>+C41-(C$7+F41*C$8)</f>
        <v>-0.012205724124214612</v>
      </c>
      <c r="O41">
        <f t="shared" si="3"/>
        <v>-0.026431411180373572</v>
      </c>
      <c r="Q41" s="2">
        <f t="shared" si="4"/>
        <v>36751.9167</v>
      </c>
    </row>
    <row r="42" spans="1:17" ht="12.75">
      <c r="A42" s="73" t="s">
        <v>85</v>
      </c>
      <c r="B42" s="74" t="s">
        <v>36</v>
      </c>
      <c r="C42" s="73">
        <v>52322.4207</v>
      </c>
      <c r="D42" s="52"/>
      <c r="E42">
        <f t="shared" si="0"/>
        <v>23999.30422807082</v>
      </c>
      <c r="F42">
        <f t="shared" si="1"/>
        <v>23999.5</v>
      </c>
      <c r="G42">
        <f t="shared" si="2"/>
        <v>-0.18306577069597552</v>
      </c>
      <c r="I42">
        <f aca="true" t="shared" si="6" ref="I42:I53">G42</f>
        <v>-0.18306577069597552</v>
      </c>
      <c r="O42">
        <f t="shared" si="3"/>
        <v>-0.027516285054625646</v>
      </c>
      <c r="Q42" s="2">
        <f t="shared" si="4"/>
        <v>37303.9207</v>
      </c>
    </row>
    <row r="43" spans="1:17" ht="12.75">
      <c r="A43" s="73" t="s">
        <v>85</v>
      </c>
      <c r="B43" s="74" t="s">
        <v>36</v>
      </c>
      <c r="C43" s="73">
        <v>52323.3349</v>
      </c>
      <c r="D43" s="52"/>
      <c r="E43">
        <f t="shared" si="0"/>
        <v>24000.28188051221</v>
      </c>
      <c r="F43">
        <f t="shared" si="1"/>
        <v>24000.5</v>
      </c>
      <c r="G43">
        <f t="shared" si="2"/>
        <v>-0.20396290879580192</v>
      </c>
      <c r="I43">
        <f t="shared" si="6"/>
        <v>-0.20396290879580192</v>
      </c>
      <c r="O43">
        <f t="shared" si="3"/>
        <v>-0.02751812226694445</v>
      </c>
      <c r="Q43" s="2">
        <f t="shared" si="4"/>
        <v>37304.8349</v>
      </c>
    </row>
    <row r="44" spans="1:17" ht="12.75">
      <c r="A44" s="73" t="s">
        <v>85</v>
      </c>
      <c r="B44" s="74" t="s">
        <v>36</v>
      </c>
      <c r="C44" s="73">
        <v>52353.4921</v>
      </c>
      <c r="D44" s="52"/>
      <c r="E44">
        <f t="shared" si="0"/>
        <v>24032.53221983135</v>
      </c>
      <c r="F44">
        <f t="shared" si="1"/>
        <v>24032.5</v>
      </c>
      <c r="G44">
        <f t="shared" si="2"/>
        <v>0.030128672085993458</v>
      </c>
      <c r="I44">
        <f t="shared" si="6"/>
        <v>0.030128672085993458</v>
      </c>
      <c r="O44">
        <f t="shared" si="3"/>
        <v>-0.02757691306114609</v>
      </c>
      <c r="Q44" s="2">
        <f t="shared" si="4"/>
        <v>37334.9921</v>
      </c>
    </row>
    <row r="45" spans="1:17" ht="12.75">
      <c r="A45" s="73" t="s">
        <v>85</v>
      </c>
      <c r="B45" s="74" t="s">
        <v>36</v>
      </c>
      <c r="C45" s="73">
        <v>52364.464</v>
      </c>
      <c r="D45" s="52"/>
      <c r="E45">
        <f t="shared" si="0"/>
        <v>24044.26565323948</v>
      </c>
      <c r="F45">
        <f t="shared" si="1"/>
        <v>24044.5</v>
      </c>
      <c r="G45">
        <f t="shared" si="2"/>
        <v>-0.219136985084333</v>
      </c>
      <c r="I45">
        <f t="shared" si="6"/>
        <v>-0.219136985084333</v>
      </c>
      <c r="O45">
        <f t="shared" si="3"/>
        <v>-0.0275989596089717</v>
      </c>
      <c r="Q45" s="2">
        <f t="shared" si="4"/>
        <v>37345.964</v>
      </c>
    </row>
    <row r="46" spans="1:17" ht="12.75">
      <c r="A46" s="73" t="s">
        <v>85</v>
      </c>
      <c r="B46" s="74" t="s">
        <v>36</v>
      </c>
      <c r="C46" s="73">
        <v>52391.4222</v>
      </c>
      <c r="D46" s="52"/>
      <c r="E46">
        <f t="shared" si="0"/>
        <v>24073.094957599078</v>
      </c>
      <c r="F46">
        <f t="shared" si="1"/>
        <v>24073</v>
      </c>
      <c r="G46">
        <f t="shared" si="2"/>
        <v>0.0887945791328093</v>
      </c>
      <c r="I46">
        <f t="shared" si="6"/>
        <v>0.0887945791328093</v>
      </c>
      <c r="O46">
        <f t="shared" si="3"/>
        <v>-0.02765132016005753</v>
      </c>
      <c r="Q46" s="2">
        <f t="shared" si="4"/>
        <v>37372.9222</v>
      </c>
    </row>
    <row r="47" spans="1:17" ht="12.75">
      <c r="A47" s="73" t="s">
        <v>85</v>
      </c>
      <c r="B47" s="74" t="s">
        <v>36</v>
      </c>
      <c r="C47" s="73">
        <v>52397.3629</v>
      </c>
      <c r="D47" s="52"/>
      <c r="E47">
        <f t="shared" si="0"/>
        <v>24079.44798741594</v>
      </c>
      <c r="F47">
        <f t="shared" si="1"/>
        <v>24079.5</v>
      </c>
      <c r="G47">
        <f t="shared" si="2"/>
        <v>-0.04863681850110879</v>
      </c>
      <c r="I47">
        <f t="shared" si="6"/>
        <v>-0.04863681850110879</v>
      </c>
      <c r="O47">
        <f t="shared" si="3"/>
        <v>-0.02766326204012974</v>
      </c>
      <c r="Q47" s="2">
        <f t="shared" si="4"/>
        <v>37378.8629</v>
      </c>
    </row>
    <row r="48" spans="1:17" ht="12.75">
      <c r="A48" s="73" t="s">
        <v>85</v>
      </c>
      <c r="B48" s="74" t="s">
        <v>37</v>
      </c>
      <c r="C48" s="73">
        <v>52399.4204</v>
      </c>
      <c r="E48">
        <f t="shared" si="0"/>
        <v>24081.648293583265</v>
      </c>
      <c r="F48">
        <f t="shared" si="1"/>
        <v>24081.5</v>
      </c>
      <c r="G48">
        <f t="shared" si="2"/>
        <v>0.1386689053106238</v>
      </c>
      <c r="I48">
        <f t="shared" si="6"/>
        <v>0.1386689053106238</v>
      </c>
      <c r="O48">
        <f t="shared" si="3"/>
        <v>-0.027666936464767346</v>
      </c>
      <c r="Q48" s="2">
        <f t="shared" si="4"/>
        <v>37380.9204</v>
      </c>
    </row>
    <row r="49" spans="1:17" ht="12.75">
      <c r="A49" s="73" t="s">
        <v>85</v>
      </c>
      <c r="B49" s="74" t="s">
        <v>37</v>
      </c>
      <c r="C49" s="73">
        <v>52692.3397</v>
      </c>
      <c r="E49">
        <f t="shared" si="0"/>
        <v>24394.89842350662</v>
      </c>
      <c r="F49">
        <f t="shared" si="1"/>
        <v>24395</v>
      </c>
      <c r="G49">
        <f t="shared" si="2"/>
        <v>-0.0949838882588665</v>
      </c>
      <c r="I49">
        <f t="shared" si="6"/>
        <v>-0.0949838882588665</v>
      </c>
      <c r="O49">
        <f t="shared" si="3"/>
        <v>-0.0282429025267115</v>
      </c>
      <c r="Q49" s="2">
        <f t="shared" si="4"/>
        <v>37673.8397</v>
      </c>
    </row>
    <row r="50" spans="1:17" ht="12.75">
      <c r="A50" s="73" t="s">
        <v>85</v>
      </c>
      <c r="B50" s="74" t="s">
        <v>37</v>
      </c>
      <c r="C50" s="73">
        <v>52697.3654</v>
      </c>
      <c r="E50">
        <f t="shared" si="0"/>
        <v>24400.272945356006</v>
      </c>
      <c r="F50">
        <f t="shared" si="1"/>
        <v>24400.5</v>
      </c>
      <c r="G50">
        <f t="shared" si="2"/>
        <v>-0.2123181477873004</v>
      </c>
      <c r="I50">
        <f t="shared" si="6"/>
        <v>-0.2123181477873004</v>
      </c>
      <c r="O50">
        <f t="shared" si="3"/>
        <v>-0.028253007194464906</v>
      </c>
      <c r="Q50" s="2">
        <f t="shared" si="4"/>
        <v>37678.8654</v>
      </c>
    </row>
    <row r="51" spans="1:17" ht="12.75">
      <c r="A51" s="73" t="s">
        <v>85</v>
      </c>
      <c r="B51" s="74" t="s">
        <v>36</v>
      </c>
      <c r="C51" s="73">
        <v>52697.5918</v>
      </c>
      <c r="E51">
        <f t="shared" si="0"/>
        <v>24400.515059239984</v>
      </c>
      <c r="F51">
        <f t="shared" si="1"/>
        <v>24400.5</v>
      </c>
      <c r="G51">
        <f t="shared" si="2"/>
        <v>0.014081852212257218</v>
      </c>
      <c r="I51">
        <f t="shared" si="6"/>
        <v>0.014081852212257218</v>
      </c>
      <c r="O51">
        <f t="shared" si="3"/>
        <v>-0.028253007194464906</v>
      </c>
      <c r="Q51" s="2">
        <f t="shared" si="4"/>
        <v>37679.0918</v>
      </c>
    </row>
    <row r="52" spans="1:17" ht="12.75">
      <c r="A52" s="73" t="s">
        <v>85</v>
      </c>
      <c r="B52" s="74" t="s">
        <v>36</v>
      </c>
      <c r="C52" s="73">
        <v>52698.5051</v>
      </c>
      <c r="E52">
        <f t="shared" si="0"/>
        <v>24401.49174921452</v>
      </c>
      <c r="F52">
        <f t="shared" si="1"/>
        <v>24401.5</v>
      </c>
      <c r="G52">
        <f t="shared" si="2"/>
        <v>-0.0077152858866611496</v>
      </c>
      <c r="I52">
        <f t="shared" si="6"/>
        <v>-0.0077152858866611496</v>
      </c>
      <c r="O52">
        <f t="shared" si="3"/>
        <v>-0.028254844406783712</v>
      </c>
      <c r="Q52" s="2">
        <f t="shared" si="4"/>
        <v>37680.0051</v>
      </c>
    </row>
    <row r="53" spans="1:17" ht="12.75">
      <c r="A53" s="73" t="s">
        <v>120</v>
      </c>
      <c r="B53" s="74" t="s">
        <v>36</v>
      </c>
      <c r="C53" s="73">
        <v>53082.3585</v>
      </c>
      <c r="E53">
        <f aca="true" t="shared" si="7" ref="E53:E72">+(C53-C$7)/C$8</f>
        <v>24811.987498117116</v>
      </c>
      <c r="F53">
        <f aca="true" t="shared" si="8" ref="F53:F74">ROUND(2*E53,0)/2</f>
        <v>24812</v>
      </c>
      <c r="G53">
        <f t="shared" si="2"/>
        <v>-0.011690474901115522</v>
      </c>
      <c r="I53">
        <f t="shared" si="6"/>
        <v>-0.011690474901115522</v>
      </c>
      <c r="O53">
        <f aca="true" t="shared" si="9" ref="O53:O72">+C$11+C$12*F53</f>
        <v>-0.02900902006365158</v>
      </c>
      <c r="Q53" s="2">
        <f aca="true" t="shared" si="10" ref="Q53:Q72">+C53-15018.5</f>
        <v>38063.8585</v>
      </c>
    </row>
    <row r="54" spans="1:21" ht="12.75">
      <c r="A54" s="55" t="s">
        <v>63</v>
      </c>
      <c r="B54" s="56" t="s">
        <v>36</v>
      </c>
      <c r="C54" s="55">
        <v>55592.4724</v>
      </c>
      <c r="D54" s="55">
        <v>0.00049</v>
      </c>
      <c r="E54">
        <f t="shared" si="7"/>
        <v>27496.32241663368</v>
      </c>
      <c r="F54">
        <f t="shared" si="8"/>
        <v>27496.5</v>
      </c>
      <c r="O54">
        <f t="shared" si="9"/>
        <v>-0.03394101653347326</v>
      </c>
      <c r="Q54" s="2">
        <f t="shared" si="10"/>
        <v>40573.9724</v>
      </c>
      <c r="U54">
        <f>+C54-(C$7+F54*C$8)</f>
        <v>-0.16605769762099953</v>
      </c>
    </row>
    <row r="55" spans="1:21" ht="12.75">
      <c r="A55" s="55" t="s">
        <v>63</v>
      </c>
      <c r="B55" s="56" t="s">
        <v>36</v>
      </c>
      <c r="C55" s="55">
        <v>55617.60629</v>
      </c>
      <c r="D55" s="55">
        <v>0.00029</v>
      </c>
      <c r="E55">
        <f t="shared" si="7"/>
        <v>27523.20078998764</v>
      </c>
      <c r="F55">
        <f t="shared" si="8"/>
        <v>27523</v>
      </c>
      <c r="O55">
        <f t="shared" si="9"/>
        <v>-0.033989702659921496</v>
      </c>
      <c r="Q55" s="2">
        <f t="shared" si="10"/>
        <v>40599.10629</v>
      </c>
      <c r="U55">
        <f>+C55-(C$7+F55*C$8)</f>
        <v>0.18775814280525083</v>
      </c>
    </row>
    <row r="56" spans="1:21" ht="12.75">
      <c r="A56" s="57" t="s">
        <v>67</v>
      </c>
      <c r="B56" s="58" t="s">
        <v>36</v>
      </c>
      <c r="C56" s="59">
        <v>56001.4582</v>
      </c>
      <c r="D56" s="59">
        <v>0.0016</v>
      </c>
      <c r="E56">
        <f t="shared" si="7"/>
        <v>27933.694945472886</v>
      </c>
      <c r="F56">
        <f t="shared" si="8"/>
        <v>27933.5</v>
      </c>
      <c r="O56">
        <f t="shared" si="9"/>
        <v>-0.034743878316789364</v>
      </c>
      <c r="Q56" s="2">
        <f t="shared" si="10"/>
        <v>40982.9582</v>
      </c>
      <c r="U56">
        <f>+C56-(C$7+F56*C$8)</f>
        <v>0.1822929537811433</v>
      </c>
    </row>
    <row r="57" spans="1:17" ht="12.75">
      <c r="A57" s="52" t="s">
        <v>42</v>
      </c>
      <c r="B57" s="53"/>
      <c r="C57" s="54">
        <v>52968.2774</v>
      </c>
      <c r="D57" s="54">
        <v>0.0001</v>
      </c>
      <c r="E57" s="13">
        <f t="shared" si="7"/>
        <v>24689.988301079567</v>
      </c>
      <c r="F57">
        <f t="shared" si="8"/>
        <v>24690</v>
      </c>
      <c r="G57" s="14">
        <f>+C57-(C$7+F57*C$8)</f>
        <v>-0.010939627019979525</v>
      </c>
      <c r="I57" s="14">
        <f>G57</f>
        <v>-0.010939627019979525</v>
      </c>
      <c r="O57">
        <f t="shared" si="9"/>
        <v>-0.028784880160757843</v>
      </c>
      <c r="Q57" s="2">
        <f t="shared" si="10"/>
        <v>37949.7774</v>
      </c>
    </row>
    <row r="58" spans="1:17" ht="12.75">
      <c r="A58" s="52" t="s">
        <v>38</v>
      </c>
      <c r="B58" s="53"/>
      <c r="C58" s="54">
        <v>52968.277416</v>
      </c>
      <c r="D58" s="54">
        <v>0.0001</v>
      </c>
      <c r="E58">
        <f t="shared" si="7"/>
        <v>24689.988318190088</v>
      </c>
      <c r="F58">
        <f t="shared" si="8"/>
        <v>24690</v>
      </c>
      <c r="G58">
        <f>+C58-(C$7+F58*C$8)</f>
        <v>-0.010923627021838911</v>
      </c>
      <c r="N58">
        <f>G58</f>
        <v>-0.010923627021838911</v>
      </c>
      <c r="O58">
        <f t="shared" si="9"/>
        <v>-0.028784880160757843</v>
      </c>
      <c r="Q58" s="2">
        <f t="shared" si="10"/>
        <v>37949.777416</v>
      </c>
    </row>
    <row r="59" spans="1:17" ht="12.75">
      <c r="A59" t="s">
        <v>28</v>
      </c>
      <c r="B59" s="6"/>
      <c r="C59" s="20">
        <v>38643.492</v>
      </c>
      <c r="D59" s="20"/>
      <c r="E59">
        <f t="shared" si="7"/>
        <v>9370.953714849706</v>
      </c>
      <c r="F59">
        <f t="shared" si="8"/>
        <v>9371</v>
      </c>
      <c r="G59">
        <f>+C59-(C$7+F59*C$8)</f>
        <v>-0.04328111157519743</v>
      </c>
      <c r="N59">
        <f>G59</f>
        <v>-0.04328111157519743</v>
      </c>
      <c r="O59">
        <f t="shared" si="9"/>
        <v>-0.0006406246490430478</v>
      </c>
      <c r="Q59" s="2">
        <f t="shared" si="10"/>
        <v>23624.992</v>
      </c>
    </row>
    <row r="60" spans="1:17" ht="12.75">
      <c r="A60" t="s">
        <v>29</v>
      </c>
      <c r="B60" s="6"/>
      <c r="C60" s="20">
        <v>42652.328</v>
      </c>
      <c r="D60" s="20"/>
      <c r="E60">
        <f t="shared" si="7"/>
        <v>13658.033459480534</v>
      </c>
      <c r="F60">
        <f t="shared" si="8"/>
        <v>13658</v>
      </c>
      <c r="G60">
        <f>+C60-(C$7+F60*C$8)</f>
        <v>0.03128786449087784</v>
      </c>
      <c r="N60">
        <f>G60</f>
        <v>0.03128786449087784</v>
      </c>
      <c r="O60">
        <f t="shared" si="9"/>
        <v>-0.00851675385974357</v>
      </c>
      <c r="Q60" s="2">
        <f t="shared" si="10"/>
        <v>27633.828</v>
      </c>
    </row>
    <row r="61" spans="1:21" ht="12.75">
      <c r="A61" s="55" t="s">
        <v>60</v>
      </c>
      <c r="B61" s="56" t="s">
        <v>37</v>
      </c>
      <c r="C61" s="55">
        <v>54942.4403</v>
      </c>
      <c r="D61" s="55">
        <v>0.001</v>
      </c>
      <c r="E61">
        <f t="shared" si="7"/>
        <v>26801.17313907036</v>
      </c>
      <c r="F61">
        <f t="shared" si="8"/>
        <v>26801</v>
      </c>
      <c r="O61">
        <f t="shared" si="9"/>
        <v>-0.03266323536574706</v>
      </c>
      <c r="Q61" s="2">
        <f t="shared" si="10"/>
        <v>39923.9403</v>
      </c>
      <c r="U61">
        <f>+C61-(C$7+F61*C$8)</f>
        <v>0.16190184919105377</v>
      </c>
    </row>
    <row r="62" spans="1:21" ht="12.75">
      <c r="A62" s="55" t="s">
        <v>60</v>
      </c>
      <c r="B62" s="56" t="s">
        <v>37</v>
      </c>
      <c r="C62" s="55">
        <v>54942.44104</v>
      </c>
      <c r="D62" s="55">
        <v>0.0009</v>
      </c>
      <c r="E62">
        <f t="shared" si="7"/>
        <v>26801.173930431993</v>
      </c>
      <c r="F62">
        <f t="shared" si="8"/>
        <v>26801</v>
      </c>
      <c r="O62">
        <f t="shared" si="9"/>
        <v>-0.03266323536574706</v>
      </c>
      <c r="Q62" s="2">
        <f t="shared" si="10"/>
        <v>39923.94104</v>
      </c>
      <c r="U62">
        <f>+C62-(C$7+F62*C$8)</f>
        <v>0.1626418491869117</v>
      </c>
    </row>
    <row r="63" spans="1:21" ht="12.75">
      <c r="A63" s="55" t="s">
        <v>60</v>
      </c>
      <c r="B63" s="56" t="s">
        <v>37</v>
      </c>
      <c r="C63" s="55">
        <v>54942.44115</v>
      </c>
      <c r="D63" s="55">
        <v>0.0007</v>
      </c>
      <c r="E63">
        <f t="shared" si="7"/>
        <v>26801.17404806683</v>
      </c>
      <c r="F63">
        <f t="shared" si="8"/>
        <v>26801</v>
      </c>
      <c r="O63">
        <f t="shared" si="9"/>
        <v>-0.03266323536574706</v>
      </c>
      <c r="Q63" s="2">
        <f t="shared" si="10"/>
        <v>39923.94115</v>
      </c>
      <c r="U63">
        <f>+C63-(C$7+F63*C$8)</f>
        <v>0.16275184918777086</v>
      </c>
    </row>
    <row r="64" spans="1:17" ht="12.75">
      <c r="A64" s="73" t="s">
        <v>139</v>
      </c>
      <c r="B64" s="74" t="s">
        <v>37</v>
      </c>
      <c r="C64" s="73">
        <v>54942.441</v>
      </c>
      <c r="E64">
        <f t="shared" si="7"/>
        <v>26801.17388765569</v>
      </c>
      <c r="F64">
        <f t="shared" si="8"/>
        <v>26801</v>
      </c>
      <c r="G64">
        <f>+C64-(C$7+F64*C$8)</f>
        <v>0.1626018491879222</v>
      </c>
      <c r="L64">
        <f>G64</f>
        <v>0.1626018491879222</v>
      </c>
      <c r="O64">
        <f t="shared" si="9"/>
        <v>-0.03266323536574706</v>
      </c>
      <c r="Q64" s="2">
        <f t="shared" si="10"/>
        <v>39923.941</v>
      </c>
    </row>
    <row r="65" spans="1:17" ht="12.75">
      <c r="A65" s="73" t="s">
        <v>139</v>
      </c>
      <c r="B65" s="74" t="s">
        <v>37</v>
      </c>
      <c r="C65" s="73">
        <v>54942.4411</v>
      </c>
      <c r="E65">
        <f t="shared" si="7"/>
        <v>26801.173994596447</v>
      </c>
      <c r="F65">
        <f t="shared" si="8"/>
        <v>26801</v>
      </c>
      <c r="G65">
        <f>+C65-(C$7+F65*C$8)</f>
        <v>0.16270184918539599</v>
      </c>
      <c r="L65">
        <f>G65</f>
        <v>0.16270184918539599</v>
      </c>
      <c r="O65">
        <f t="shared" si="9"/>
        <v>-0.03266323536574706</v>
      </c>
      <c r="Q65" s="2">
        <f t="shared" si="10"/>
        <v>39923.9411</v>
      </c>
    </row>
    <row r="66" spans="1:21" ht="12.75">
      <c r="A66" s="57" t="s">
        <v>66</v>
      </c>
      <c r="B66" s="58" t="s">
        <v>36</v>
      </c>
      <c r="C66" s="59">
        <v>55957.5916</v>
      </c>
      <c r="D66" s="59">
        <v>0.0001</v>
      </c>
      <c r="E66">
        <f t="shared" si="7"/>
        <v>27886.783669400273</v>
      </c>
      <c r="F66">
        <f t="shared" si="8"/>
        <v>27887</v>
      </c>
      <c r="O66">
        <f t="shared" si="9"/>
        <v>-0.034658447943965116</v>
      </c>
      <c r="Q66" s="2">
        <f t="shared" si="10"/>
        <v>40939.0916</v>
      </c>
      <c r="U66">
        <f>+C66-(C$7+F66*C$8)</f>
        <v>-0.20229012468917063</v>
      </c>
    </row>
    <row r="67" spans="1:17" ht="12.75">
      <c r="A67" s="57" t="s">
        <v>66</v>
      </c>
      <c r="B67" s="58" t="s">
        <v>36</v>
      </c>
      <c r="C67" s="59">
        <v>56012.4254</v>
      </c>
      <c r="D67" s="59">
        <v>0.0005</v>
      </c>
      <c r="E67">
        <f t="shared" si="7"/>
        <v>27945.423352665224</v>
      </c>
      <c r="F67">
        <f t="shared" si="8"/>
        <v>27945.5</v>
      </c>
      <c r="G67">
        <f aca="true" t="shared" si="11" ref="G67:G72">+C67-(C$7+F67*C$8)</f>
        <v>-0.07167270339414245</v>
      </c>
      <c r="L67">
        <f>G67</f>
        <v>-0.07167270339414245</v>
      </c>
      <c r="O67">
        <f t="shared" si="9"/>
        <v>-0.03476592486461498</v>
      </c>
      <c r="Q67" s="2">
        <f t="shared" si="10"/>
        <v>40993.9254</v>
      </c>
    </row>
    <row r="68" spans="1:17" ht="12.75">
      <c r="A68" s="52" t="s">
        <v>39</v>
      </c>
      <c r="B68" s="53"/>
      <c r="C68" s="54">
        <v>52583.9598</v>
      </c>
      <c r="D68" s="54"/>
      <c r="E68">
        <f t="shared" si="7"/>
        <v>24278.99613316221</v>
      </c>
      <c r="F68">
        <f t="shared" si="8"/>
        <v>24279</v>
      </c>
      <c r="G68">
        <f t="shared" si="11"/>
        <v>-0.0036158689472358674</v>
      </c>
      <c r="N68">
        <f>G68</f>
        <v>-0.0036158689472358674</v>
      </c>
      <c r="O68">
        <f t="shared" si="9"/>
        <v>-0.028029785897730572</v>
      </c>
      <c r="Q68" s="2">
        <f t="shared" si="10"/>
        <v>37565.4598</v>
      </c>
    </row>
    <row r="69" spans="1:17" ht="12.75">
      <c r="A69" s="52" t="s">
        <v>39</v>
      </c>
      <c r="B69" s="53"/>
      <c r="C69" s="54">
        <v>52583.9598</v>
      </c>
      <c r="D69" s="54"/>
      <c r="E69" s="13">
        <f t="shared" si="7"/>
        <v>24278.99613316221</v>
      </c>
      <c r="F69">
        <f t="shared" si="8"/>
        <v>24279</v>
      </c>
      <c r="G69" s="14">
        <f t="shared" si="11"/>
        <v>-0.0036158689472358674</v>
      </c>
      <c r="N69" s="14">
        <f>G69</f>
        <v>-0.0036158689472358674</v>
      </c>
      <c r="O69">
        <f t="shared" si="9"/>
        <v>-0.028029785897730572</v>
      </c>
      <c r="Q69" s="2">
        <f t="shared" si="10"/>
        <v>37565.4598</v>
      </c>
    </row>
    <row r="70" spans="1:17" ht="12.75">
      <c r="A70" s="73" t="s">
        <v>125</v>
      </c>
      <c r="B70" s="74" t="s">
        <v>37</v>
      </c>
      <c r="C70" s="73">
        <v>53460.9423</v>
      </c>
      <c r="E70">
        <f t="shared" si="7"/>
        <v>25216.847896653093</v>
      </c>
      <c r="F70">
        <f t="shared" si="8"/>
        <v>25217</v>
      </c>
      <c r="G70">
        <f t="shared" si="11"/>
        <v>-0.14223140438843984</v>
      </c>
      <c r="M70">
        <f>G70</f>
        <v>-0.14223140438843984</v>
      </c>
      <c r="O70">
        <f t="shared" si="9"/>
        <v>-0.029753091052766044</v>
      </c>
      <c r="Q70" s="2">
        <f t="shared" si="10"/>
        <v>38442.4423</v>
      </c>
    </row>
    <row r="71" spans="1:17" ht="12.75">
      <c r="A71" s="73" t="s">
        <v>125</v>
      </c>
      <c r="B71" s="74" t="s">
        <v>36</v>
      </c>
      <c r="C71" s="73">
        <v>53461.1839</v>
      </c>
      <c r="E71">
        <f t="shared" si="7"/>
        <v>25217.106265532813</v>
      </c>
      <c r="F71">
        <f t="shared" si="8"/>
        <v>25217</v>
      </c>
      <c r="G71">
        <f t="shared" si="11"/>
        <v>0.09936859561275924</v>
      </c>
      <c r="M71">
        <f>G71</f>
        <v>0.09936859561275924</v>
      </c>
      <c r="O71">
        <f t="shared" si="9"/>
        <v>-0.029753091052766044</v>
      </c>
      <c r="Q71" s="2">
        <f t="shared" si="10"/>
        <v>38442.6839</v>
      </c>
    </row>
    <row r="72" spans="1:17" ht="12.75">
      <c r="A72" s="75" t="s">
        <v>168</v>
      </c>
      <c r="B72" s="76" t="s">
        <v>36</v>
      </c>
      <c r="C72" s="77">
        <v>58101.2203</v>
      </c>
      <c r="D72" s="78" t="s">
        <v>77</v>
      </c>
      <c r="E72">
        <f t="shared" si="7"/>
        <v>30179.196524348517</v>
      </c>
      <c r="F72">
        <f t="shared" si="8"/>
        <v>30179</v>
      </c>
      <c r="G72">
        <f t="shared" si="11"/>
        <v>0.18376935586275067</v>
      </c>
      <c r="L72">
        <f>G72</f>
        <v>0.18376935586275067</v>
      </c>
      <c r="O72">
        <f t="shared" si="9"/>
        <v>-0.03886933857865735</v>
      </c>
      <c r="Q72" s="2">
        <f t="shared" si="10"/>
        <v>43082.7203</v>
      </c>
    </row>
    <row r="73" spans="1:17" ht="12.75">
      <c r="A73" s="80" t="s">
        <v>172</v>
      </c>
      <c r="B73" s="81" t="s">
        <v>37</v>
      </c>
      <c r="C73" s="82">
        <v>57781.57144000009</v>
      </c>
      <c r="D73" s="82">
        <v>0.0007</v>
      </c>
      <c r="E73">
        <f>+(C73-C$7)/C$8</f>
        <v>29837.36159942269</v>
      </c>
      <c r="F73">
        <f t="shared" si="8"/>
        <v>29837.5</v>
      </c>
      <c r="G73">
        <f>+C73-(C$7+F73*C$8)</f>
        <v>-0.1294179837568663</v>
      </c>
      <c r="L73">
        <f>G73</f>
        <v>-0.1294179837568663</v>
      </c>
      <c r="O73">
        <f>+C$11+C$12*F73</f>
        <v>-0.03824193057178675</v>
      </c>
      <c r="Q73" s="2">
        <f>+C73-15018.5</f>
        <v>42763.07144000009</v>
      </c>
    </row>
    <row r="74" spans="1:17" ht="12.75">
      <c r="A74" s="80" t="s">
        <v>172</v>
      </c>
      <c r="B74" s="81" t="s">
        <v>36</v>
      </c>
      <c r="C74" s="82">
        <v>58177.532759999856</v>
      </c>
      <c r="D74" s="82">
        <v>0.0003</v>
      </c>
      <c r="E74">
        <f>+(C74-C$7)/C$8</f>
        <v>30260.80565017166</v>
      </c>
      <c r="F74">
        <f t="shared" si="8"/>
        <v>30261</v>
      </c>
      <c r="G74">
        <f>+C74-(C$7+F74*C$8)</f>
        <v>-0.18173596827546135</v>
      </c>
      <c r="L74">
        <f>G74</f>
        <v>-0.18173596827546135</v>
      </c>
      <c r="O74">
        <f>+C$11+C$12*F74</f>
        <v>-0.03901998998879904</v>
      </c>
      <c r="Q74" s="2">
        <f>+C74-15018.5</f>
        <v>43159.032759999856</v>
      </c>
    </row>
    <row r="75" spans="1:17" ht="12.75">
      <c r="A75" s="83" t="s">
        <v>173</v>
      </c>
      <c r="B75" s="58" t="s">
        <v>36</v>
      </c>
      <c r="C75" s="59">
        <v>59309.4432</v>
      </c>
      <c r="D75" s="59">
        <v>0.0006</v>
      </c>
      <c r="E75">
        <f>+(C75-C$7)/C$8</f>
        <v>31471.279293907843</v>
      </c>
      <c r="F75">
        <f>ROUND(2*E75,0)/2</f>
        <v>31471.5</v>
      </c>
      <c r="G75">
        <f>+C75-(C$7+F75*C$8)</f>
        <v>-0.20638163513649488</v>
      </c>
      <c r="L75">
        <f>G75</f>
        <v>-0.20638163513649488</v>
      </c>
      <c r="O75">
        <f>+C$11+C$12*F75</f>
        <v>-0.04124393550070783</v>
      </c>
      <c r="Q75" s="2">
        <f>+C75-15018.5</f>
        <v>44290.9432</v>
      </c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</sheetData>
  <sheetProtection/>
  <protectedRanges>
    <protectedRange sqref="A73:D74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7" sqref="A17:C1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50</v>
      </c>
      <c r="B1" s="1"/>
    </row>
    <row r="2" spans="1:2" ht="12.75">
      <c r="A2" t="s">
        <v>51</v>
      </c>
      <c r="B2" t="s">
        <v>52</v>
      </c>
    </row>
    <row r="3" ht="12.75">
      <c r="C3" s="32"/>
    </row>
    <row r="4" spans="1:4" ht="12.75">
      <c r="A4" s="8" t="s">
        <v>0</v>
      </c>
      <c r="B4" s="8"/>
      <c r="C4" s="34" t="s">
        <v>53</v>
      </c>
      <c r="D4" s="35" t="s">
        <v>54</v>
      </c>
    </row>
    <row r="6" spans="1:2" ht="12.75">
      <c r="A6" s="8" t="s">
        <v>1</v>
      </c>
      <c r="B6" s="8"/>
    </row>
    <row r="7" spans="1:3" ht="12.75">
      <c r="A7" t="s">
        <v>2</v>
      </c>
      <c r="C7" s="36">
        <v>48500.351</v>
      </c>
    </row>
    <row r="8" spans="1:3" ht="12.75">
      <c r="A8" t="s">
        <v>3</v>
      </c>
      <c r="C8" s="33">
        <v>0.456967074</v>
      </c>
    </row>
    <row r="9" spans="1:4" ht="12.75">
      <c r="A9" s="30" t="s">
        <v>47</v>
      </c>
      <c r="C9" s="27">
        <v>8</v>
      </c>
      <c r="D9" t="s">
        <v>48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>
        <f>INTERCEPT(G21:G996,F21:F996)</f>
        <v>0.001781170680175413</v>
      </c>
      <c r="D11" s="6"/>
    </row>
    <row r="12" spans="1:4" ht="12.75">
      <c r="A12" t="s">
        <v>17</v>
      </c>
      <c r="C12">
        <f>SLOPE(G21:G996,F21:F996)</f>
        <v>-3.6012609466746683E-07</v>
      </c>
      <c r="D12" s="6"/>
    </row>
    <row r="13" spans="1:4" ht="12.75">
      <c r="A13" t="s">
        <v>19</v>
      </c>
      <c r="C13" s="6" t="s">
        <v>14</v>
      </c>
      <c r="D13" s="6"/>
    </row>
    <row r="15" spans="1:5" ht="12.75">
      <c r="A15" s="5" t="s">
        <v>18</v>
      </c>
      <c r="C15" s="22">
        <f>(C7+C11)+(C8+C12)*INT(MAX(F21:F3533))</f>
        <v>53082.35802118433</v>
      </c>
      <c r="D15" s="26" t="s">
        <v>44</v>
      </c>
      <c r="E15" s="28">
        <f ca="1">TODAY()+15018.5-B9/24</f>
        <v>59902.5</v>
      </c>
    </row>
    <row r="16" spans="1:5" ht="12.75">
      <c r="A16" s="8" t="s">
        <v>4</v>
      </c>
      <c r="C16" s="23">
        <f>+C8+C12</f>
        <v>0.4569667138739053</v>
      </c>
      <c r="D16" s="26" t="s">
        <v>46</v>
      </c>
      <c r="E16" s="28">
        <f>ROUND(2*(E15-C15)/C16,0)/2+1</f>
        <v>14926</v>
      </c>
    </row>
    <row r="17" spans="1:5" ht="13.5" thickBot="1">
      <c r="A17" s="26" t="s">
        <v>43</v>
      </c>
      <c r="C17">
        <f>COUNT(C21:C2191)</f>
        <v>15</v>
      </c>
      <c r="D17" s="26" t="s">
        <v>45</v>
      </c>
      <c r="E17" s="29">
        <f>+C15+C16*E16-15018.5-C9/24</f>
        <v>44884.209859132905</v>
      </c>
    </row>
    <row r="18" spans="1:5" ht="12.75">
      <c r="A18" s="8" t="s">
        <v>5</v>
      </c>
      <c r="C18" s="3">
        <f>+C15</f>
        <v>53082.35802118433</v>
      </c>
      <c r="D18" s="4">
        <f>+C16</f>
        <v>0.4569667138739053</v>
      </c>
      <c r="E18" s="31" t="s">
        <v>49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55</v>
      </c>
      <c r="I20" s="10" t="s">
        <v>56</v>
      </c>
      <c r="J20" s="10" t="s">
        <v>40</v>
      </c>
      <c r="K20" s="10" t="s">
        <v>42</v>
      </c>
      <c r="L20" s="10" t="s">
        <v>24</v>
      </c>
      <c r="M20" s="10" t="s">
        <v>58</v>
      </c>
      <c r="N20" s="10" t="s">
        <v>25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55</v>
      </c>
      <c r="B21" t="s">
        <v>36</v>
      </c>
      <c r="C21" s="36">
        <v>48500.351</v>
      </c>
      <c r="D21" s="3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0.001781170680175413</v>
      </c>
      <c r="Q21" s="2">
        <f>+C21-15018.5</f>
        <v>33481.851</v>
      </c>
    </row>
    <row r="22" spans="1:17" ht="12.75">
      <c r="A22" t="s">
        <v>56</v>
      </c>
      <c r="B22" t="s">
        <v>37</v>
      </c>
      <c r="C22" s="36">
        <v>51328.7533</v>
      </c>
      <c r="D22" s="36"/>
      <c r="E22">
        <f aca="true" t="shared" si="0" ref="E22:E35">+(C22-C$7)/C$8</f>
        <v>6189.510056472897</v>
      </c>
      <c r="F22">
        <f aca="true" t="shared" si="1" ref="F22:F35">ROUND(2*E22,0)/2</f>
        <v>6189.5</v>
      </c>
      <c r="G22">
        <f aca="true" t="shared" si="2" ref="G22:G35">+C22-(C$7+F22*C$8)</f>
        <v>0.0045954769957461394</v>
      </c>
      <c r="I22">
        <f>+G22</f>
        <v>0.0045954769957461394</v>
      </c>
      <c r="O22">
        <f aca="true" t="shared" si="3" ref="O22:O35">+C$11+C$12*F22</f>
        <v>-0.0004478297827688728</v>
      </c>
      <c r="Q22" s="2">
        <f aca="true" t="shared" si="4" ref="Q22:Q35">+C22-15018.5</f>
        <v>36310.2533</v>
      </c>
    </row>
    <row r="23" spans="1:17" ht="12.75">
      <c r="A23" t="s">
        <v>56</v>
      </c>
      <c r="B23" t="s">
        <v>36</v>
      </c>
      <c r="C23" s="36">
        <v>51616.87</v>
      </c>
      <c r="D23" s="36"/>
      <c r="E23">
        <f t="shared" si="0"/>
        <v>6820.007780254208</v>
      </c>
      <c r="F23">
        <f t="shared" si="1"/>
        <v>6820</v>
      </c>
      <c r="G23">
        <f t="shared" si="2"/>
        <v>0.0035553199995774776</v>
      </c>
      <c r="I23">
        <f>+G23</f>
        <v>0.0035553199995774776</v>
      </c>
      <c r="O23">
        <f t="shared" si="3"/>
        <v>-0.0006748892854567107</v>
      </c>
      <c r="Q23" s="2">
        <f t="shared" si="4"/>
        <v>36598.37</v>
      </c>
    </row>
    <row r="24" spans="1:17" ht="12.75">
      <c r="A24" s="37" t="s">
        <v>57</v>
      </c>
      <c r="B24" s="24" t="s">
        <v>36</v>
      </c>
      <c r="C24" s="20">
        <v>52322.4207</v>
      </c>
      <c r="D24" s="20">
        <v>0.0002</v>
      </c>
      <c r="E24">
        <f t="shared" si="0"/>
        <v>8363.993638631391</v>
      </c>
      <c r="F24">
        <f t="shared" si="1"/>
        <v>8364</v>
      </c>
      <c r="G24">
        <f t="shared" si="2"/>
        <v>-0.00290693600254599</v>
      </c>
      <c r="J24">
        <f aca="true" t="shared" si="5" ref="J24:J34">+G24</f>
        <v>-0.00290693600254599</v>
      </c>
      <c r="O24">
        <f t="shared" si="3"/>
        <v>-0.0012309239756232795</v>
      </c>
      <c r="Q24" s="2">
        <f t="shared" si="4"/>
        <v>37303.9207</v>
      </c>
    </row>
    <row r="25" spans="1:17" ht="12.75">
      <c r="A25" s="37" t="s">
        <v>57</v>
      </c>
      <c r="B25" s="24" t="s">
        <v>36</v>
      </c>
      <c r="C25" s="20">
        <v>52323.3349</v>
      </c>
      <c r="D25" s="20">
        <v>0.0006</v>
      </c>
      <c r="E25">
        <f t="shared" si="0"/>
        <v>8365.994220406346</v>
      </c>
      <c r="F25">
        <f t="shared" si="1"/>
        <v>8366</v>
      </c>
      <c r="G25">
        <f t="shared" si="2"/>
        <v>-0.0026410840000608005</v>
      </c>
      <c r="J25">
        <f t="shared" si="5"/>
        <v>-0.0026410840000608005</v>
      </c>
      <c r="O25">
        <f t="shared" si="3"/>
        <v>-0.0012316442278126145</v>
      </c>
      <c r="Q25" s="2">
        <f t="shared" si="4"/>
        <v>37304.8349</v>
      </c>
    </row>
    <row r="26" spans="1:17" ht="12.75">
      <c r="A26" s="37" t="s">
        <v>57</v>
      </c>
      <c r="B26" s="24" t="s">
        <v>36</v>
      </c>
      <c r="C26" s="20">
        <v>52353.4921</v>
      </c>
      <c r="D26" s="20">
        <v>0.0003</v>
      </c>
      <c r="E26">
        <f t="shared" si="0"/>
        <v>8431.988471887147</v>
      </c>
      <c r="F26">
        <f t="shared" si="1"/>
        <v>8432</v>
      </c>
      <c r="G26">
        <f t="shared" si="2"/>
        <v>-0.005267968001135159</v>
      </c>
      <c r="J26">
        <f t="shared" si="5"/>
        <v>-0.005267968001135159</v>
      </c>
      <c r="O26">
        <f t="shared" si="3"/>
        <v>-0.0012554125500606674</v>
      </c>
      <c r="Q26" s="2">
        <f t="shared" si="4"/>
        <v>37334.9921</v>
      </c>
    </row>
    <row r="27" spans="1:17" ht="12.75">
      <c r="A27" s="37" t="s">
        <v>57</v>
      </c>
      <c r="B27" s="24" t="s">
        <v>36</v>
      </c>
      <c r="C27" s="20">
        <v>52364.464</v>
      </c>
      <c r="D27" s="20">
        <v>0.0003</v>
      </c>
      <c r="E27">
        <f t="shared" si="0"/>
        <v>8455.998735698839</v>
      </c>
      <c r="F27">
        <f t="shared" si="1"/>
        <v>8456</v>
      </c>
      <c r="G27">
        <f t="shared" si="2"/>
        <v>-0.0005777440019301139</v>
      </c>
      <c r="J27">
        <f t="shared" si="5"/>
        <v>-0.0005777440019301139</v>
      </c>
      <c r="O27">
        <f t="shared" si="3"/>
        <v>-0.0012640555763326867</v>
      </c>
      <c r="Q27" s="2">
        <f t="shared" si="4"/>
        <v>37345.964</v>
      </c>
    </row>
    <row r="28" spans="1:17" ht="12.75">
      <c r="A28" s="37" t="s">
        <v>57</v>
      </c>
      <c r="B28" s="24" t="s">
        <v>36</v>
      </c>
      <c r="C28" s="20">
        <v>52391.4222</v>
      </c>
      <c r="D28" s="20">
        <v>0.0008</v>
      </c>
      <c r="E28">
        <f t="shared" si="0"/>
        <v>8514.99248280632</v>
      </c>
      <c r="F28">
        <f t="shared" si="1"/>
        <v>8515</v>
      </c>
      <c r="G28">
        <f t="shared" si="2"/>
        <v>-0.003435110003920272</v>
      </c>
      <c r="J28">
        <f t="shared" si="5"/>
        <v>-0.003435110003920272</v>
      </c>
      <c r="O28">
        <f t="shared" si="3"/>
        <v>-0.0012853030159180672</v>
      </c>
      <c r="Q28" s="2">
        <f t="shared" si="4"/>
        <v>37372.9222</v>
      </c>
    </row>
    <row r="29" spans="1:17" ht="12.75">
      <c r="A29" s="37" t="s">
        <v>57</v>
      </c>
      <c r="B29" s="24" t="s">
        <v>36</v>
      </c>
      <c r="C29" s="20">
        <v>52397.3629</v>
      </c>
      <c r="D29" s="20">
        <v>0.0001</v>
      </c>
      <c r="E29">
        <f t="shared" si="0"/>
        <v>8527.992762997183</v>
      </c>
      <c r="F29">
        <f t="shared" si="1"/>
        <v>8528</v>
      </c>
      <c r="G29">
        <f t="shared" si="2"/>
        <v>-0.003307072001916822</v>
      </c>
      <c r="J29">
        <f t="shared" si="5"/>
        <v>-0.003307072001916822</v>
      </c>
      <c r="O29">
        <f t="shared" si="3"/>
        <v>-0.0012899846551487442</v>
      </c>
      <c r="Q29" s="2">
        <f t="shared" si="4"/>
        <v>37378.8629</v>
      </c>
    </row>
    <row r="30" spans="1:17" ht="12.75">
      <c r="A30" s="37" t="s">
        <v>57</v>
      </c>
      <c r="B30" s="24" t="s">
        <v>37</v>
      </c>
      <c r="C30" s="20">
        <v>52399.4204</v>
      </c>
      <c r="D30" s="20">
        <v>0.0004</v>
      </c>
      <c r="E30">
        <f t="shared" si="0"/>
        <v>8532.495275578653</v>
      </c>
      <c r="F30">
        <f t="shared" si="1"/>
        <v>8532.5</v>
      </c>
      <c r="G30">
        <f t="shared" si="2"/>
        <v>-0.002158905001124367</v>
      </c>
      <c r="J30">
        <f t="shared" si="5"/>
        <v>-0.002158905001124367</v>
      </c>
      <c r="O30">
        <f t="shared" si="3"/>
        <v>-0.0012916052225747478</v>
      </c>
      <c r="Q30" s="2">
        <f t="shared" si="4"/>
        <v>37380.9204</v>
      </c>
    </row>
    <row r="31" spans="1:17" ht="12.75">
      <c r="A31" s="37" t="s">
        <v>57</v>
      </c>
      <c r="B31" s="24" t="s">
        <v>37</v>
      </c>
      <c r="C31" s="20">
        <v>52692.3397</v>
      </c>
      <c r="D31" s="20">
        <v>0.0003</v>
      </c>
      <c r="E31">
        <f t="shared" si="0"/>
        <v>9173.502728119958</v>
      </c>
      <c r="F31">
        <f t="shared" si="1"/>
        <v>9173.5</v>
      </c>
      <c r="G31">
        <f t="shared" si="2"/>
        <v>0.0012466609914554283</v>
      </c>
      <c r="J31">
        <f t="shared" si="5"/>
        <v>0.0012466609914554283</v>
      </c>
      <c r="O31">
        <f t="shared" si="3"/>
        <v>-0.001522446049256594</v>
      </c>
      <c r="Q31" s="2">
        <f t="shared" si="4"/>
        <v>37673.8397</v>
      </c>
    </row>
    <row r="32" spans="1:17" ht="12.75">
      <c r="A32" s="37" t="s">
        <v>57</v>
      </c>
      <c r="B32" s="24" t="s">
        <v>37</v>
      </c>
      <c r="C32" s="20">
        <v>52697.3654</v>
      </c>
      <c r="D32" s="20">
        <v>0.0007</v>
      </c>
      <c r="E32">
        <f t="shared" si="0"/>
        <v>9184.5006758627</v>
      </c>
      <c r="F32">
        <f t="shared" si="1"/>
        <v>9184.5</v>
      </c>
      <c r="G32">
        <f t="shared" si="2"/>
        <v>0.0003088470039074309</v>
      </c>
      <c r="J32">
        <f t="shared" si="5"/>
        <v>0.0003088470039074309</v>
      </c>
      <c r="O32">
        <f t="shared" si="3"/>
        <v>-0.001526407436297936</v>
      </c>
      <c r="Q32" s="2">
        <f t="shared" si="4"/>
        <v>37678.8654</v>
      </c>
    </row>
    <row r="33" spans="1:17" ht="12.75">
      <c r="A33" s="37" t="s">
        <v>57</v>
      </c>
      <c r="B33" s="24" t="s">
        <v>36</v>
      </c>
      <c r="C33" s="20">
        <v>52697.5918</v>
      </c>
      <c r="D33" s="20">
        <v>0.0005</v>
      </c>
      <c r="E33">
        <f t="shared" si="0"/>
        <v>9184.996116372271</v>
      </c>
      <c r="F33">
        <f t="shared" si="1"/>
        <v>9185</v>
      </c>
      <c r="G33">
        <f t="shared" si="2"/>
        <v>-0.0017746899975463748</v>
      </c>
      <c r="J33">
        <f t="shared" si="5"/>
        <v>-0.0017746899975463748</v>
      </c>
      <c r="O33">
        <f t="shared" si="3"/>
        <v>-0.0015265874993452696</v>
      </c>
      <c r="Q33" s="2">
        <f t="shared" si="4"/>
        <v>37679.0918</v>
      </c>
    </row>
    <row r="34" spans="1:17" ht="12.75">
      <c r="A34" s="37" t="s">
        <v>57</v>
      </c>
      <c r="B34" s="24" t="s">
        <v>36</v>
      </c>
      <c r="C34" s="20">
        <v>52698.5051</v>
      </c>
      <c r="D34" s="20">
        <v>0.0003</v>
      </c>
      <c r="E34">
        <f t="shared" si="0"/>
        <v>9186.994728639902</v>
      </c>
      <c r="F34">
        <f t="shared" si="1"/>
        <v>9187</v>
      </c>
      <c r="G34">
        <f t="shared" si="2"/>
        <v>-0.0024088380014291033</v>
      </c>
      <c r="J34">
        <f t="shared" si="5"/>
        <v>-0.0024088380014291033</v>
      </c>
      <c r="O34">
        <f t="shared" si="3"/>
        <v>-0.0015273077515346046</v>
      </c>
      <c r="Q34" s="2">
        <f t="shared" si="4"/>
        <v>37680.0051</v>
      </c>
    </row>
    <row r="35" spans="1:17" ht="12.75">
      <c r="A35" t="s">
        <v>42</v>
      </c>
      <c r="B35" t="s">
        <v>36</v>
      </c>
      <c r="C35" s="36">
        <v>53082.3585</v>
      </c>
      <c r="D35" s="36">
        <v>0.0003</v>
      </c>
      <c r="E35">
        <f t="shared" si="0"/>
        <v>10026.997043555046</v>
      </c>
      <c r="F35">
        <f t="shared" si="1"/>
        <v>10027</v>
      </c>
      <c r="G35">
        <f t="shared" si="2"/>
        <v>-0.0013509979980881326</v>
      </c>
      <c r="K35">
        <f>+G35</f>
        <v>-0.0013509979980881326</v>
      </c>
      <c r="O35">
        <f t="shared" si="3"/>
        <v>-0.0018298136710552767</v>
      </c>
      <c r="Q35" s="2">
        <f t="shared" si="4"/>
        <v>38063.8585</v>
      </c>
    </row>
    <row r="36" spans="3:17" ht="12.75">
      <c r="C36" s="20"/>
      <c r="D36" s="20"/>
      <c r="Q36" s="2"/>
    </row>
    <row r="37" spans="1:17" ht="12.75">
      <c r="A37" s="12"/>
      <c r="C37" s="20"/>
      <c r="D37" s="20"/>
      <c r="Q37" s="2"/>
    </row>
    <row r="38" spans="3:17" ht="12.75">
      <c r="C38" s="20"/>
      <c r="D38" s="20"/>
      <c r="Q38" s="2"/>
    </row>
    <row r="39" spans="3:17" ht="12.75">
      <c r="C39" s="20"/>
      <c r="D39" s="20"/>
      <c r="Q39" s="2"/>
    </row>
    <row r="40" spans="3:17" ht="12.75">
      <c r="C40" s="20"/>
      <c r="D40" s="20"/>
      <c r="E40" s="13"/>
      <c r="G40" s="14"/>
      <c r="K40" s="14"/>
      <c r="Q40" s="2"/>
    </row>
    <row r="41" spans="3:17" ht="12.75">
      <c r="C41" s="20"/>
      <c r="D41" s="20"/>
      <c r="Q41" s="2"/>
    </row>
    <row r="42" spans="3:17" ht="12.75">
      <c r="C42" s="20"/>
      <c r="D42" s="20"/>
      <c r="E42" s="13"/>
      <c r="G42" s="14"/>
      <c r="K42" s="14"/>
      <c r="Q42" s="2"/>
    </row>
    <row r="43" spans="3:17" ht="12.75">
      <c r="C43" s="20"/>
      <c r="D43" s="20"/>
      <c r="Q43" s="2"/>
    </row>
    <row r="44" spans="3:17" ht="12.75">
      <c r="C44" s="20"/>
      <c r="D44" s="20"/>
      <c r="E44" s="13"/>
      <c r="G44" s="14"/>
      <c r="N44" s="14"/>
      <c r="Q44" s="2"/>
    </row>
    <row r="45" spans="1:17" ht="12.75">
      <c r="A45" s="15"/>
      <c r="B45" s="16"/>
      <c r="C45" s="17"/>
      <c r="D45" s="18"/>
      <c r="E45" s="13"/>
      <c r="G45" s="14"/>
      <c r="I45" s="21"/>
      <c r="Q45" s="2"/>
    </row>
    <row r="46" spans="1:17" ht="12.75">
      <c r="A46" s="19"/>
      <c r="B46" s="16"/>
      <c r="C46" s="17"/>
      <c r="D46" s="17"/>
      <c r="E46" s="13"/>
      <c r="G46" s="14"/>
      <c r="I46" s="21"/>
      <c r="Q46" s="2"/>
    </row>
    <row r="47" spans="1:17" ht="12.75">
      <c r="A47" s="15"/>
      <c r="B47" s="16"/>
      <c r="C47" s="17"/>
      <c r="D47" s="18"/>
      <c r="E47" s="13"/>
      <c r="G47" s="14"/>
      <c r="I47" s="21"/>
      <c r="Q47" s="2"/>
    </row>
    <row r="48" spans="1:17" ht="12.75">
      <c r="A48" s="19"/>
      <c r="B48" s="16"/>
      <c r="C48" s="17"/>
      <c r="D48" s="17"/>
      <c r="E48" s="13"/>
      <c r="G48" s="14"/>
      <c r="I48" s="21"/>
      <c r="Q48" s="2"/>
    </row>
    <row r="49" spans="1:17" ht="12.75">
      <c r="A49" s="15"/>
      <c r="B49" s="16"/>
      <c r="C49" s="17"/>
      <c r="D49" s="18"/>
      <c r="E49" s="13"/>
      <c r="G49" s="14"/>
      <c r="I49" s="21"/>
      <c r="Q49" s="2"/>
    </row>
    <row r="50" spans="1:17" ht="12.75">
      <c r="A50" s="19"/>
      <c r="B50" s="16"/>
      <c r="C50" s="17"/>
      <c r="D50" s="17"/>
      <c r="E50" s="13"/>
      <c r="G50" s="14"/>
      <c r="I50" s="21"/>
      <c r="Q50" s="2"/>
    </row>
    <row r="51" spans="3:17" ht="12.75">
      <c r="C51" s="20"/>
      <c r="D51" s="20"/>
      <c r="E51" s="13"/>
      <c r="G51" s="14"/>
      <c r="L51" s="14"/>
      <c r="Q51" s="2"/>
    </row>
    <row r="52" spans="1:17" ht="12.75">
      <c r="A52" s="25"/>
      <c r="B52" s="24"/>
      <c r="C52" s="20"/>
      <c r="D52" s="20"/>
      <c r="E52" s="13"/>
      <c r="G52" s="14"/>
      <c r="I52" s="14"/>
      <c r="Q52" s="2"/>
    </row>
    <row r="53" ht="12.75">
      <c r="D53" s="20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0">
      <selection activeCell="A18" sqref="A18:C33"/>
    </sheetView>
  </sheetViews>
  <sheetFormatPr defaultColWidth="9.140625" defaultRowHeight="12.75"/>
  <cols>
    <col min="1" max="1" width="19.7109375" style="20" customWidth="1"/>
    <col min="2" max="2" width="4.421875" style="25" customWidth="1"/>
    <col min="3" max="3" width="12.7109375" style="20" customWidth="1"/>
    <col min="4" max="4" width="5.421875" style="25" customWidth="1"/>
    <col min="5" max="5" width="14.8515625" style="25" customWidth="1"/>
    <col min="6" max="6" width="9.140625" style="25" customWidth="1"/>
    <col min="7" max="7" width="12.00390625" style="25" customWidth="1"/>
    <col min="8" max="8" width="14.140625" style="20" customWidth="1"/>
    <col min="9" max="9" width="22.57421875" style="25" customWidth="1"/>
    <col min="10" max="10" width="25.140625" style="25" customWidth="1"/>
    <col min="11" max="11" width="15.7109375" style="25" customWidth="1"/>
    <col min="12" max="12" width="14.140625" style="25" customWidth="1"/>
    <col min="13" max="13" width="9.57421875" style="25" customWidth="1"/>
    <col min="14" max="14" width="14.140625" style="25" customWidth="1"/>
    <col min="15" max="15" width="23.421875" style="25" customWidth="1"/>
    <col min="16" max="16" width="16.57421875" style="25" customWidth="1"/>
    <col min="17" max="17" width="41.00390625" style="25" customWidth="1"/>
    <col min="18" max="16384" width="9.140625" style="25" customWidth="1"/>
  </cols>
  <sheetData>
    <row r="1" spans="1:10" ht="15.75">
      <c r="A1" s="60" t="s">
        <v>68</v>
      </c>
      <c r="I1" s="61" t="s">
        <v>69</v>
      </c>
      <c r="J1" s="62" t="s">
        <v>70</v>
      </c>
    </row>
    <row r="2" spans="9:10" ht="12.75">
      <c r="I2" s="63" t="s">
        <v>71</v>
      </c>
      <c r="J2" s="64" t="s">
        <v>72</v>
      </c>
    </row>
    <row r="3" spans="1:10" ht="12.75">
      <c r="A3" s="65" t="s">
        <v>73</v>
      </c>
      <c r="I3" s="63" t="s">
        <v>74</v>
      </c>
      <c r="J3" s="64" t="s">
        <v>75</v>
      </c>
    </row>
    <row r="4" spans="9:10" ht="12.75">
      <c r="I4" s="63" t="s">
        <v>76</v>
      </c>
      <c r="J4" s="64" t="s">
        <v>75</v>
      </c>
    </row>
    <row r="5" spans="9:10" ht="13.5" thickBot="1">
      <c r="I5" s="66" t="s">
        <v>77</v>
      </c>
      <c r="J5" s="67" t="s">
        <v>78</v>
      </c>
    </row>
    <row r="10" ht="13.5" thickBot="1"/>
    <row r="11" spans="1:16" ht="12.75" customHeight="1" thickBot="1">
      <c r="A11" s="20" t="str">
        <f aca="true" t="shared" si="0" ref="A11:A33">P11</f>
        <v> JAAVSO 41;122 </v>
      </c>
      <c r="B11" s="6" t="str">
        <f aca="true" t="shared" si="1" ref="B11:B33">IF(H11=INT(H11),"I","II")</f>
        <v>I</v>
      </c>
      <c r="C11" s="20">
        <f aca="true" t="shared" si="2" ref="C11:C33">1*G11</f>
        <v>53832.6949</v>
      </c>
      <c r="D11" s="25" t="str">
        <f aca="true" t="shared" si="3" ref="D11:D33">VLOOKUP(F11,I$1:J$5,2,FALSE)</f>
        <v>vis</v>
      </c>
      <c r="E11" s="68">
        <f>VLOOKUP(C11,Active!C$21:E$973,3,FALSE)</f>
        <v>25614.402957891278</v>
      </c>
      <c r="F11" s="6" t="s">
        <v>77</v>
      </c>
      <c r="G11" s="25" t="str">
        <f aca="true" t="shared" si="4" ref="G11:G33">MID(I11,3,LEN(I11)-3)</f>
        <v>53832.6949</v>
      </c>
      <c r="H11" s="20">
        <f aca="true" t="shared" si="5" ref="H11:H33">1*K11</f>
        <v>2916</v>
      </c>
      <c r="I11" s="69" t="s">
        <v>129</v>
      </c>
      <c r="J11" s="70" t="s">
        <v>130</v>
      </c>
      <c r="K11" s="69">
        <v>2916</v>
      </c>
      <c r="L11" s="69" t="s">
        <v>115</v>
      </c>
      <c r="M11" s="70" t="s">
        <v>131</v>
      </c>
      <c r="N11" s="70" t="s">
        <v>132</v>
      </c>
      <c r="O11" s="71" t="s">
        <v>133</v>
      </c>
      <c r="P11" s="71" t="s">
        <v>134</v>
      </c>
    </row>
    <row r="12" spans="1:16" ht="12.75" customHeight="1" thickBot="1">
      <c r="A12" s="20" t="str">
        <f t="shared" si="0"/>
        <v>OEJV 0107 </v>
      </c>
      <c r="B12" s="6" t="str">
        <f t="shared" si="1"/>
        <v>II</v>
      </c>
      <c r="C12" s="20">
        <f t="shared" si="2"/>
        <v>54942.4403</v>
      </c>
      <c r="D12" s="25" t="str">
        <f t="shared" si="3"/>
        <v>vis</v>
      </c>
      <c r="E12" s="68">
        <f>VLOOKUP(C12,Active!C$21:E$973,3,FALSE)</f>
        <v>26801.17313907036</v>
      </c>
      <c r="F12" s="6" t="s">
        <v>77</v>
      </c>
      <c r="G12" s="25" t="str">
        <f t="shared" si="4"/>
        <v>54942.4403</v>
      </c>
      <c r="H12" s="20">
        <f t="shared" si="5"/>
        <v>5344.5</v>
      </c>
      <c r="I12" s="69" t="s">
        <v>135</v>
      </c>
      <c r="J12" s="70" t="s">
        <v>136</v>
      </c>
      <c r="K12" s="69">
        <v>5344.5</v>
      </c>
      <c r="L12" s="69" t="s">
        <v>137</v>
      </c>
      <c r="M12" s="70" t="s">
        <v>131</v>
      </c>
      <c r="N12" s="70" t="s">
        <v>36</v>
      </c>
      <c r="O12" s="71" t="s">
        <v>138</v>
      </c>
      <c r="P12" s="72" t="s">
        <v>139</v>
      </c>
    </row>
    <row r="13" spans="1:16" ht="12.75" customHeight="1" thickBot="1">
      <c r="A13" s="20" t="str">
        <f t="shared" si="0"/>
        <v>IBVS 6007 </v>
      </c>
      <c r="B13" s="6" t="str">
        <f t="shared" si="1"/>
        <v>I</v>
      </c>
      <c r="C13" s="20">
        <f t="shared" si="2"/>
        <v>55592.4724</v>
      </c>
      <c r="D13" s="25" t="str">
        <f t="shared" si="3"/>
        <v>vis</v>
      </c>
      <c r="E13" s="68">
        <f>VLOOKUP(C13,Active!C$21:E$973,3,FALSE)</f>
        <v>27496.32241663368</v>
      </c>
      <c r="F13" s="6" t="s">
        <v>77</v>
      </c>
      <c r="G13" s="25" t="str">
        <f t="shared" si="4"/>
        <v>55592.47240</v>
      </c>
      <c r="H13" s="20">
        <f t="shared" si="5"/>
        <v>6767</v>
      </c>
      <c r="I13" s="69" t="s">
        <v>146</v>
      </c>
      <c r="J13" s="70" t="s">
        <v>147</v>
      </c>
      <c r="K13" s="69">
        <v>6767</v>
      </c>
      <c r="L13" s="69" t="s">
        <v>148</v>
      </c>
      <c r="M13" s="70" t="s">
        <v>131</v>
      </c>
      <c r="N13" s="70" t="s">
        <v>69</v>
      </c>
      <c r="O13" s="71" t="s">
        <v>149</v>
      </c>
      <c r="P13" s="72" t="s">
        <v>150</v>
      </c>
    </row>
    <row r="14" spans="1:16" ht="12.75" customHeight="1" thickBot="1">
      <c r="A14" s="20" t="str">
        <f t="shared" si="0"/>
        <v>IBVS 6007 </v>
      </c>
      <c r="B14" s="6" t="str">
        <f t="shared" si="1"/>
        <v>I</v>
      </c>
      <c r="C14" s="20">
        <f t="shared" si="2"/>
        <v>55617.60629</v>
      </c>
      <c r="D14" s="25" t="str">
        <f t="shared" si="3"/>
        <v>vis</v>
      </c>
      <c r="E14" s="68">
        <f>VLOOKUP(C14,Active!C$21:E$973,3,FALSE)</f>
        <v>27523.20078998764</v>
      </c>
      <c r="F14" s="6" t="s">
        <v>77</v>
      </c>
      <c r="G14" s="25" t="str">
        <f t="shared" si="4"/>
        <v>55617.60629</v>
      </c>
      <c r="H14" s="20">
        <f t="shared" si="5"/>
        <v>6822</v>
      </c>
      <c r="I14" s="69" t="s">
        <v>151</v>
      </c>
      <c r="J14" s="70" t="s">
        <v>152</v>
      </c>
      <c r="K14" s="69">
        <v>6822</v>
      </c>
      <c r="L14" s="69" t="s">
        <v>153</v>
      </c>
      <c r="M14" s="70" t="s">
        <v>131</v>
      </c>
      <c r="N14" s="70" t="s">
        <v>145</v>
      </c>
      <c r="O14" s="71" t="s">
        <v>149</v>
      </c>
      <c r="P14" s="72" t="s">
        <v>150</v>
      </c>
    </row>
    <row r="15" spans="1:16" ht="12.75" customHeight="1" thickBot="1">
      <c r="A15" s="20" t="str">
        <f t="shared" si="0"/>
        <v>OEJV 0160 </v>
      </c>
      <c r="B15" s="6" t="str">
        <f t="shared" si="1"/>
        <v>I</v>
      </c>
      <c r="C15" s="20">
        <f t="shared" si="2"/>
        <v>55957.5916</v>
      </c>
      <c r="D15" s="25" t="str">
        <f t="shared" si="3"/>
        <v>vis</v>
      </c>
      <c r="E15" s="68">
        <f>VLOOKUP(C15,Active!C$21:E$973,3,FALSE)</f>
        <v>27886.783669400273</v>
      </c>
      <c r="F15" s="6" t="s">
        <v>77</v>
      </c>
      <c r="G15" s="25" t="str">
        <f t="shared" si="4"/>
        <v>55957.5916</v>
      </c>
      <c r="H15" s="20">
        <f t="shared" si="5"/>
        <v>7566</v>
      </c>
      <c r="I15" s="69" t="s">
        <v>154</v>
      </c>
      <c r="J15" s="70" t="s">
        <v>155</v>
      </c>
      <c r="K15" s="69">
        <v>7566</v>
      </c>
      <c r="L15" s="69" t="s">
        <v>156</v>
      </c>
      <c r="M15" s="70" t="s">
        <v>131</v>
      </c>
      <c r="N15" s="70" t="s">
        <v>69</v>
      </c>
      <c r="O15" s="71" t="s">
        <v>157</v>
      </c>
      <c r="P15" s="72" t="s">
        <v>158</v>
      </c>
    </row>
    <row r="16" spans="1:16" ht="12.75" customHeight="1" thickBot="1">
      <c r="A16" s="20" t="str">
        <f t="shared" si="0"/>
        <v>BAVM 228 </v>
      </c>
      <c r="B16" s="6" t="str">
        <f t="shared" si="1"/>
        <v>I</v>
      </c>
      <c r="C16" s="20">
        <f t="shared" si="2"/>
        <v>56001.4582</v>
      </c>
      <c r="D16" s="25" t="str">
        <f t="shared" si="3"/>
        <v>vis</v>
      </c>
      <c r="E16" s="68">
        <f>VLOOKUP(C16,Active!C$21:E$973,3,FALSE)</f>
        <v>27933.694945472886</v>
      </c>
      <c r="F16" s="6" t="s">
        <v>77</v>
      </c>
      <c r="G16" s="25" t="str">
        <f t="shared" si="4"/>
        <v>56001.4582</v>
      </c>
      <c r="H16" s="20">
        <f t="shared" si="5"/>
        <v>7662</v>
      </c>
      <c r="I16" s="69" t="s">
        <v>159</v>
      </c>
      <c r="J16" s="70" t="s">
        <v>160</v>
      </c>
      <c r="K16" s="69">
        <v>7662</v>
      </c>
      <c r="L16" s="69" t="s">
        <v>161</v>
      </c>
      <c r="M16" s="70" t="s">
        <v>131</v>
      </c>
      <c r="N16" s="70" t="s">
        <v>77</v>
      </c>
      <c r="O16" s="71" t="s">
        <v>162</v>
      </c>
      <c r="P16" s="72" t="s">
        <v>163</v>
      </c>
    </row>
    <row r="17" spans="1:16" ht="12.75" customHeight="1" thickBot="1">
      <c r="A17" s="20" t="str">
        <f t="shared" si="0"/>
        <v>OEJV 0160 </v>
      </c>
      <c r="B17" s="6" t="str">
        <f t="shared" si="1"/>
        <v>I</v>
      </c>
      <c r="C17" s="20">
        <f t="shared" si="2"/>
        <v>56012.4254</v>
      </c>
      <c r="D17" s="25" t="str">
        <f t="shared" si="3"/>
        <v>vis</v>
      </c>
      <c r="E17" s="68">
        <f>VLOOKUP(C17,Active!C$21:E$973,3,FALSE)</f>
        <v>27945.423352665224</v>
      </c>
      <c r="F17" s="6" t="s">
        <v>77</v>
      </c>
      <c r="G17" s="25" t="str">
        <f t="shared" si="4"/>
        <v>56012.4254</v>
      </c>
      <c r="H17" s="20">
        <f t="shared" si="5"/>
        <v>7686</v>
      </c>
      <c r="I17" s="69" t="s">
        <v>164</v>
      </c>
      <c r="J17" s="70" t="s">
        <v>165</v>
      </c>
      <c r="K17" s="69">
        <v>7686</v>
      </c>
      <c r="L17" s="69" t="s">
        <v>166</v>
      </c>
      <c r="M17" s="70" t="s">
        <v>131</v>
      </c>
      <c r="N17" s="70" t="s">
        <v>69</v>
      </c>
      <c r="O17" s="71" t="s">
        <v>167</v>
      </c>
      <c r="P17" s="72" t="s">
        <v>158</v>
      </c>
    </row>
    <row r="18" spans="1:16" ht="12.75" customHeight="1" thickBot="1">
      <c r="A18" s="20" t="str">
        <f t="shared" si="0"/>
        <v>IBVS 5548 </v>
      </c>
      <c r="B18" s="6" t="str">
        <f t="shared" si="1"/>
        <v>I</v>
      </c>
      <c r="C18" s="20">
        <f t="shared" si="2"/>
        <v>52322.4207</v>
      </c>
      <c r="D18" s="25" t="str">
        <f t="shared" si="3"/>
        <v>vis</v>
      </c>
      <c r="E18" s="68">
        <f>VLOOKUP(C18,Active!C$21:E$973,3,FALSE)</f>
        <v>23999.30422807082</v>
      </c>
      <c r="F18" s="6" t="s">
        <v>77</v>
      </c>
      <c r="G18" s="25" t="str">
        <f t="shared" si="4"/>
        <v>52322.4207</v>
      </c>
      <c r="H18" s="20">
        <f t="shared" si="5"/>
        <v>-389</v>
      </c>
      <c r="I18" s="69" t="s">
        <v>79</v>
      </c>
      <c r="J18" s="70" t="s">
        <v>80</v>
      </c>
      <c r="K18" s="69">
        <v>-389</v>
      </c>
      <c r="L18" s="69" t="s">
        <v>81</v>
      </c>
      <c r="M18" s="70" t="s">
        <v>82</v>
      </c>
      <c r="N18" s="70" t="s">
        <v>83</v>
      </c>
      <c r="O18" s="71" t="s">
        <v>84</v>
      </c>
      <c r="P18" s="72" t="s">
        <v>85</v>
      </c>
    </row>
    <row r="19" spans="1:16" ht="12.75" customHeight="1" thickBot="1">
      <c r="A19" s="20" t="str">
        <f t="shared" si="0"/>
        <v>IBVS 5548 </v>
      </c>
      <c r="B19" s="6" t="str">
        <f t="shared" si="1"/>
        <v>I</v>
      </c>
      <c r="C19" s="20">
        <f t="shared" si="2"/>
        <v>52323.3349</v>
      </c>
      <c r="D19" s="25" t="str">
        <f t="shared" si="3"/>
        <v>vis</v>
      </c>
      <c r="E19" s="68">
        <f>VLOOKUP(C19,Active!C$21:E$973,3,FALSE)</f>
        <v>24000.28188051221</v>
      </c>
      <c r="F19" s="6" t="s">
        <v>77</v>
      </c>
      <c r="G19" s="25" t="str">
        <f t="shared" si="4"/>
        <v>52323.3349</v>
      </c>
      <c r="H19" s="20">
        <f t="shared" si="5"/>
        <v>-387</v>
      </c>
      <c r="I19" s="69" t="s">
        <v>86</v>
      </c>
      <c r="J19" s="70" t="s">
        <v>87</v>
      </c>
      <c r="K19" s="69">
        <v>-387</v>
      </c>
      <c r="L19" s="69" t="s">
        <v>88</v>
      </c>
      <c r="M19" s="70" t="s">
        <v>82</v>
      </c>
      <c r="N19" s="70" t="s">
        <v>83</v>
      </c>
      <c r="O19" s="71" t="s">
        <v>84</v>
      </c>
      <c r="P19" s="72" t="s">
        <v>85</v>
      </c>
    </row>
    <row r="20" spans="1:16" ht="12.75" customHeight="1" thickBot="1">
      <c r="A20" s="20" t="str">
        <f t="shared" si="0"/>
        <v>IBVS 5548 </v>
      </c>
      <c r="B20" s="6" t="str">
        <f t="shared" si="1"/>
        <v>I</v>
      </c>
      <c r="C20" s="20">
        <f t="shared" si="2"/>
        <v>52353.4921</v>
      </c>
      <c r="D20" s="25" t="str">
        <f t="shared" si="3"/>
        <v>vis</v>
      </c>
      <c r="E20" s="68">
        <f>VLOOKUP(C20,Active!C$21:E$973,3,FALSE)</f>
        <v>24032.53221983135</v>
      </c>
      <c r="F20" s="6" t="s">
        <v>77</v>
      </c>
      <c r="G20" s="25" t="str">
        <f t="shared" si="4"/>
        <v>52353.4921</v>
      </c>
      <c r="H20" s="20">
        <f t="shared" si="5"/>
        <v>-321</v>
      </c>
      <c r="I20" s="69" t="s">
        <v>89</v>
      </c>
      <c r="J20" s="70" t="s">
        <v>90</v>
      </c>
      <c r="K20" s="69">
        <v>-321</v>
      </c>
      <c r="L20" s="69" t="s">
        <v>91</v>
      </c>
      <c r="M20" s="70" t="s">
        <v>82</v>
      </c>
      <c r="N20" s="70" t="s">
        <v>83</v>
      </c>
      <c r="O20" s="71" t="s">
        <v>84</v>
      </c>
      <c r="P20" s="72" t="s">
        <v>85</v>
      </c>
    </row>
    <row r="21" spans="1:16" ht="12.75" customHeight="1" thickBot="1">
      <c r="A21" s="20" t="str">
        <f t="shared" si="0"/>
        <v>IBVS 5548 </v>
      </c>
      <c r="B21" s="6" t="str">
        <f t="shared" si="1"/>
        <v>I</v>
      </c>
      <c r="C21" s="20">
        <f t="shared" si="2"/>
        <v>52364.464</v>
      </c>
      <c r="D21" s="25" t="str">
        <f t="shared" si="3"/>
        <v>vis</v>
      </c>
      <c r="E21" s="68">
        <f>VLOOKUP(C21,Active!C$21:E$973,3,FALSE)</f>
        <v>24044.26565323948</v>
      </c>
      <c r="F21" s="6" t="s">
        <v>77</v>
      </c>
      <c r="G21" s="25" t="str">
        <f t="shared" si="4"/>
        <v>52364.4640</v>
      </c>
      <c r="H21" s="20">
        <f t="shared" si="5"/>
        <v>-297</v>
      </c>
      <c r="I21" s="69" t="s">
        <v>92</v>
      </c>
      <c r="J21" s="70" t="s">
        <v>93</v>
      </c>
      <c r="K21" s="69">
        <v>-297</v>
      </c>
      <c r="L21" s="69" t="s">
        <v>94</v>
      </c>
      <c r="M21" s="70" t="s">
        <v>82</v>
      </c>
      <c r="N21" s="70" t="s">
        <v>83</v>
      </c>
      <c r="O21" s="71" t="s">
        <v>84</v>
      </c>
      <c r="P21" s="72" t="s">
        <v>85</v>
      </c>
    </row>
    <row r="22" spans="1:16" ht="12.75" customHeight="1" thickBot="1">
      <c r="A22" s="20" t="str">
        <f t="shared" si="0"/>
        <v>IBVS 5548 </v>
      </c>
      <c r="B22" s="6" t="str">
        <f t="shared" si="1"/>
        <v>I</v>
      </c>
      <c r="C22" s="20">
        <f t="shared" si="2"/>
        <v>52391.4222</v>
      </c>
      <c r="D22" s="25" t="str">
        <f t="shared" si="3"/>
        <v>vis</v>
      </c>
      <c r="E22" s="68">
        <f>VLOOKUP(C22,Active!C$21:E$973,3,FALSE)</f>
        <v>24073.094957599078</v>
      </c>
      <c r="F22" s="6" t="s">
        <v>77</v>
      </c>
      <c r="G22" s="25" t="str">
        <f t="shared" si="4"/>
        <v>52391.4222</v>
      </c>
      <c r="H22" s="20">
        <f t="shared" si="5"/>
        <v>-238</v>
      </c>
      <c r="I22" s="69" t="s">
        <v>95</v>
      </c>
      <c r="J22" s="70" t="s">
        <v>96</v>
      </c>
      <c r="K22" s="69">
        <v>-238</v>
      </c>
      <c r="L22" s="69" t="s">
        <v>97</v>
      </c>
      <c r="M22" s="70" t="s">
        <v>82</v>
      </c>
      <c r="N22" s="70" t="s">
        <v>83</v>
      </c>
      <c r="O22" s="71" t="s">
        <v>84</v>
      </c>
      <c r="P22" s="72" t="s">
        <v>85</v>
      </c>
    </row>
    <row r="23" spans="1:16" ht="12.75" customHeight="1" thickBot="1">
      <c r="A23" s="20" t="str">
        <f t="shared" si="0"/>
        <v>IBVS 5548 </v>
      </c>
      <c r="B23" s="6" t="str">
        <f t="shared" si="1"/>
        <v>I</v>
      </c>
      <c r="C23" s="20">
        <f t="shared" si="2"/>
        <v>52397.3629</v>
      </c>
      <c r="D23" s="25" t="str">
        <f t="shared" si="3"/>
        <v>vis</v>
      </c>
      <c r="E23" s="68">
        <f>VLOOKUP(C23,Active!C$21:E$973,3,FALSE)</f>
        <v>24079.44798741594</v>
      </c>
      <c r="F23" s="6" t="s">
        <v>77</v>
      </c>
      <c r="G23" s="25" t="str">
        <f t="shared" si="4"/>
        <v>52397.3629</v>
      </c>
      <c r="H23" s="20">
        <f t="shared" si="5"/>
        <v>-225</v>
      </c>
      <c r="I23" s="69" t="s">
        <v>98</v>
      </c>
      <c r="J23" s="70" t="s">
        <v>99</v>
      </c>
      <c r="K23" s="69">
        <v>-225</v>
      </c>
      <c r="L23" s="69" t="s">
        <v>100</v>
      </c>
      <c r="M23" s="70" t="s">
        <v>82</v>
      </c>
      <c r="N23" s="70" t="s">
        <v>83</v>
      </c>
      <c r="O23" s="71" t="s">
        <v>84</v>
      </c>
      <c r="P23" s="72" t="s">
        <v>85</v>
      </c>
    </row>
    <row r="24" spans="1:16" ht="12.75" customHeight="1" thickBot="1">
      <c r="A24" s="20" t="str">
        <f t="shared" si="0"/>
        <v>IBVS 5548 </v>
      </c>
      <c r="B24" s="6" t="str">
        <f t="shared" si="1"/>
        <v>II</v>
      </c>
      <c r="C24" s="20">
        <f t="shared" si="2"/>
        <v>52399.4204</v>
      </c>
      <c r="D24" s="25" t="str">
        <f t="shared" si="3"/>
        <v>vis</v>
      </c>
      <c r="E24" s="68">
        <f>VLOOKUP(C24,Active!C$21:E$973,3,FALSE)</f>
        <v>24081.648293583265</v>
      </c>
      <c r="F24" s="6" t="s">
        <v>77</v>
      </c>
      <c r="G24" s="25" t="str">
        <f t="shared" si="4"/>
        <v>52399.4204</v>
      </c>
      <c r="H24" s="20">
        <f t="shared" si="5"/>
        <v>-220.5</v>
      </c>
      <c r="I24" s="69" t="s">
        <v>101</v>
      </c>
      <c r="J24" s="70" t="s">
        <v>102</v>
      </c>
      <c r="K24" s="69">
        <v>-220.5</v>
      </c>
      <c r="L24" s="69" t="s">
        <v>103</v>
      </c>
      <c r="M24" s="70" t="s">
        <v>82</v>
      </c>
      <c r="N24" s="70" t="s">
        <v>83</v>
      </c>
      <c r="O24" s="71" t="s">
        <v>84</v>
      </c>
      <c r="P24" s="72" t="s">
        <v>85</v>
      </c>
    </row>
    <row r="25" spans="1:16" ht="12.75" customHeight="1" thickBot="1">
      <c r="A25" s="20" t="str">
        <f t="shared" si="0"/>
        <v>IBVS 5548 </v>
      </c>
      <c r="B25" s="6" t="str">
        <f t="shared" si="1"/>
        <v>II</v>
      </c>
      <c r="C25" s="20">
        <f t="shared" si="2"/>
        <v>52692.3397</v>
      </c>
      <c r="D25" s="25" t="str">
        <f t="shared" si="3"/>
        <v>vis</v>
      </c>
      <c r="E25" s="68">
        <f>VLOOKUP(C25,Active!C$21:E$973,3,FALSE)</f>
        <v>24394.89842350662</v>
      </c>
      <c r="F25" s="6" t="s">
        <v>77</v>
      </c>
      <c r="G25" s="25" t="str">
        <f t="shared" si="4"/>
        <v>52692.3397</v>
      </c>
      <c r="H25" s="20">
        <f t="shared" si="5"/>
        <v>420.5</v>
      </c>
      <c r="I25" s="69" t="s">
        <v>104</v>
      </c>
      <c r="J25" s="70" t="s">
        <v>105</v>
      </c>
      <c r="K25" s="69">
        <v>420.5</v>
      </c>
      <c r="L25" s="69" t="s">
        <v>106</v>
      </c>
      <c r="M25" s="70" t="s">
        <v>82</v>
      </c>
      <c r="N25" s="70" t="s">
        <v>83</v>
      </c>
      <c r="O25" s="71" t="s">
        <v>84</v>
      </c>
      <c r="P25" s="72" t="s">
        <v>85</v>
      </c>
    </row>
    <row r="26" spans="1:16" ht="12.75" customHeight="1" thickBot="1">
      <c r="A26" s="20" t="str">
        <f t="shared" si="0"/>
        <v>IBVS 5548 </v>
      </c>
      <c r="B26" s="6" t="str">
        <f t="shared" si="1"/>
        <v>II</v>
      </c>
      <c r="C26" s="20">
        <f t="shared" si="2"/>
        <v>52697.3654</v>
      </c>
      <c r="D26" s="25" t="str">
        <f t="shared" si="3"/>
        <v>vis</v>
      </c>
      <c r="E26" s="68">
        <f>VLOOKUP(C26,Active!C$21:E$973,3,FALSE)</f>
        <v>24400.272945356006</v>
      </c>
      <c r="F26" s="6" t="s">
        <v>77</v>
      </c>
      <c r="G26" s="25" t="str">
        <f t="shared" si="4"/>
        <v>52697.3654</v>
      </c>
      <c r="H26" s="20">
        <f t="shared" si="5"/>
        <v>431.5</v>
      </c>
      <c r="I26" s="69" t="s">
        <v>107</v>
      </c>
      <c r="J26" s="70" t="s">
        <v>108</v>
      </c>
      <c r="K26" s="69">
        <v>431.5</v>
      </c>
      <c r="L26" s="69" t="s">
        <v>109</v>
      </c>
      <c r="M26" s="70" t="s">
        <v>82</v>
      </c>
      <c r="N26" s="70" t="s">
        <v>83</v>
      </c>
      <c r="O26" s="71" t="s">
        <v>84</v>
      </c>
      <c r="P26" s="72" t="s">
        <v>85</v>
      </c>
    </row>
    <row r="27" spans="1:16" ht="12.75" customHeight="1" thickBot="1">
      <c r="A27" s="20" t="str">
        <f t="shared" si="0"/>
        <v>IBVS 5548 </v>
      </c>
      <c r="B27" s="6" t="str">
        <f t="shared" si="1"/>
        <v>I</v>
      </c>
      <c r="C27" s="20">
        <f t="shared" si="2"/>
        <v>52697.5918</v>
      </c>
      <c r="D27" s="25" t="str">
        <f t="shared" si="3"/>
        <v>vis</v>
      </c>
      <c r="E27" s="68">
        <f>VLOOKUP(C27,Active!C$21:E$973,3,FALSE)</f>
        <v>24400.515059239984</v>
      </c>
      <c r="F27" s="6" t="s">
        <v>77</v>
      </c>
      <c r="G27" s="25" t="str">
        <f t="shared" si="4"/>
        <v>52697.5918</v>
      </c>
      <c r="H27" s="20">
        <f t="shared" si="5"/>
        <v>432</v>
      </c>
      <c r="I27" s="69" t="s">
        <v>110</v>
      </c>
      <c r="J27" s="70" t="s">
        <v>111</v>
      </c>
      <c r="K27" s="69">
        <v>432</v>
      </c>
      <c r="L27" s="69" t="s">
        <v>112</v>
      </c>
      <c r="M27" s="70" t="s">
        <v>82</v>
      </c>
      <c r="N27" s="70" t="s">
        <v>83</v>
      </c>
      <c r="O27" s="71" t="s">
        <v>84</v>
      </c>
      <c r="P27" s="72" t="s">
        <v>85</v>
      </c>
    </row>
    <row r="28" spans="1:16" ht="12.75" customHeight="1" thickBot="1">
      <c r="A28" s="20" t="str">
        <f t="shared" si="0"/>
        <v>IBVS 5548 </v>
      </c>
      <c r="B28" s="6" t="str">
        <f t="shared" si="1"/>
        <v>I</v>
      </c>
      <c r="C28" s="20">
        <f t="shared" si="2"/>
        <v>52698.5051</v>
      </c>
      <c r="D28" s="25" t="str">
        <f t="shared" si="3"/>
        <v>vis</v>
      </c>
      <c r="E28" s="68">
        <f>VLOOKUP(C28,Active!C$21:E$973,3,FALSE)</f>
        <v>24401.49174921452</v>
      </c>
      <c r="F28" s="6" t="s">
        <v>77</v>
      </c>
      <c r="G28" s="25" t="str">
        <f t="shared" si="4"/>
        <v>52698.5051</v>
      </c>
      <c r="H28" s="20">
        <f t="shared" si="5"/>
        <v>434</v>
      </c>
      <c r="I28" s="69" t="s">
        <v>113</v>
      </c>
      <c r="J28" s="70" t="s">
        <v>114</v>
      </c>
      <c r="K28" s="69">
        <v>434</v>
      </c>
      <c r="L28" s="69" t="s">
        <v>115</v>
      </c>
      <c r="M28" s="70" t="s">
        <v>82</v>
      </c>
      <c r="N28" s="70" t="s">
        <v>83</v>
      </c>
      <c r="O28" s="71" t="s">
        <v>84</v>
      </c>
      <c r="P28" s="72" t="s">
        <v>85</v>
      </c>
    </row>
    <row r="29" spans="1:16" ht="12.75" customHeight="1" thickBot="1">
      <c r="A29" s="20" t="str">
        <f t="shared" si="0"/>
        <v>IBVS 5592 </v>
      </c>
      <c r="B29" s="6" t="str">
        <f t="shared" si="1"/>
        <v>I</v>
      </c>
      <c r="C29" s="20">
        <f t="shared" si="2"/>
        <v>53082.3585</v>
      </c>
      <c r="D29" s="25" t="str">
        <f t="shared" si="3"/>
        <v>vis</v>
      </c>
      <c r="E29" s="68">
        <f>VLOOKUP(C29,Active!C$21:E$973,3,FALSE)</f>
        <v>24811.987498117116</v>
      </c>
      <c r="F29" s="6" t="s">
        <v>77</v>
      </c>
      <c r="G29" s="25" t="str">
        <f t="shared" si="4"/>
        <v>53082.3585</v>
      </c>
      <c r="H29" s="20">
        <f t="shared" si="5"/>
        <v>1274</v>
      </c>
      <c r="I29" s="69" t="s">
        <v>116</v>
      </c>
      <c r="J29" s="70" t="s">
        <v>117</v>
      </c>
      <c r="K29" s="69">
        <v>1274</v>
      </c>
      <c r="L29" s="69" t="s">
        <v>118</v>
      </c>
      <c r="M29" s="70" t="s">
        <v>82</v>
      </c>
      <c r="N29" s="70" t="s">
        <v>83</v>
      </c>
      <c r="O29" s="71" t="s">
        <v>119</v>
      </c>
      <c r="P29" s="72" t="s">
        <v>120</v>
      </c>
    </row>
    <row r="30" spans="1:16" ht="12.75" customHeight="1" thickBot="1">
      <c r="A30" s="20" t="str">
        <f t="shared" si="0"/>
        <v>VSB 44 </v>
      </c>
      <c r="B30" s="6" t="str">
        <f t="shared" si="1"/>
        <v>II</v>
      </c>
      <c r="C30" s="20">
        <f t="shared" si="2"/>
        <v>53460.9423</v>
      </c>
      <c r="D30" s="25" t="str">
        <f t="shared" si="3"/>
        <v>vis</v>
      </c>
      <c r="E30" s="68">
        <f>VLOOKUP(C30,Active!C$21:E$973,3,FALSE)</f>
        <v>25216.847896653093</v>
      </c>
      <c r="F30" s="6" t="s">
        <v>77</v>
      </c>
      <c r="G30" s="25" t="str">
        <f t="shared" si="4"/>
        <v>53460.9423</v>
      </c>
      <c r="H30" s="20">
        <f t="shared" si="5"/>
        <v>2102.5</v>
      </c>
      <c r="I30" s="69" t="s">
        <v>121</v>
      </c>
      <c r="J30" s="70" t="s">
        <v>122</v>
      </c>
      <c r="K30" s="69">
        <v>2102.5</v>
      </c>
      <c r="L30" s="69" t="s">
        <v>123</v>
      </c>
      <c r="M30" s="70" t="s">
        <v>82</v>
      </c>
      <c r="N30" s="70" t="s">
        <v>83</v>
      </c>
      <c r="O30" s="71" t="s">
        <v>124</v>
      </c>
      <c r="P30" s="72" t="s">
        <v>125</v>
      </c>
    </row>
    <row r="31" spans="1:16" ht="12.75" customHeight="1" thickBot="1">
      <c r="A31" s="20" t="str">
        <f t="shared" si="0"/>
        <v>VSB 44 </v>
      </c>
      <c r="B31" s="6" t="str">
        <f t="shared" si="1"/>
        <v>I</v>
      </c>
      <c r="C31" s="20">
        <f t="shared" si="2"/>
        <v>53461.1839</v>
      </c>
      <c r="D31" s="25" t="str">
        <f t="shared" si="3"/>
        <v>vis</v>
      </c>
      <c r="E31" s="68">
        <f>VLOOKUP(C31,Active!C$21:E$973,3,FALSE)</f>
        <v>25217.106265532813</v>
      </c>
      <c r="F31" s="6" t="s">
        <v>77</v>
      </c>
      <c r="G31" s="25" t="str">
        <f t="shared" si="4"/>
        <v>53461.1839</v>
      </c>
      <c r="H31" s="20">
        <f t="shared" si="5"/>
        <v>2103</v>
      </c>
      <c r="I31" s="69" t="s">
        <v>126</v>
      </c>
      <c r="J31" s="70" t="s">
        <v>127</v>
      </c>
      <c r="K31" s="69">
        <v>2103</v>
      </c>
      <c r="L31" s="69" t="s">
        <v>128</v>
      </c>
      <c r="M31" s="70" t="s">
        <v>82</v>
      </c>
      <c r="N31" s="70" t="s">
        <v>83</v>
      </c>
      <c r="O31" s="71" t="s">
        <v>124</v>
      </c>
      <c r="P31" s="72" t="s">
        <v>125</v>
      </c>
    </row>
    <row r="32" spans="1:16" ht="12.75" customHeight="1" thickBot="1">
      <c r="A32" s="20" t="str">
        <f t="shared" si="0"/>
        <v>OEJV 0107 </v>
      </c>
      <c r="B32" s="6" t="str">
        <f t="shared" si="1"/>
        <v>II</v>
      </c>
      <c r="C32" s="20">
        <f t="shared" si="2"/>
        <v>54942.441</v>
      </c>
      <c r="D32" s="25" t="str">
        <f t="shared" si="3"/>
        <v>vis</v>
      </c>
      <c r="E32" s="68">
        <f>VLOOKUP(C32,Active!C$21:E$973,3,FALSE)</f>
        <v>26801.17388765569</v>
      </c>
      <c r="F32" s="6" t="s">
        <v>77</v>
      </c>
      <c r="G32" s="25" t="str">
        <f t="shared" si="4"/>
        <v>54942.4410</v>
      </c>
      <c r="H32" s="20">
        <f t="shared" si="5"/>
        <v>5344.5</v>
      </c>
      <c r="I32" s="69" t="s">
        <v>140</v>
      </c>
      <c r="J32" s="70" t="s">
        <v>141</v>
      </c>
      <c r="K32" s="69">
        <v>5344.5</v>
      </c>
      <c r="L32" s="69" t="s">
        <v>142</v>
      </c>
      <c r="M32" s="70" t="s">
        <v>131</v>
      </c>
      <c r="N32" s="70" t="s">
        <v>77</v>
      </c>
      <c r="O32" s="71" t="s">
        <v>138</v>
      </c>
      <c r="P32" s="72" t="s">
        <v>139</v>
      </c>
    </row>
    <row r="33" spans="1:16" ht="12.75" customHeight="1" thickBot="1">
      <c r="A33" s="20" t="str">
        <f t="shared" si="0"/>
        <v>OEJV 0107 </v>
      </c>
      <c r="B33" s="6" t="str">
        <f t="shared" si="1"/>
        <v>II</v>
      </c>
      <c r="C33" s="20">
        <f t="shared" si="2"/>
        <v>54942.4411</v>
      </c>
      <c r="D33" s="25" t="str">
        <f t="shared" si="3"/>
        <v>vis</v>
      </c>
      <c r="E33" s="68">
        <f>VLOOKUP(C33,Active!C$21:E$973,3,FALSE)</f>
        <v>26801.173994596447</v>
      </c>
      <c r="F33" s="6" t="s">
        <v>77</v>
      </c>
      <c r="G33" s="25" t="str">
        <f t="shared" si="4"/>
        <v>54942.4411</v>
      </c>
      <c r="H33" s="20">
        <f t="shared" si="5"/>
        <v>5344.5</v>
      </c>
      <c r="I33" s="69" t="s">
        <v>143</v>
      </c>
      <c r="J33" s="70" t="s">
        <v>141</v>
      </c>
      <c r="K33" s="69">
        <v>5344.5</v>
      </c>
      <c r="L33" s="69" t="s">
        <v>144</v>
      </c>
      <c r="M33" s="70" t="s">
        <v>131</v>
      </c>
      <c r="N33" s="70" t="s">
        <v>145</v>
      </c>
      <c r="O33" s="71" t="s">
        <v>138</v>
      </c>
      <c r="P33" s="72" t="s">
        <v>139</v>
      </c>
    </row>
    <row r="34" spans="2:6" ht="12.75">
      <c r="B34" s="6"/>
      <c r="E34" s="68"/>
      <c r="F34" s="6"/>
    </row>
    <row r="35" spans="2:6" ht="12.75">
      <c r="B35" s="6"/>
      <c r="E35" s="68"/>
      <c r="F35" s="6"/>
    </row>
    <row r="36" spans="2:6" ht="12.75">
      <c r="B36" s="6"/>
      <c r="E36" s="68"/>
      <c r="F36" s="6"/>
    </row>
    <row r="37" spans="2:6" ht="12.75">
      <c r="B37" s="6"/>
      <c r="E37" s="68"/>
      <c r="F37" s="6"/>
    </row>
    <row r="38" spans="2:6" ht="12.75">
      <c r="B38" s="6"/>
      <c r="E38" s="68"/>
      <c r="F38" s="6"/>
    </row>
    <row r="39" spans="2:6" ht="12.75">
      <c r="B39" s="6"/>
      <c r="E39" s="68"/>
      <c r="F39" s="6"/>
    </row>
    <row r="40" spans="2:6" ht="12.75">
      <c r="B40" s="6"/>
      <c r="E40" s="68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</sheetData>
  <sheetProtection/>
  <hyperlinks>
    <hyperlink ref="P18" r:id="rId1" display="http://www.konkoly.hu/cgi-bin/IBVS?5548"/>
    <hyperlink ref="P19" r:id="rId2" display="http://www.konkoly.hu/cgi-bin/IBVS?5548"/>
    <hyperlink ref="P20" r:id="rId3" display="http://www.konkoly.hu/cgi-bin/IBVS?5548"/>
    <hyperlink ref="P21" r:id="rId4" display="http://www.konkoly.hu/cgi-bin/IBVS?5548"/>
    <hyperlink ref="P22" r:id="rId5" display="http://www.konkoly.hu/cgi-bin/IBVS?5548"/>
    <hyperlink ref="P23" r:id="rId6" display="http://www.konkoly.hu/cgi-bin/IBVS?5548"/>
    <hyperlink ref="P24" r:id="rId7" display="http://www.konkoly.hu/cgi-bin/IBVS?5548"/>
    <hyperlink ref="P25" r:id="rId8" display="http://www.konkoly.hu/cgi-bin/IBVS?5548"/>
    <hyperlink ref="P26" r:id="rId9" display="http://www.konkoly.hu/cgi-bin/IBVS?5548"/>
    <hyperlink ref="P27" r:id="rId10" display="http://www.konkoly.hu/cgi-bin/IBVS?5548"/>
    <hyperlink ref="P28" r:id="rId11" display="http://www.konkoly.hu/cgi-bin/IBVS?5548"/>
    <hyperlink ref="P29" r:id="rId12" display="http://www.konkoly.hu/cgi-bin/IBVS?5592"/>
    <hyperlink ref="P30" r:id="rId13" display="http://vsolj.cetus-net.org/no44.pdf"/>
    <hyperlink ref="P31" r:id="rId14" display="http://vsolj.cetus-net.org/no44.pdf"/>
    <hyperlink ref="P12" r:id="rId15" display="http://var.astro.cz/oejv/issues/oejv0107.pdf"/>
    <hyperlink ref="P32" r:id="rId16" display="http://var.astro.cz/oejv/issues/oejv0107.pdf"/>
    <hyperlink ref="P33" r:id="rId17" display="http://var.astro.cz/oejv/issues/oejv0107.pdf"/>
    <hyperlink ref="P13" r:id="rId18" display="http://www.konkoly.hu/cgi-bin/IBVS?6007"/>
    <hyperlink ref="P14" r:id="rId19" display="http://www.konkoly.hu/cgi-bin/IBVS?6007"/>
    <hyperlink ref="P15" r:id="rId20" display="http://var.astro.cz/oejv/issues/oejv0160.pdf"/>
    <hyperlink ref="P16" r:id="rId21" display="http://www.bav-astro.de/sfs/BAVM_link.php?BAVMnr=228"/>
    <hyperlink ref="P17" r:id="rId22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