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F6F1E3C-E20F-4620-A074-0E27BB0CB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79" i="1" l="1"/>
  <c r="F79" i="1"/>
  <c r="G79" i="1" s="1"/>
  <c r="K79" i="1" s="1"/>
  <c r="Q79" i="1"/>
  <c r="E75" i="1"/>
  <c r="F75" i="1" s="1"/>
  <c r="G75" i="1" s="1"/>
  <c r="K75" i="1" s="1"/>
  <c r="Q75" i="1"/>
  <c r="E76" i="1"/>
  <c r="F76" i="1"/>
  <c r="G76" i="1"/>
  <c r="K76" i="1" s="1"/>
  <c r="Q76" i="1"/>
  <c r="E77" i="1"/>
  <c r="F77" i="1" s="1"/>
  <c r="G77" i="1" s="1"/>
  <c r="K77" i="1" s="1"/>
  <c r="Q77" i="1"/>
  <c r="E78" i="1"/>
  <c r="F78" i="1" s="1"/>
  <c r="G78" i="1" s="1"/>
  <c r="K78" i="1" s="1"/>
  <c r="Q78" i="1"/>
  <c r="E69" i="1"/>
  <c r="F69" i="1"/>
  <c r="G69" i="1"/>
  <c r="K69" i="1" s="1"/>
  <c r="Q69" i="1"/>
  <c r="E67" i="1"/>
  <c r="F67" i="1"/>
  <c r="G67" i="1" s="1"/>
  <c r="K67" i="1" s="1"/>
  <c r="Q67" i="1"/>
  <c r="E73" i="1"/>
  <c r="F73" i="1" s="1"/>
  <c r="G73" i="1" s="1"/>
  <c r="K73" i="1" s="1"/>
  <c r="Q73" i="1"/>
  <c r="E65" i="1"/>
  <c r="F65" i="1" s="1"/>
  <c r="G65" i="1" s="1"/>
  <c r="K65" i="1" s="1"/>
  <c r="Q65" i="1"/>
  <c r="E70" i="1"/>
  <c r="F70" i="1" s="1"/>
  <c r="G70" i="1" s="1"/>
  <c r="K70" i="1" s="1"/>
  <c r="Q70" i="1"/>
  <c r="E72" i="1"/>
  <c r="F72" i="1" s="1"/>
  <c r="G72" i="1" s="1"/>
  <c r="K72" i="1" s="1"/>
  <c r="Q72" i="1"/>
  <c r="E71" i="1"/>
  <c r="F71" i="1"/>
  <c r="G71" i="1" s="1"/>
  <c r="K71" i="1" s="1"/>
  <c r="Q71" i="1"/>
  <c r="E74" i="1"/>
  <c r="F74" i="1" s="1"/>
  <c r="G74" i="1" s="1"/>
  <c r="K74" i="1" s="1"/>
  <c r="Q74" i="1"/>
  <c r="E63" i="1"/>
  <c r="F63" i="1" s="1"/>
  <c r="G63" i="1" s="1"/>
  <c r="K63" i="1" s="1"/>
  <c r="E68" i="1"/>
  <c r="F68" i="1" s="1"/>
  <c r="G68" i="1" s="1"/>
  <c r="K68" i="1" s="1"/>
  <c r="E44" i="1"/>
  <c r="F44" i="1" s="1"/>
  <c r="G44" i="1" s="1"/>
  <c r="J44" i="1" s="1"/>
  <c r="E45" i="1"/>
  <c r="F45" i="1" s="1"/>
  <c r="G45" i="1" s="1"/>
  <c r="K45" i="1" s="1"/>
  <c r="E46" i="1"/>
  <c r="F46" i="1" s="1"/>
  <c r="G46" i="1" s="1"/>
  <c r="K46" i="1" s="1"/>
  <c r="E47" i="1"/>
  <c r="F47" i="1" s="1"/>
  <c r="G47" i="1" s="1"/>
  <c r="K47" i="1" s="1"/>
  <c r="E48" i="1"/>
  <c r="F48" i="1" s="1"/>
  <c r="G48" i="1" s="1"/>
  <c r="K48" i="1" s="1"/>
  <c r="E49" i="1"/>
  <c r="F49" i="1" s="1"/>
  <c r="G49" i="1" s="1"/>
  <c r="K49" i="1" s="1"/>
  <c r="E50" i="1"/>
  <c r="F50" i="1" s="1"/>
  <c r="G50" i="1" s="1"/>
  <c r="K50" i="1" s="1"/>
  <c r="E51" i="1"/>
  <c r="F51" i="1" s="1"/>
  <c r="G51" i="1" s="1"/>
  <c r="K51" i="1" s="1"/>
  <c r="E52" i="1"/>
  <c r="F52" i="1" s="1"/>
  <c r="G52" i="1" s="1"/>
  <c r="K52" i="1" s="1"/>
  <c r="E53" i="1"/>
  <c r="F53" i="1" s="1"/>
  <c r="G53" i="1" s="1"/>
  <c r="K53" i="1" s="1"/>
  <c r="E54" i="1"/>
  <c r="F54" i="1" s="1"/>
  <c r="G54" i="1" s="1"/>
  <c r="K54" i="1" s="1"/>
  <c r="E55" i="1"/>
  <c r="F55" i="1" s="1"/>
  <c r="G55" i="1" s="1"/>
  <c r="K55" i="1" s="1"/>
  <c r="E56" i="1"/>
  <c r="F56" i="1" s="1"/>
  <c r="G56" i="1" s="1"/>
  <c r="K56" i="1" s="1"/>
  <c r="E57" i="1"/>
  <c r="F57" i="1" s="1"/>
  <c r="G57" i="1" s="1"/>
  <c r="K57" i="1" s="1"/>
  <c r="E58" i="1"/>
  <c r="F58" i="1" s="1"/>
  <c r="G58" i="1" s="1"/>
  <c r="K58" i="1" s="1"/>
  <c r="E59" i="1"/>
  <c r="F59" i="1" s="1"/>
  <c r="G59" i="1" s="1"/>
  <c r="K59" i="1" s="1"/>
  <c r="E60" i="1"/>
  <c r="F60" i="1" s="1"/>
  <c r="G60" i="1" s="1"/>
  <c r="K60" i="1" s="1"/>
  <c r="E61" i="1"/>
  <c r="F61" i="1" s="1"/>
  <c r="G61" i="1" s="1"/>
  <c r="K61" i="1" s="1"/>
  <c r="E62" i="1"/>
  <c r="F62" i="1" s="1"/>
  <c r="G62" i="1" s="1"/>
  <c r="K62" i="1" s="1"/>
  <c r="E64" i="1"/>
  <c r="F64" i="1" s="1"/>
  <c r="G64" i="1" s="1"/>
  <c r="K64" i="1" s="1"/>
  <c r="E66" i="1"/>
  <c r="F66" i="1" s="1"/>
  <c r="G66" i="1" s="1"/>
  <c r="K66" i="1" s="1"/>
  <c r="Q63" i="1"/>
  <c r="Q68" i="1"/>
  <c r="Q62" i="1"/>
  <c r="Q64" i="1"/>
  <c r="Q66" i="1"/>
  <c r="D9" i="1"/>
  <c r="C9" i="1"/>
  <c r="E21" i="1"/>
  <c r="F21" i="1" s="1"/>
  <c r="G21" i="1" s="1"/>
  <c r="K21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E34" i="1"/>
  <c r="F34" i="1" s="1"/>
  <c r="G34" i="1" s="1"/>
  <c r="K34" i="1" s="1"/>
  <c r="E35" i="1"/>
  <c r="F35" i="1" s="1"/>
  <c r="G35" i="1" s="1"/>
  <c r="K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I38" i="1" s="1"/>
  <c r="E39" i="1"/>
  <c r="F39" i="1" s="1"/>
  <c r="G39" i="1" s="1"/>
  <c r="I39" i="1" s="1"/>
  <c r="E41" i="1"/>
  <c r="F41" i="1" s="1"/>
  <c r="G41" i="1" s="1"/>
  <c r="I41" i="1" s="1"/>
  <c r="E42" i="1"/>
  <c r="F42" i="1" s="1"/>
  <c r="G42" i="1" s="1"/>
  <c r="J42" i="1" s="1"/>
  <c r="E43" i="1"/>
  <c r="F43" i="1" s="1"/>
  <c r="G43" i="1" s="1"/>
  <c r="K43" i="1" s="1"/>
  <c r="E40" i="1"/>
  <c r="F40" i="1" s="1"/>
  <c r="Q59" i="1"/>
  <c r="Q60" i="1"/>
  <c r="Q61" i="1"/>
  <c r="Q58" i="1"/>
  <c r="Q57" i="1"/>
  <c r="Q49" i="1"/>
  <c r="Q48" i="1"/>
  <c r="Q47" i="1"/>
  <c r="Q46" i="1"/>
  <c r="G28" i="2"/>
  <c r="C28" i="2"/>
  <c r="E28" i="2"/>
  <c r="G27" i="2"/>
  <c r="C27" i="2"/>
  <c r="G20" i="2"/>
  <c r="C20" i="2"/>
  <c r="E20" i="2"/>
  <c r="G19" i="2"/>
  <c r="C19" i="2"/>
  <c r="G18" i="2"/>
  <c r="C18" i="2"/>
  <c r="G17" i="2"/>
  <c r="C17" i="2"/>
  <c r="G26" i="2"/>
  <c r="C26" i="2"/>
  <c r="E26" i="2"/>
  <c r="G16" i="2"/>
  <c r="C16" i="2"/>
  <c r="E16" i="2"/>
  <c r="G15" i="2"/>
  <c r="C15" i="2"/>
  <c r="E15" i="2"/>
  <c r="G25" i="2"/>
  <c r="C25" i="2"/>
  <c r="G24" i="2"/>
  <c r="C24" i="2"/>
  <c r="E24" i="2"/>
  <c r="G23" i="2"/>
  <c r="C23" i="2"/>
  <c r="E23" i="2"/>
  <c r="G22" i="2"/>
  <c r="C22" i="2"/>
  <c r="E22" i="2"/>
  <c r="G21" i="2"/>
  <c r="C21" i="2"/>
  <c r="E21" i="2"/>
  <c r="G14" i="2"/>
  <c r="C14" i="2"/>
  <c r="E14" i="2"/>
  <c r="G13" i="2"/>
  <c r="C13" i="2"/>
  <c r="E13" i="2"/>
  <c r="G12" i="2"/>
  <c r="C12" i="2"/>
  <c r="G11" i="2"/>
  <c r="C11" i="2"/>
  <c r="E11" i="2"/>
  <c r="H28" i="2"/>
  <c r="B28" i="2"/>
  <c r="D28" i="2"/>
  <c r="A28" i="2"/>
  <c r="H27" i="2"/>
  <c r="B27" i="2"/>
  <c r="D27" i="2"/>
  <c r="A27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26" i="2"/>
  <c r="B26" i="2"/>
  <c r="D26" i="2"/>
  <c r="A26" i="2"/>
  <c r="H16" i="2"/>
  <c r="B16" i="2"/>
  <c r="D16" i="2"/>
  <c r="A16" i="2"/>
  <c r="H15" i="2"/>
  <c r="B15" i="2"/>
  <c r="D15" i="2"/>
  <c r="A15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56" i="1"/>
  <c r="Q55" i="1"/>
  <c r="Q41" i="1"/>
  <c r="Q40" i="1"/>
  <c r="Q39" i="1"/>
  <c r="Q38" i="1"/>
  <c r="Q53" i="1"/>
  <c r="Q51" i="1"/>
  <c r="Q44" i="1"/>
  <c r="Q42" i="1"/>
  <c r="Q54" i="1"/>
  <c r="Q52" i="1"/>
  <c r="F16" i="1"/>
  <c r="F17" i="1" s="1"/>
  <c r="C17" i="1"/>
  <c r="Q50" i="1"/>
  <c r="Q43" i="1"/>
  <c r="Q45" i="1"/>
  <c r="Q21" i="1"/>
  <c r="Q29" i="1"/>
  <c r="Q23" i="1"/>
  <c r="Q26" i="1"/>
  <c r="Q27" i="1"/>
  <c r="Q28" i="1"/>
  <c r="Q30" i="1"/>
  <c r="Q31" i="1"/>
  <c r="Q32" i="1"/>
  <c r="Q33" i="1"/>
  <c r="Q34" i="1"/>
  <c r="Q35" i="1"/>
  <c r="Q36" i="1"/>
  <c r="Q37" i="1"/>
  <c r="Q22" i="1"/>
  <c r="Q24" i="1"/>
  <c r="Q25" i="1"/>
  <c r="E18" i="2"/>
  <c r="E19" i="2"/>
  <c r="C12" i="1"/>
  <c r="C11" i="1"/>
  <c r="O79" i="1" l="1"/>
  <c r="E17" i="2"/>
  <c r="E27" i="2"/>
  <c r="E25" i="2"/>
  <c r="E12" i="2"/>
  <c r="O76" i="1"/>
  <c r="O75" i="1"/>
  <c r="O78" i="1"/>
  <c r="O77" i="1"/>
  <c r="O70" i="1"/>
  <c r="O38" i="1"/>
  <c r="O71" i="1"/>
  <c r="C15" i="1"/>
  <c r="O62" i="1"/>
  <c r="O54" i="1"/>
  <c r="O28" i="1"/>
  <c r="O65" i="1"/>
  <c r="O23" i="1"/>
  <c r="O41" i="1"/>
  <c r="O50" i="1"/>
  <c r="O47" i="1"/>
  <c r="O29" i="1"/>
  <c r="O51" i="1"/>
  <c r="O66" i="1"/>
  <c r="O43" i="1"/>
  <c r="O53" i="1"/>
  <c r="O69" i="1"/>
  <c r="O63" i="1"/>
  <c r="O49" i="1"/>
  <c r="O61" i="1"/>
  <c r="O22" i="1"/>
  <c r="O40" i="1"/>
  <c r="O67" i="1"/>
  <c r="O58" i="1"/>
  <c r="O46" i="1"/>
  <c r="O35" i="1"/>
  <c r="O27" i="1"/>
  <c r="O56" i="1"/>
  <c r="O30" i="1"/>
  <c r="O24" i="1"/>
  <c r="O39" i="1"/>
  <c r="O45" i="1"/>
  <c r="O74" i="1"/>
  <c r="O68" i="1"/>
  <c r="O37" i="1"/>
  <c r="O48" i="1"/>
  <c r="O59" i="1"/>
  <c r="O25" i="1"/>
  <c r="O42" i="1"/>
  <c r="O32" i="1"/>
  <c r="O26" i="1"/>
  <c r="O60" i="1"/>
  <c r="O72" i="1"/>
  <c r="O31" i="1"/>
  <c r="O52" i="1"/>
  <c r="O64" i="1"/>
  <c r="O57" i="1"/>
  <c r="O73" i="1"/>
  <c r="O36" i="1"/>
  <c r="O33" i="1"/>
  <c r="O55" i="1"/>
  <c r="O44" i="1"/>
  <c r="O34" i="1"/>
  <c r="O21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<sst xmlns="http://schemas.openxmlformats.org/spreadsheetml/2006/main" count="343" uniqueCount="174">
  <si>
    <t>JAVSO..47..105</t>
  </si>
  <si>
    <t>VSB-063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</si>
  <si>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</si>
  <si>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</si>
  <si>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</si>
  <si>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</si>
  <si>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</si>
  <si>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</si>
  <si>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</si>
  <si>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</si>
  <si>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</si>
  <si>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</si>
  <si>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</si>
  <si>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</si>
  <si>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</si>
  <si>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</si>
  <si>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</si>
  <si>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</si>
  <si>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</si>
  <si>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</si>
  <si>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</si>
  <si>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</si>
  <si>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</si>
  <si>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</si>
  <si>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</si>
  <si>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</si>
  <si>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</si>
  <si>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</si>
  <si>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</si>
  <si>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</si>
  <si>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</si>
  <si>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</si>
  <si>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</si>
  <si>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</si>
  <si>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IBVS 5455</t>
  </si>
  <si>
    <t>IBVS 5543</t>
  </si>
  <si>
    <t>I</t>
  </si>
  <si>
    <t>HI Leo / GSC 0263-0256</t>
  </si>
  <si>
    <t>EB</t>
  </si>
  <si>
    <t>Start of linear fit &gt;&gt;&gt;&gt;&gt;&gt;&gt;&gt;&gt;&gt;&gt;&gt;&gt;&gt;&gt;&gt;&gt;&gt;&gt;&gt;&gt;</t>
  </si>
  <si>
    <t>IBVS 5455 Eph.</t>
  </si>
  <si>
    <t>IBVS 5894</t>
  </si>
  <si>
    <t>OEJV 0107</t>
  </si>
  <si>
    <t>II</t>
  </si>
  <si>
    <t>IBVS 5945</t>
  </si>
  <si>
    <t>Add cycle</t>
  </si>
  <si>
    <t>Old Cycle</t>
  </si>
  <si>
    <t>OEJV 0137</t>
  </si>
  <si>
    <t>IBVS 5918</t>
  </si>
  <si>
    <t>IBVS 5959</t>
  </si>
  <si>
    <t>IBVS 5992</t>
  </si>
  <si>
    <t>OEJV 0003</t>
  </si>
  <si>
    <t>OEJV 0094</t>
  </si>
  <si>
    <t>IBVS 6029</t>
  </si>
  <si>
    <t>IBVS 6050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</si>
  <si>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</si>
  <si>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</si>
  <si>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</si>
  <si>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</si>
  <si>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</si>
  <si>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</si>
  <si>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</si>
  <si>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</si>
  <si>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</si>
  <si>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</si>
  <si>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</si>
  <si>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2454507.5421 </t>
  </si>
  <si>
    <t> 11.02.2008 01:00 </t>
  </si>
  <si>
    <t> -0.0015 </t>
  </si>
  <si>
    <t>C </t>
  </si>
  <si>
    <t> L.Urbancok </t>
  </si>
  <si>
    <t>OEJV 0094 </t>
  </si>
  <si>
    <t>2454555.3732 </t>
  </si>
  <si>
    <t> 29.03.2008 20:57 </t>
  </si>
  <si>
    <t> 0.0007 </t>
  </si>
  <si>
    <t>-I</t>
  </si>
  <si>
    <t> K.&amp; M.Rätz </t>
  </si>
  <si>
    <t>BAVM 209 </t>
  </si>
  <si>
    <t>2454862.9147 </t>
  </si>
  <si>
    <t> 31.01.2009 09:57 </t>
  </si>
  <si>
    <t>13834</t>
  </si>
  <si>
    <t> 0.0039 </t>
  </si>
  <si>
    <t> R.Diethelm </t>
  </si>
  <si>
    <t>IBVS 5894 </t>
  </si>
  <si>
    <t>2454923.3602 </t>
  </si>
  <si>
    <t> 01.04.2009 20:38 </t>
  </si>
  <si>
    <t>14028</t>
  </si>
  <si>
    <t> 0.0011 </t>
  </si>
  <si>
    <t>BAVM 214 </t>
  </si>
  <si>
    <t>2454935.3569 </t>
  </si>
  <si>
    <t> 13.04.2009 20:33 </t>
  </si>
  <si>
    <t>14066.5</t>
  </si>
  <si>
    <t> 0.0016 </t>
  </si>
  <si>
    <t>R</t>
  </si>
  <si>
    <t> R.Ehrenberger </t>
  </si>
  <si>
    <t>OEJV 0107 </t>
  </si>
  <si>
    <t>2455232.1452 </t>
  </si>
  <si>
    <t> 04.02.2010 15:29 </t>
  </si>
  <si>
    <t>15019</t>
  </si>
  <si>
    <t> 0.0014 </t>
  </si>
  <si>
    <t>Rc</t>
  </si>
  <si>
    <t> K.Shiokawa </t>
  </si>
  <si>
    <t>VSB 51 </t>
  </si>
  <si>
    <t>2455232.3005 </t>
  </si>
  <si>
    <t> 04.02.2010 19:12 </t>
  </si>
  <si>
    <t>15019.5</t>
  </si>
  <si>
    <t> 0.0009 </t>
  </si>
  <si>
    <t>2455268.1328 </t>
  </si>
  <si>
    <t> 12.03.2010 15:11 </t>
  </si>
  <si>
    <t>15134.5</t>
  </si>
  <si>
    <t> 0.0005 </t>
  </si>
  <si>
    <t>2455268.2889 </t>
  </si>
  <si>
    <t> 12.03.2010 18:56 </t>
  </si>
  <si>
    <t>15135</t>
  </si>
  <si>
    <t> 0.0008 </t>
  </si>
  <si>
    <t>2455268.9122 </t>
  </si>
  <si>
    <t> 13.03.2010 09:53 </t>
  </si>
  <si>
    <t>15137</t>
  </si>
  <si>
    <t>IBVS 5945 </t>
  </si>
  <si>
    <t>2455591.8746 </t>
  </si>
  <si>
    <t> 30.01.2011 08:59 </t>
  </si>
  <si>
    <t>16173.5</t>
  </si>
  <si>
    <t> 0.0013 </t>
  </si>
  <si>
    <t>IBVS 5992 </t>
  </si>
  <si>
    <t>2455597.4846 </t>
  </si>
  <si>
    <t> 04.02.2011 23:37 </t>
  </si>
  <si>
    <t>16191.5</t>
  </si>
  <si>
    <t> 0.0027 </t>
  </si>
  <si>
    <t>B</t>
  </si>
  <si>
    <t> M.Magris </t>
  </si>
  <si>
    <t>OEJV 0137 </t>
  </si>
  <si>
    <t>2455672.7336 </t>
  </si>
  <si>
    <t> 21.04.2011 05:36 </t>
  </si>
  <si>
    <t>16433</t>
  </si>
  <si>
    <t> 0.0030 </t>
  </si>
  <si>
    <t>2455941.9466 </t>
  </si>
  <si>
    <t> 15.01.2012 10:43 </t>
  </si>
  <si>
    <t>17297</t>
  </si>
  <si>
    <t> 0.0031 </t>
  </si>
  <si>
    <t> R.Nelson </t>
  </si>
  <si>
    <t>IBVS 6050 </t>
  </si>
  <si>
    <t>2455956.9040 </t>
  </si>
  <si>
    <t> 30.01.2012 09:41 </t>
  </si>
  <si>
    <t>17345</t>
  </si>
  <si>
    <t> 0.0042 </t>
  </si>
  <si>
    <t>IBVS 6029 </t>
  </si>
  <si>
    <t>2456035.7362 </t>
  </si>
  <si>
    <t> 18.04.2012 05:40 </t>
  </si>
  <si>
    <t>17598</t>
  </si>
  <si>
    <t> 0.0044 </t>
  </si>
  <si>
    <t>2456364.1506 </t>
  </si>
  <si>
    <t> 12.03.2013 15:36 </t>
  </si>
  <si>
    <t>18652</t>
  </si>
  <si>
    <t> 0.0040 </t>
  </si>
  <si>
    <t> H.Itoh </t>
  </si>
  <si>
    <t>VSB 56 </t>
  </si>
  <si>
    <t>2456364.3051 </t>
  </si>
  <si>
    <t> 12.03.2013 19:19 </t>
  </si>
  <si>
    <t>18652.5</t>
  </si>
  <si>
    <t>BAD?</t>
  </si>
  <si>
    <t>IBVS 6196</t>
  </si>
  <si>
    <t>VSB_061</t>
  </si>
  <si>
    <t>JAVSO..44…69</t>
  </si>
  <si>
    <t>JAVSO..45..121</t>
  </si>
  <si>
    <t>VSB-64</t>
  </si>
  <si>
    <t>JAVSO..46..184</t>
  </si>
  <si>
    <t>JAVSO..48..256</t>
  </si>
  <si>
    <t>OEJV 0211</t>
  </si>
  <si>
    <t>VSB 067</t>
  </si>
  <si>
    <t>JAVSO 49, 106</t>
  </si>
  <si>
    <t>VSB, 91</t>
  </si>
  <si>
    <t>JAAVSO, 50, 255</t>
  </si>
  <si>
    <t>Ic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</si>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</sst>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1" fillId="0" borderId="0"/>
    <xf numFmtId="0" fontId="20" fillId="0" borderId="0"/>
    <xf numFmtId="0" fontId="2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42" applyFont="1" applyAlignment="1">
      <alignment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vertical="center" wrapText="1"/>
    </xf>
    <xf numFmtId="0" fontId="36" fillId="0" borderId="0" xfId="42" applyFont="1" applyAlignment="1">
      <alignment horizontal="center" vertical="center" wrapText="1"/>
    </xf>
    <xf numFmtId="0" fontId="36" fillId="0" borderId="0" xfId="42" applyFont="1" applyAlignment="1">
      <alignment horizontal="left" vertical="center" wrapText="1"/>
    </xf>
    <xf numFmtId="0" fontId="38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8" fillId="0" borderId="0" xfId="42" applyFont="1" applyAlignment="1">
      <alignment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 vertical="center"/>
    </xf>
    <xf numFmtId="0" fontId="37" fillId="0" borderId="0" xfId="0" applyFont="1" applyAlignment="1">
      <alignment vertical="center"/>
    </xf>
    <xf numFmtId="165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166" fontId="39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HI Leo - O-C Diagr.</a:t>
            </a:r>
          </a:p>
        </c:rich>
      </c:tx>
      <c:layout>
        <c:manualLayout>
          <c:xMode val="edge"/>
          <c:yMode val="edge"/>
          <c:x val="0.3883798470145359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8583011669492"/>
          <c:y val="0.14634168126798494"/>
          <c:w val="0.81651498070016948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Active!$D$21:$D$235</c:f>
                <c:numCache>
                  <c:formatCode>General</c:formatCode>
                  <c:ptCount val="21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Active!$D$21:$D$235</c:f>
                <c:numCache>
                  <c:formatCode>General</c:formatCode>
                  <c:ptCount val="21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DE-4C09-817E-393E9689AE3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17">
                  <c:v>-6.7520000011427328E-3</c:v>
                </c:pt>
                <c:pt idx="18">
                  <c:v>-1.1610000001383014E-3</c:v>
                </c:pt>
                <c:pt idx="20">
                  <c:v>-1.5215000021271408E-3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DE-4C09-817E-393E9689AE3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21">
                  <c:v>7.1700000262353569E-4</c:v>
                </c:pt>
                <c:pt idx="23">
                  <c:v>1.1080000040237792E-3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DE-4C09-817E-393E9689AE3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Active!$K$21:$K$995</c:f>
              <c:numCache>
                <c:formatCode>General</c:formatCode>
                <c:ptCount val="975"/>
                <c:pt idx="0">
                  <c:v>7.2550000186311081E-4</c:v>
                </c:pt>
                <c:pt idx="1">
                  <c:v>7.2550000186311081E-4</c:v>
                </c:pt>
                <c:pt idx="2">
                  <c:v>-1.3300000136950985E-4</c:v>
                </c:pt>
                <c:pt idx="3">
                  <c:v>-1.3300000136950985E-4</c:v>
                </c:pt>
                <c:pt idx="4">
                  <c:v>0</c:v>
                </c:pt>
                <c:pt idx="5">
                  <c:v>1.3620000027003698E-3</c:v>
                </c:pt>
                <c:pt idx="6">
                  <c:v>-7.1999995270743966E-5</c:v>
                </c:pt>
                <c:pt idx="7">
                  <c:v>-3.0789999946136959E-3</c:v>
                </c:pt>
                <c:pt idx="8">
                  <c:v>4.2640000028768554E-3</c:v>
                </c:pt>
                <c:pt idx="9">
                  <c:v>5.6489999988116324E-3</c:v>
                </c:pt>
                <c:pt idx="10">
                  <c:v>-2.3900000014691614E-3</c:v>
                </c:pt>
                <c:pt idx="11">
                  <c:v>7.2540000037406571E-3</c:v>
                </c:pt>
                <c:pt idx="12">
                  <c:v>-1.2799999967683107E-4</c:v>
                </c:pt>
                <c:pt idx="13">
                  <c:v>-3.895000001648441E-3</c:v>
                </c:pt>
                <c:pt idx="14">
                  <c:v>-2.899999963119626E-4</c:v>
                </c:pt>
                <c:pt idx="15">
                  <c:v>-4.8100000276463106E-4</c:v>
                </c:pt>
                <c:pt idx="16">
                  <c:v>-2.6819999984581955E-3</c:v>
                </c:pt>
                <c:pt idx="22">
                  <c:v>3.8740000018151477E-3</c:v>
                </c:pt>
                <c:pt idx="24">
                  <c:v>1.6515000024810433E-3</c:v>
                </c:pt>
                <c:pt idx="25">
                  <c:v>1.4090000040596351E-3</c:v>
                </c:pt>
                <c:pt idx="26">
                  <c:v>9.1450000036275014E-4</c:v>
                </c:pt>
                <c:pt idx="27">
                  <c:v>4.7949999861884862E-4</c:v>
                </c:pt>
                <c:pt idx="28">
                  <c:v>7.8500000381609425E-4</c:v>
                </c:pt>
                <c:pt idx="29">
                  <c:v>9.0700000146171078E-4</c:v>
                </c:pt>
                <c:pt idx="30">
                  <c:v>1.3085000027786009E-3</c:v>
                </c:pt>
                <c:pt idx="31">
                  <c:v>2.7164999992237426E-3</c:v>
                </c:pt>
                <c:pt idx="32">
                  <c:v>2.9629999989992939E-3</c:v>
                </c:pt>
                <c:pt idx="33">
                  <c:v>3.067000005103182E-3</c:v>
                </c:pt>
                <c:pt idx="34">
                  <c:v>4.1950000013457611E-3</c:v>
                </c:pt>
                <c:pt idx="35">
                  <c:v>4.3779999978141859E-3</c:v>
                </c:pt>
                <c:pt idx="36">
                  <c:v>3.9719999986118637E-3</c:v>
                </c:pt>
                <c:pt idx="37">
                  <c:v>2.6775000005727634E-3</c:v>
                </c:pt>
                <c:pt idx="38">
                  <c:v>7.3595001304056495E-3</c:v>
                </c:pt>
                <c:pt idx="39">
                  <c:v>8.1650000065565109E-3</c:v>
                </c:pt>
                <c:pt idx="40">
                  <c:v>7.2225000039907172E-3</c:v>
                </c:pt>
                <c:pt idx="41">
                  <c:v>9.9279999994905666E-3</c:v>
                </c:pt>
                <c:pt idx="42">
                  <c:v>1.0781000004499219E-2</c:v>
                </c:pt>
                <c:pt idx="43">
                  <c:v>1.0914000005868729E-2</c:v>
                </c:pt>
                <c:pt idx="44">
                  <c:v>1.5030499816930387E-2</c:v>
                </c:pt>
                <c:pt idx="45">
                  <c:v>1.3774500002909917E-2</c:v>
                </c:pt>
                <c:pt idx="46">
                  <c:v>1.6480999998748302E-2</c:v>
                </c:pt>
                <c:pt idx="47">
                  <c:v>2.0777000005182344E-2</c:v>
                </c:pt>
                <c:pt idx="48">
                  <c:v>2.1541000001889188E-2</c:v>
                </c:pt>
                <c:pt idx="49">
                  <c:v>2.431349999824306E-2</c:v>
                </c:pt>
                <c:pt idx="50">
                  <c:v>2.5319000000308733E-2</c:v>
                </c:pt>
                <c:pt idx="51">
                  <c:v>2.4824500003887806E-2</c:v>
                </c:pt>
                <c:pt idx="52">
                  <c:v>1.8264000005729031E-2</c:v>
                </c:pt>
                <c:pt idx="53">
                  <c:v>2.7455000003101304E-2</c:v>
                </c:pt>
                <c:pt idx="54">
                  <c:v>3.3502500038594007E-2</c:v>
                </c:pt>
                <c:pt idx="55">
                  <c:v>3.3902499824762344E-2</c:v>
                </c:pt>
                <c:pt idx="56">
                  <c:v>3.4402499906718731E-2</c:v>
                </c:pt>
                <c:pt idx="57">
                  <c:v>4.3816000004881062E-2</c:v>
                </c:pt>
                <c:pt idx="58">
                  <c:v>4.9883000006957445E-2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DE-4C09-817E-393E9689AE3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DE-4C09-817E-393E9689AE3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DE-4C09-817E-393E9689AE3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2.1000000000000001E-4</c:v>
                  </c:pt>
                  <c:pt idx="1">
                    <c:v>2.1000000000000001E-4</c:v>
                  </c:pt>
                  <c:pt idx="2">
                    <c:v>1.1000000000000001E-3</c:v>
                  </c:pt>
                  <c:pt idx="3">
                    <c:v>1.1000000000000001E-3</c:v>
                  </c:pt>
                  <c:pt idx="4">
                    <c:v>0</c:v>
                  </c:pt>
                  <c:pt idx="5">
                    <c:v>4.0000000000000001E-3</c:v>
                  </c:pt>
                  <c:pt idx="6">
                    <c:v>4.0000000000000001E-3</c:v>
                  </c:pt>
                  <c:pt idx="7">
                    <c:v>7.0000000000000001E-3</c:v>
                  </c:pt>
                  <c:pt idx="8">
                    <c:v>2E-3</c:v>
                  </c:pt>
                  <c:pt idx="9">
                    <c:v>2E-3</c:v>
                  </c:pt>
                  <c:pt idx="10">
                    <c:v>2E-3</c:v>
                  </c:pt>
                  <c:pt idx="11">
                    <c:v>4.0000000000000001E-3</c:v>
                  </c:pt>
                  <c:pt idx="12">
                    <c:v>3.0000000000000001E-3</c:v>
                  </c:pt>
                  <c:pt idx="13">
                    <c:v>1E-3</c:v>
                  </c:pt>
                  <c:pt idx="14">
                    <c:v>2E-3</c:v>
                  </c:pt>
                  <c:pt idx="15">
                    <c:v>2E-3</c:v>
                  </c:pt>
                  <c:pt idx="16">
                    <c:v>3.0000000000000001E-3</c:v>
                  </c:pt>
                  <c:pt idx="17">
                    <c:v>3.0000000000000001E-3</c:v>
                  </c:pt>
                  <c:pt idx="18">
                    <c:v>1E-3</c:v>
                  </c:pt>
                  <c:pt idx="19">
                    <c:v>2E-3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5.9999999999999995E-4</c:v>
                  </c:pt>
                  <c:pt idx="23">
                    <c:v>1E-4</c:v>
                  </c:pt>
                  <c:pt idx="24">
                    <c:v>2.0000000000000001E-4</c:v>
                  </c:pt>
                  <c:pt idx="29">
                    <c:v>1E-4</c:v>
                  </c:pt>
                  <c:pt idx="30">
                    <c:v>2.9999999999999997E-4</c:v>
                  </c:pt>
                  <c:pt idx="31">
                    <c:v>1.6999999999999999E-3</c:v>
                  </c:pt>
                  <c:pt idx="32">
                    <c:v>2.9999999999999997E-4</c:v>
                  </c:pt>
                  <c:pt idx="33">
                    <c:v>1E-4</c:v>
                  </c:pt>
                  <c:pt idx="34">
                    <c:v>2.0000000000000001E-4</c:v>
                  </c:pt>
                  <c:pt idx="35">
                    <c:v>2.0000000000000001E-4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1E-4</c:v>
                  </c:pt>
                  <c:pt idx="44">
                    <c:v>1E-4</c:v>
                  </c:pt>
                  <c:pt idx="45">
                    <c:v>0</c:v>
                  </c:pt>
                  <c:pt idx="46">
                    <c:v>1E-4</c:v>
                  </c:pt>
                  <c:pt idx="47">
                    <c:v>1E-4</c:v>
                  </c:pt>
                  <c:pt idx="48">
                    <c:v>1.5E-5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1E-4</c:v>
                  </c:pt>
                  <c:pt idx="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DE-4C09-817E-393E9689AE3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0">
                  <c:v>-4.083566085203999E-2</c:v>
                </c:pt>
                <c:pt idx="1">
                  <c:v>-4.083566085203999E-2</c:v>
                </c:pt>
                <c:pt idx="2">
                  <c:v>-4.0818942035042959E-2</c:v>
                </c:pt>
                <c:pt idx="3">
                  <c:v>-4.0818942035042959E-2</c:v>
                </c:pt>
                <c:pt idx="4">
                  <c:v>-4.0811225657967402E-2</c:v>
                </c:pt>
                <c:pt idx="5">
                  <c:v>-2.0897828551653445E-2</c:v>
                </c:pt>
                <c:pt idx="6">
                  <c:v>-2.062518322831719E-2</c:v>
                </c:pt>
                <c:pt idx="7">
                  <c:v>-2.0205926740545405E-2</c:v>
                </c:pt>
                <c:pt idx="8">
                  <c:v>-2.0172489106551336E-2</c:v>
                </c:pt>
                <c:pt idx="9">
                  <c:v>-2.0082464707336534E-2</c:v>
                </c:pt>
                <c:pt idx="10">
                  <c:v>-1.9951286297052111E-2</c:v>
                </c:pt>
                <c:pt idx="11">
                  <c:v>-1.9940997794284702E-2</c:v>
                </c:pt>
                <c:pt idx="12">
                  <c:v>-1.9843257017994349E-2</c:v>
                </c:pt>
                <c:pt idx="13">
                  <c:v>-1.9835540640918796E-2</c:v>
                </c:pt>
                <c:pt idx="14">
                  <c:v>-1.9694073727866964E-2</c:v>
                </c:pt>
                <c:pt idx="15">
                  <c:v>-1.9645203339721785E-2</c:v>
                </c:pt>
                <c:pt idx="16">
                  <c:v>-1.9364841639309977E-2</c:v>
                </c:pt>
                <c:pt idx="17">
                  <c:v>-1.7744402453443563E-2</c:v>
                </c:pt>
                <c:pt idx="18">
                  <c:v>-1.6764422564848159E-2</c:v>
                </c:pt>
                <c:pt idx="19">
                  <c:v>-8.5169015339264728E-3</c:v>
                </c:pt>
                <c:pt idx="20">
                  <c:v>-8.1619481884509723E-3</c:v>
                </c:pt>
                <c:pt idx="21">
                  <c:v>-7.7671268947517719E-3</c:v>
                </c:pt>
                <c:pt idx="22">
                  <c:v>-5.228438836894389E-3</c:v>
                </c:pt>
                <c:pt idx="23">
                  <c:v>-4.7294464526752081E-3</c:v>
                </c:pt>
                <c:pt idx="24">
                  <c:v>-4.6304196135389247E-3</c:v>
                </c:pt>
                <c:pt idx="25">
                  <c:v>-2.180469892050417E-3</c:v>
                </c:pt>
                <c:pt idx="26">
                  <c:v>-2.179183829204491E-3</c:v>
                </c:pt>
                <c:pt idx="27">
                  <c:v>-1.8833893746415739E-3</c:v>
                </c:pt>
                <c:pt idx="28">
                  <c:v>-1.8821033117956479E-3</c:v>
                </c:pt>
                <c:pt idx="29">
                  <c:v>-1.8769590604119438E-3</c:v>
                </c:pt>
                <c:pt idx="30">
                  <c:v>7.8904921919208809E-4</c:v>
                </c:pt>
                <c:pt idx="31">
                  <c:v>8.3534748164541817E-4</c:v>
                </c:pt>
                <c:pt idx="32">
                  <c:v>1.456515836227544E-3</c:v>
                </c:pt>
                <c:pt idx="33">
                  <c:v>3.6788324339872003E-3</c:v>
                </c:pt>
                <c:pt idx="34">
                  <c:v>3.8022944671960712E-3</c:v>
                </c:pt>
                <c:pt idx="35">
                  <c:v>4.4530422672344888E-3</c:v>
                </c:pt>
                <c:pt idx="36">
                  <c:v>7.1640627464459178E-3</c:v>
                </c:pt>
                <c:pt idx="37">
                  <c:v>7.1653488092918438E-3</c:v>
                </c:pt>
                <c:pt idx="38">
                  <c:v>1.2983497124259835E-2</c:v>
                </c:pt>
                <c:pt idx="39">
                  <c:v>1.2984783187105761E-2</c:v>
                </c:pt>
                <c:pt idx="40">
                  <c:v>1.3068377272090932E-2</c:v>
                </c:pt>
                <c:pt idx="41">
                  <c:v>1.3326875904122001E-2</c:v>
                </c:pt>
                <c:pt idx="42">
                  <c:v>1.5700947917700894E-2</c:v>
                </c:pt>
                <c:pt idx="43">
                  <c:v>1.6480302002331887E-2</c:v>
                </c:pt>
                <c:pt idx="44">
                  <c:v>1.900484336888409E-2</c:v>
                </c:pt>
                <c:pt idx="45">
                  <c:v>1.9066574385488526E-2</c:v>
                </c:pt>
                <c:pt idx="46">
                  <c:v>1.9559136455478077E-2</c:v>
                </c:pt>
                <c:pt idx="47">
                  <c:v>2.2481071241421326E-2</c:v>
                </c:pt>
                <c:pt idx="48">
                  <c:v>2.2481071241421326E-2</c:v>
                </c:pt>
                <c:pt idx="49">
                  <c:v>2.5108497635647591E-2</c:v>
                </c:pt>
                <c:pt idx="50">
                  <c:v>2.5109783698493517E-2</c:v>
                </c:pt>
                <c:pt idx="51">
                  <c:v>2.5111069761339443E-2</c:v>
                </c:pt>
                <c:pt idx="52">
                  <c:v>2.5354135639219406E-2</c:v>
                </c:pt>
                <c:pt idx="53">
                  <c:v>2.7620178373740527E-2</c:v>
                </c:pt>
                <c:pt idx="54">
                  <c:v>3.076460203202893E-2</c:v>
                </c:pt>
                <c:pt idx="55">
                  <c:v>3.076460203202893E-2</c:v>
                </c:pt>
                <c:pt idx="56">
                  <c:v>3.076460203202893E-2</c:v>
                </c:pt>
                <c:pt idx="57">
                  <c:v>3.4696096152023882E-2</c:v>
                </c:pt>
                <c:pt idx="58">
                  <c:v>3.7774930605170072E-2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DE-4C09-817E-393E9689AE3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-9.5</c:v>
                </c:pt>
                <c:pt idx="1">
                  <c:v>-9.5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7742</c:v>
                </c:pt>
                <c:pt idx="6">
                  <c:v>7848</c:v>
                </c:pt>
                <c:pt idx="7">
                  <c:v>8011</c:v>
                </c:pt>
                <c:pt idx="8">
                  <c:v>8024</c:v>
                </c:pt>
                <c:pt idx="9">
                  <c:v>8059</c:v>
                </c:pt>
                <c:pt idx="10">
                  <c:v>8110</c:v>
                </c:pt>
                <c:pt idx="11">
                  <c:v>8114</c:v>
                </c:pt>
                <c:pt idx="12">
                  <c:v>8152</c:v>
                </c:pt>
                <c:pt idx="13">
                  <c:v>8155</c:v>
                </c:pt>
                <c:pt idx="14">
                  <c:v>8210</c:v>
                </c:pt>
                <c:pt idx="15">
                  <c:v>8229</c:v>
                </c:pt>
                <c:pt idx="16">
                  <c:v>8338</c:v>
                </c:pt>
                <c:pt idx="17">
                  <c:v>8968</c:v>
                </c:pt>
                <c:pt idx="18">
                  <c:v>9349</c:v>
                </c:pt>
                <c:pt idx="19">
                  <c:v>12555.5</c:v>
                </c:pt>
                <c:pt idx="20">
                  <c:v>12693.5</c:v>
                </c:pt>
                <c:pt idx="21">
                  <c:v>12847</c:v>
                </c:pt>
                <c:pt idx="22">
                  <c:v>13834</c:v>
                </c:pt>
                <c:pt idx="23">
                  <c:v>14028</c:v>
                </c:pt>
                <c:pt idx="24">
                  <c:v>14066.5</c:v>
                </c:pt>
                <c:pt idx="25">
                  <c:v>15019</c:v>
                </c:pt>
                <c:pt idx="26">
                  <c:v>15019.5</c:v>
                </c:pt>
                <c:pt idx="27">
                  <c:v>15134.5</c:v>
                </c:pt>
                <c:pt idx="28">
                  <c:v>15135</c:v>
                </c:pt>
                <c:pt idx="29">
                  <c:v>15137</c:v>
                </c:pt>
                <c:pt idx="30">
                  <c:v>16173.5</c:v>
                </c:pt>
                <c:pt idx="31">
                  <c:v>16191.5</c:v>
                </c:pt>
                <c:pt idx="32">
                  <c:v>16433</c:v>
                </c:pt>
                <c:pt idx="33">
                  <c:v>17297</c:v>
                </c:pt>
                <c:pt idx="34">
                  <c:v>17345</c:v>
                </c:pt>
                <c:pt idx="35">
                  <c:v>17598</c:v>
                </c:pt>
                <c:pt idx="36">
                  <c:v>18652</c:v>
                </c:pt>
                <c:pt idx="37">
                  <c:v>18652.5</c:v>
                </c:pt>
                <c:pt idx="38">
                  <c:v>20914.5</c:v>
                </c:pt>
                <c:pt idx="39">
                  <c:v>20915</c:v>
                </c:pt>
                <c:pt idx="40">
                  <c:v>20947.5</c:v>
                </c:pt>
                <c:pt idx="41">
                  <c:v>21048</c:v>
                </c:pt>
                <c:pt idx="42">
                  <c:v>21971</c:v>
                </c:pt>
                <c:pt idx="43">
                  <c:v>22274</c:v>
                </c:pt>
                <c:pt idx="44">
                  <c:v>23255.5</c:v>
                </c:pt>
                <c:pt idx="45">
                  <c:v>23279.5</c:v>
                </c:pt>
                <c:pt idx="46">
                  <c:v>23471</c:v>
                </c:pt>
                <c:pt idx="47">
                  <c:v>24607</c:v>
                </c:pt>
                <c:pt idx="48">
                  <c:v>24607</c:v>
                </c:pt>
                <c:pt idx="49">
                  <c:v>25628.5</c:v>
                </c:pt>
                <c:pt idx="50">
                  <c:v>25629</c:v>
                </c:pt>
                <c:pt idx="51">
                  <c:v>25629.5</c:v>
                </c:pt>
                <c:pt idx="52">
                  <c:v>25724</c:v>
                </c:pt>
                <c:pt idx="53">
                  <c:v>26605</c:v>
                </c:pt>
                <c:pt idx="54">
                  <c:v>27827.5</c:v>
                </c:pt>
                <c:pt idx="55">
                  <c:v>27827.5</c:v>
                </c:pt>
                <c:pt idx="56">
                  <c:v>27827.5</c:v>
                </c:pt>
                <c:pt idx="57">
                  <c:v>29356</c:v>
                </c:pt>
                <c:pt idx="58">
                  <c:v>30553</c:v>
                </c:pt>
              </c:numCache>
            </c:numRef>
          </c:xVal>
          <c:yVal>
            <c:numRef>
              <c:f>Active!$U$21:$U$987</c:f>
              <c:numCache>
                <c:formatCode>General</c:formatCode>
                <c:ptCount val="967"/>
                <c:pt idx="19">
                  <c:v>-4.8289500002283603E-2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DE-4C09-817E-393E9689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076368"/>
        <c:axId val="1"/>
      </c:scatterChart>
      <c:valAx>
        <c:axId val="80307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656344562435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58715596330278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76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60276754396524"/>
          <c:y val="0.92073298764483702"/>
          <c:w val="0.7492365977188630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28575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CF43350-90E9-2823-B771-66699F1D8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vsoljno51.pdf" TargetMode="External"/><Relationship Id="rId13" Type="http://schemas.openxmlformats.org/officeDocument/2006/relationships/hyperlink" Target="http://www.konkoly.hu/cgi-bin/IBVS?5992" TargetMode="External"/><Relationship Id="rId18" Type="http://schemas.openxmlformats.org/officeDocument/2006/relationships/hyperlink" Target="http://vsolj.cetus-net.org/vsoljno56.pdf" TargetMode="External"/><Relationship Id="rId3" Type="http://schemas.openxmlformats.org/officeDocument/2006/relationships/hyperlink" Target="http://www.konkoly.hu/cgi-bin/IBVS?5894" TargetMode="External"/><Relationship Id="rId7" Type="http://schemas.openxmlformats.org/officeDocument/2006/relationships/hyperlink" Target="http://vsolj.cetus-net.org/vsoljno51.pdf" TargetMode="External"/><Relationship Id="rId12" Type="http://schemas.openxmlformats.org/officeDocument/2006/relationships/hyperlink" Target="http://var.astro.cz/oejv/issues/oejv0137.pdf" TargetMode="External"/><Relationship Id="rId17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www.bav-astro.de/sfs/BAVM_link.php?BAVMnr=209" TargetMode="External"/><Relationship Id="rId16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var.astro.cz/oejv/issues/oejv0094.pdf" TargetMode="External"/><Relationship Id="rId6" Type="http://schemas.openxmlformats.org/officeDocument/2006/relationships/hyperlink" Target="http://vsolj.cetus-net.org/vsoljno51.pdf" TargetMode="External"/><Relationship Id="rId11" Type="http://schemas.openxmlformats.org/officeDocument/2006/relationships/hyperlink" Target="http://www.konkoly.hu/cgi-bin/IBVS?5992" TargetMode="External"/><Relationship Id="rId5" Type="http://schemas.openxmlformats.org/officeDocument/2006/relationships/hyperlink" Target="http://var.astro.cz/oejv/issues/oejv0107.pdf" TargetMode="External"/><Relationship Id="rId15" Type="http://schemas.openxmlformats.org/officeDocument/2006/relationships/hyperlink" Target="http://www.konkoly.hu/cgi-bin/IBVS?6029" TargetMode="External"/><Relationship Id="rId10" Type="http://schemas.openxmlformats.org/officeDocument/2006/relationships/hyperlink" Target="http://www.konkoly.hu/cgi-bin/IBVS?5945" TargetMode="External"/><Relationship Id="rId4" Type="http://schemas.openxmlformats.org/officeDocument/2006/relationships/hyperlink" Target="http://www.bav-astro.de/sfs/BAVM_link.php?BAVMnr=214" TargetMode="External"/><Relationship Id="rId9" Type="http://schemas.openxmlformats.org/officeDocument/2006/relationships/hyperlink" Target="http://vsolj.cetus-net.org/vsoljno51.pdf" TargetMode="External"/><Relationship Id="rId14" Type="http://schemas.openxmlformats.org/officeDocument/2006/relationships/hyperlink" Target="http://www.konkoly.hu/cgi-bin/IBVS?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6"/>
  <sheetViews>
    <sheetView tabSelected="1" workbookViewId="0">
      <pane xSplit="14" ySplit="21" topLeftCell="O60" activePane="bottomRight" state="frozen"/>
      <selection pane="topRight" activeCell="O1" sqref="O1"/>
      <selection pane="bottomLeft" activeCell="A22" sqref="A22"/>
      <selection pane="bottomRight" activeCell="E11" sqref="E11"/>
    </sheetView>
  </sheetViews>
  <sheetFormatPr defaultColWidth="10.28515625" defaultRowHeight="12.75" x14ac:dyDescent="0.2"/>
  <cols>
    <col min="1" max="1" width="16.42578125" customWidth="1"/>
    <col min="2" max="2" width="5.140625" customWidth="1"/>
    <col min="3" max="3" width="13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37</v>
      </c>
    </row>
    <row r="2" spans="1:6" s="26" customFormat="1" ht="12.95" customHeight="1" x14ac:dyDescent="0.2">
      <c r="A2" s="26" t="s">
        <v>24</v>
      </c>
      <c r="B2" s="7" t="s">
        <v>38</v>
      </c>
      <c r="C2" s="27"/>
      <c r="D2" s="27"/>
    </row>
    <row r="3" spans="1:6" s="26" customFormat="1" ht="12.95" customHeight="1" thickBot="1" x14ac:dyDescent="0.25"/>
    <row r="4" spans="1:6" s="26" customFormat="1" ht="12.95" customHeight="1" thickTop="1" thickBot="1" x14ac:dyDescent="0.25">
      <c r="A4" s="28" t="s">
        <v>40</v>
      </c>
      <c r="C4" s="29">
        <v>50552.388599999998</v>
      </c>
      <c r="D4" s="30">
        <v>0.311589</v>
      </c>
    </row>
    <row r="5" spans="1:6" s="26" customFormat="1" ht="12.95" customHeight="1" thickTop="1" x14ac:dyDescent="0.2">
      <c r="A5" s="28" t="s">
        <v>29</v>
      </c>
      <c r="C5" s="31">
        <v>-9.5</v>
      </c>
      <c r="D5" s="26" t="s">
        <v>30</v>
      </c>
    </row>
    <row r="6" spans="1:6" s="26" customFormat="1" ht="12.95" customHeight="1" x14ac:dyDescent="0.2">
      <c r="A6" s="32" t="s">
        <v>2</v>
      </c>
    </row>
    <row r="7" spans="1:6" s="26" customFormat="1" ht="12.95" customHeight="1" x14ac:dyDescent="0.2">
      <c r="A7" s="26" t="s">
        <v>3</v>
      </c>
      <c r="C7" s="33">
        <v>50552.388599999998</v>
      </c>
    </row>
    <row r="8" spans="1:6" s="26" customFormat="1" ht="12.95" customHeight="1" x14ac:dyDescent="0.2">
      <c r="A8" s="26" t="s">
        <v>4</v>
      </c>
      <c r="C8" s="33">
        <v>0.311589</v>
      </c>
    </row>
    <row r="9" spans="1:6" s="26" customFormat="1" ht="12.95" customHeight="1" x14ac:dyDescent="0.2">
      <c r="A9" s="34" t="s">
        <v>39</v>
      </c>
      <c r="B9" s="35">
        <v>44</v>
      </c>
      <c r="C9" s="36" t="str">
        <f>"F"&amp;B9</f>
        <v>F44</v>
      </c>
      <c r="D9" s="37" t="str">
        <f>"G"&amp;B9</f>
        <v>G44</v>
      </c>
    </row>
    <row r="10" spans="1:6" s="26" customFormat="1" ht="12.95" customHeight="1" thickBot="1" x14ac:dyDescent="0.25">
      <c r="C10" s="38" t="s">
        <v>20</v>
      </c>
      <c r="D10" s="38" t="s">
        <v>21</v>
      </c>
    </row>
    <row r="11" spans="1:6" s="26" customFormat="1" ht="12.95" customHeight="1" x14ac:dyDescent="0.2">
      <c r="A11" s="26" t="s">
        <v>16</v>
      </c>
      <c r="C11" s="37">
        <f ca="1">INTERCEPT(INDIRECT($D$9):G986,INDIRECT($C$9):F986)</f>
        <v>-4.0811225657967402E-2</v>
      </c>
      <c r="D11" s="27"/>
    </row>
    <row r="12" spans="1:6" s="26" customFormat="1" ht="12.95" customHeight="1" x14ac:dyDescent="0.2">
      <c r="A12" s="26" t="s">
        <v>17</v>
      </c>
      <c r="C12" s="37">
        <f ca="1">SLOPE(INDIRECT($D$9):G986,INDIRECT($C$9):F986)</f>
        <v>2.5721256918514541E-6</v>
      </c>
      <c r="D12" s="27"/>
    </row>
    <row r="13" spans="1:6" s="26" customFormat="1" ht="12.95" customHeight="1" x14ac:dyDescent="0.2">
      <c r="A13" s="26" t="s">
        <v>19</v>
      </c>
      <c r="C13" s="27" t="s">
        <v>14</v>
      </c>
    </row>
    <row r="14" spans="1:6" s="26" customFormat="1" ht="12.95" customHeight="1" x14ac:dyDescent="0.2"/>
    <row r="15" spans="1:6" s="26" customFormat="1" ht="12.95" customHeight="1" x14ac:dyDescent="0.2">
      <c r="A15" s="39" t="s">
        <v>18</v>
      </c>
      <c r="C15" s="40">
        <f ca="1">(C7+C11)+(C8+C12)*INT(MAX(F21:F3527))</f>
        <v>60072.405091930603</v>
      </c>
      <c r="E15" s="41" t="s">
        <v>45</v>
      </c>
      <c r="F15" s="31">
        <v>1</v>
      </c>
    </row>
    <row r="16" spans="1:6" s="26" customFormat="1" ht="12.95" customHeight="1" x14ac:dyDescent="0.2">
      <c r="A16" s="32" t="s">
        <v>5</v>
      </c>
      <c r="C16" s="42">
        <f ca="1">+C8+C12</f>
        <v>0.31159157212569183</v>
      </c>
      <c r="E16" s="41" t="s">
        <v>31</v>
      </c>
      <c r="F16" s="43">
        <f ca="1">NOW()+15018.5+$C$5/24</f>
        <v>60308.776893518516</v>
      </c>
    </row>
    <row r="17" spans="1:21" s="26" customFormat="1" ht="12.95" customHeight="1" thickBot="1" x14ac:dyDescent="0.25">
      <c r="A17" s="41" t="s">
        <v>28</v>
      </c>
      <c r="C17" s="26">
        <f>COUNT(C21:C2185)</f>
        <v>59</v>
      </c>
      <c r="E17" s="41" t="s">
        <v>46</v>
      </c>
      <c r="F17" s="43">
        <f ca="1">ROUND(2*(F16-$C$7)/$C$8,0)/2+F15</f>
        <v>31312.5</v>
      </c>
    </row>
    <row r="18" spans="1:21" s="26" customFormat="1" ht="12.95" customHeight="1" thickTop="1" thickBot="1" x14ac:dyDescent="0.25">
      <c r="A18" s="32" t="s">
        <v>6</v>
      </c>
      <c r="C18" s="44">
        <f ca="1">+C15</f>
        <v>60072.405091930603</v>
      </c>
      <c r="D18" s="45">
        <f ca="1">+C16</f>
        <v>0.31159157212569183</v>
      </c>
      <c r="E18" s="41" t="s">
        <v>32</v>
      </c>
      <c r="F18" s="37">
        <f ca="1">ROUND(2*(F16-$C$15)/$C$16,0)/2+F15</f>
        <v>759.5</v>
      </c>
    </row>
    <row r="19" spans="1:21" s="26" customFormat="1" ht="12.95" customHeight="1" thickTop="1" x14ac:dyDescent="0.2">
      <c r="E19" s="41" t="s">
        <v>33</v>
      </c>
      <c r="F19" s="46">
        <f ca="1">+$C$15+$C$16*F18-15018.5-$C$5/24</f>
        <v>45290.954724293399</v>
      </c>
    </row>
    <row r="20" spans="1:21" s="26" customFormat="1" ht="12.95" customHeight="1" thickBot="1" x14ac:dyDescent="0.25">
      <c r="A20" s="38" t="s">
        <v>7</v>
      </c>
      <c r="B20" s="38" t="s">
        <v>8</v>
      </c>
      <c r="C20" s="38" t="s">
        <v>9</v>
      </c>
      <c r="D20" s="38" t="s">
        <v>13</v>
      </c>
      <c r="E20" s="38" t="s">
        <v>10</v>
      </c>
      <c r="F20" s="38" t="s">
        <v>11</v>
      </c>
      <c r="G20" s="38" t="s">
        <v>12</v>
      </c>
      <c r="H20" s="47" t="s">
        <v>62</v>
      </c>
      <c r="I20" s="47" t="s">
        <v>65</v>
      </c>
      <c r="J20" s="47" t="s">
        <v>59</v>
      </c>
      <c r="K20" s="47" t="s">
        <v>57</v>
      </c>
      <c r="L20" s="47" t="s">
        <v>25</v>
      </c>
      <c r="M20" s="47" t="s">
        <v>26</v>
      </c>
      <c r="N20" s="47" t="s">
        <v>27</v>
      </c>
      <c r="O20" s="47" t="s">
        <v>23</v>
      </c>
      <c r="P20" s="48" t="s">
        <v>22</v>
      </c>
      <c r="Q20" s="38" t="s">
        <v>15</v>
      </c>
      <c r="U20" s="49" t="s">
        <v>159</v>
      </c>
    </row>
    <row r="21" spans="1:21" s="26" customFormat="1" ht="12.95" customHeight="1" x14ac:dyDescent="0.2">
      <c r="A21" s="26" t="s">
        <v>34</v>
      </c>
      <c r="B21" s="27" t="s">
        <v>36</v>
      </c>
      <c r="C21" s="33">
        <v>50549.429230000002</v>
      </c>
      <c r="D21" s="33">
        <v>2.1000000000000001E-4</v>
      </c>
      <c r="E21" s="26">
        <f t="shared" ref="E21:E52" si="0">+(C21-C$7)/C$8</f>
        <v>-9.4976716122740275</v>
      </c>
      <c r="F21" s="26">
        <f t="shared" ref="F21:F52" si="1">ROUND(2*E21,0)/2</f>
        <v>-9.5</v>
      </c>
      <c r="G21" s="26">
        <f t="shared" ref="G21:G39" si="2">+C21-(C$7+F21*C$8)</f>
        <v>7.2550000186311081E-4</v>
      </c>
      <c r="K21" s="26">
        <f t="shared" ref="K21:K37" si="3">+G21</f>
        <v>7.2550000186311081E-4</v>
      </c>
      <c r="O21" s="26">
        <f t="shared" ref="O21:O52" ca="1" si="4">+C$11+C$12*$F21</f>
        <v>-4.083566085203999E-2</v>
      </c>
      <c r="Q21" s="50">
        <f t="shared" ref="Q21:Q52" si="5">+C21-15018.5</f>
        <v>35530.929230000002</v>
      </c>
    </row>
    <row r="22" spans="1:21" s="26" customFormat="1" ht="12.95" customHeight="1" x14ac:dyDescent="0.2">
      <c r="A22" s="26" t="s">
        <v>34</v>
      </c>
      <c r="B22" s="27" t="s">
        <v>36</v>
      </c>
      <c r="C22" s="33">
        <v>50549.429230000002</v>
      </c>
      <c r="D22" s="33">
        <v>2.1000000000000001E-4</v>
      </c>
      <c r="E22" s="26">
        <f t="shared" si="0"/>
        <v>-9.4976716122740275</v>
      </c>
      <c r="F22" s="26">
        <f t="shared" si="1"/>
        <v>-9.5</v>
      </c>
      <c r="G22" s="26">
        <f t="shared" si="2"/>
        <v>7.2550000186311081E-4</v>
      </c>
      <c r="K22" s="26">
        <f t="shared" si="3"/>
        <v>7.2550000186311081E-4</v>
      </c>
      <c r="O22" s="26">
        <f t="shared" ca="1" si="4"/>
        <v>-4.083566085203999E-2</v>
      </c>
      <c r="Q22" s="50">
        <f t="shared" si="5"/>
        <v>35530.929230000002</v>
      </c>
    </row>
    <row r="23" spans="1:21" s="26" customFormat="1" ht="12.95" customHeight="1" x14ac:dyDescent="0.2">
      <c r="A23" s="26" t="s">
        <v>34</v>
      </c>
      <c r="B23" s="27" t="s">
        <v>36</v>
      </c>
      <c r="C23" s="33">
        <v>50551.453699999998</v>
      </c>
      <c r="D23" s="33">
        <v>1.1000000000000001E-3</v>
      </c>
      <c r="E23" s="26">
        <f t="shared" si="0"/>
        <v>-3.000426844337245</v>
      </c>
      <c r="F23" s="26">
        <f t="shared" si="1"/>
        <v>-3</v>
      </c>
      <c r="G23" s="26">
        <f t="shared" si="2"/>
        <v>-1.3300000136950985E-4</v>
      </c>
      <c r="K23" s="26">
        <f t="shared" si="3"/>
        <v>-1.3300000136950985E-4</v>
      </c>
      <c r="O23" s="26">
        <f t="shared" ca="1" si="4"/>
        <v>-4.0818942035042959E-2</v>
      </c>
      <c r="Q23" s="50">
        <f t="shared" si="5"/>
        <v>35532.953699999998</v>
      </c>
    </row>
    <row r="24" spans="1:21" s="26" customFormat="1" ht="12.95" customHeight="1" x14ac:dyDescent="0.2">
      <c r="A24" s="26" t="s">
        <v>34</v>
      </c>
      <c r="B24" s="27" t="s">
        <v>36</v>
      </c>
      <c r="C24" s="33">
        <v>50551.453699999998</v>
      </c>
      <c r="D24" s="33">
        <v>1.1000000000000001E-3</v>
      </c>
      <c r="E24" s="26">
        <f t="shared" si="0"/>
        <v>-3.000426844337245</v>
      </c>
      <c r="F24" s="26">
        <f t="shared" si="1"/>
        <v>-3</v>
      </c>
      <c r="G24" s="26">
        <f t="shared" si="2"/>
        <v>-1.3300000136950985E-4</v>
      </c>
      <c r="K24" s="26">
        <f t="shared" si="3"/>
        <v>-1.3300000136950985E-4</v>
      </c>
      <c r="O24" s="26">
        <f t="shared" ca="1" si="4"/>
        <v>-4.0818942035042959E-2</v>
      </c>
      <c r="Q24" s="50">
        <f t="shared" si="5"/>
        <v>35532.953699999998</v>
      </c>
    </row>
    <row r="25" spans="1:21" s="26" customFormat="1" ht="12.95" customHeight="1" x14ac:dyDescent="0.2">
      <c r="A25" s="26" t="s">
        <v>34</v>
      </c>
      <c r="C25" s="33">
        <v>50552.388599999998</v>
      </c>
      <c r="D25" s="33" t="s">
        <v>14</v>
      </c>
      <c r="E25" s="26">
        <f t="shared" si="0"/>
        <v>0</v>
      </c>
      <c r="F25" s="26">
        <f t="shared" si="1"/>
        <v>0</v>
      </c>
      <c r="G25" s="26">
        <f t="shared" si="2"/>
        <v>0</v>
      </c>
      <c r="K25" s="26">
        <f t="shared" si="3"/>
        <v>0</v>
      </c>
      <c r="O25" s="26">
        <f t="shared" ca="1" si="4"/>
        <v>-4.0811225657967402E-2</v>
      </c>
      <c r="Q25" s="50">
        <f t="shared" si="5"/>
        <v>35533.888599999998</v>
      </c>
    </row>
    <row r="26" spans="1:21" s="26" customFormat="1" ht="12.95" customHeight="1" x14ac:dyDescent="0.2">
      <c r="A26" s="5" t="s">
        <v>35</v>
      </c>
      <c r="B26" s="6" t="s">
        <v>36</v>
      </c>
      <c r="C26" s="5">
        <v>52964.712</v>
      </c>
      <c r="D26" s="5">
        <v>4.0000000000000001E-3</v>
      </c>
      <c r="E26" s="26">
        <f t="shared" si="0"/>
        <v>7742.0043711427588</v>
      </c>
      <c r="F26" s="26">
        <f t="shared" si="1"/>
        <v>7742</v>
      </c>
      <c r="G26" s="26">
        <f t="shared" si="2"/>
        <v>1.3620000027003698E-3</v>
      </c>
      <c r="K26" s="26">
        <f t="shared" si="3"/>
        <v>1.3620000027003698E-3</v>
      </c>
      <c r="O26" s="26">
        <f t="shared" ca="1" si="4"/>
        <v>-2.0897828551653445E-2</v>
      </c>
      <c r="Q26" s="50">
        <f t="shared" si="5"/>
        <v>37946.212</v>
      </c>
    </row>
    <row r="27" spans="1:21" s="26" customFormat="1" ht="12.95" customHeight="1" x14ac:dyDescent="0.2">
      <c r="A27" s="5" t="s">
        <v>35</v>
      </c>
      <c r="B27" s="6" t="s">
        <v>36</v>
      </c>
      <c r="C27" s="5">
        <v>52997.739000000001</v>
      </c>
      <c r="D27" s="5">
        <v>4.0000000000000001E-3</v>
      </c>
      <c r="E27" s="26">
        <f t="shared" si="0"/>
        <v>7847.9997689263837</v>
      </c>
      <c r="F27" s="26">
        <f t="shared" si="1"/>
        <v>7848</v>
      </c>
      <c r="G27" s="26">
        <f t="shared" si="2"/>
        <v>-7.1999995270743966E-5</v>
      </c>
      <c r="K27" s="26">
        <f t="shared" si="3"/>
        <v>-7.1999995270743966E-5</v>
      </c>
      <c r="O27" s="26">
        <f t="shared" ca="1" si="4"/>
        <v>-2.062518322831719E-2</v>
      </c>
      <c r="Q27" s="50">
        <f t="shared" si="5"/>
        <v>37979.239000000001</v>
      </c>
    </row>
    <row r="28" spans="1:21" s="26" customFormat="1" ht="12.95" customHeight="1" x14ac:dyDescent="0.2">
      <c r="A28" s="5" t="s">
        <v>35</v>
      </c>
      <c r="B28" s="6" t="s">
        <v>36</v>
      </c>
      <c r="C28" s="5">
        <v>53048.525000000001</v>
      </c>
      <c r="D28" s="5">
        <v>7.0000000000000001E-3</v>
      </c>
      <c r="E28" s="26">
        <f t="shared" si="0"/>
        <v>8010.9901183931497</v>
      </c>
      <c r="F28" s="26">
        <f t="shared" si="1"/>
        <v>8011</v>
      </c>
      <c r="G28" s="26">
        <f t="shared" si="2"/>
        <v>-3.0789999946136959E-3</v>
      </c>
      <c r="K28" s="26">
        <f t="shared" si="3"/>
        <v>-3.0789999946136959E-3</v>
      </c>
      <c r="O28" s="26">
        <f t="shared" ca="1" si="4"/>
        <v>-2.0205926740545405E-2</v>
      </c>
      <c r="Q28" s="50">
        <f t="shared" si="5"/>
        <v>38030.025000000001</v>
      </c>
    </row>
    <row r="29" spans="1:21" s="26" customFormat="1" ht="12.95" customHeight="1" x14ac:dyDescent="0.2">
      <c r="A29" s="5" t="s">
        <v>35</v>
      </c>
      <c r="B29" s="6" t="s">
        <v>36</v>
      </c>
      <c r="C29" s="5">
        <v>53052.582999999999</v>
      </c>
      <c r="D29" s="5">
        <v>2E-3</v>
      </c>
      <c r="E29" s="26">
        <f t="shared" si="0"/>
        <v>8024.0136846936193</v>
      </c>
      <c r="F29" s="26">
        <f t="shared" si="1"/>
        <v>8024</v>
      </c>
      <c r="G29" s="26">
        <f t="shared" si="2"/>
        <v>4.2640000028768554E-3</v>
      </c>
      <c r="K29" s="26">
        <f t="shared" si="3"/>
        <v>4.2640000028768554E-3</v>
      </c>
      <c r="O29" s="26">
        <f t="shared" ca="1" si="4"/>
        <v>-2.0172489106551336E-2</v>
      </c>
      <c r="Q29" s="50">
        <f t="shared" si="5"/>
        <v>38034.082999999999</v>
      </c>
    </row>
    <row r="30" spans="1:21" s="26" customFormat="1" ht="12.95" customHeight="1" x14ac:dyDescent="0.2">
      <c r="A30" s="5" t="s">
        <v>35</v>
      </c>
      <c r="B30" s="6" t="s">
        <v>36</v>
      </c>
      <c r="C30" s="5">
        <v>53063.49</v>
      </c>
      <c r="D30" s="5">
        <v>2E-3</v>
      </c>
      <c r="E30" s="26">
        <f t="shared" si="0"/>
        <v>8059.0181296515584</v>
      </c>
      <c r="F30" s="26">
        <f t="shared" si="1"/>
        <v>8059</v>
      </c>
      <c r="G30" s="26">
        <f t="shared" si="2"/>
        <v>5.6489999988116324E-3</v>
      </c>
      <c r="K30" s="26">
        <f t="shared" si="3"/>
        <v>5.6489999988116324E-3</v>
      </c>
      <c r="O30" s="26">
        <f t="shared" ca="1" si="4"/>
        <v>-2.0082464707336534E-2</v>
      </c>
      <c r="Q30" s="50">
        <f t="shared" si="5"/>
        <v>38044.99</v>
      </c>
    </row>
    <row r="31" spans="1:21" s="26" customFormat="1" ht="12.95" customHeight="1" x14ac:dyDescent="0.2">
      <c r="A31" s="5" t="s">
        <v>35</v>
      </c>
      <c r="B31" s="6" t="s">
        <v>36</v>
      </c>
      <c r="C31" s="5">
        <v>53079.373</v>
      </c>
      <c r="D31" s="5">
        <v>2E-3</v>
      </c>
      <c r="E31" s="26">
        <f t="shared" si="0"/>
        <v>8109.9923296393681</v>
      </c>
      <c r="F31" s="26">
        <f t="shared" si="1"/>
        <v>8110</v>
      </c>
      <c r="G31" s="26">
        <f t="shared" si="2"/>
        <v>-2.3900000014691614E-3</v>
      </c>
      <c r="K31" s="26">
        <f t="shared" si="3"/>
        <v>-2.3900000014691614E-3</v>
      </c>
      <c r="O31" s="26">
        <f t="shared" ca="1" si="4"/>
        <v>-1.9951286297052111E-2</v>
      </c>
      <c r="Q31" s="50">
        <f t="shared" si="5"/>
        <v>38060.873</v>
      </c>
    </row>
    <row r="32" spans="1:21" s="26" customFormat="1" ht="12.95" customHeight="1" x14ac:dyDescent="0.2">
      <c r="A32" s="5" t="s">
        <v>35</v>
      </c>
      <c r="B32" s="6" t="s">
        <v>36</v>
      </c>
      <c r="C32" s="5">
        <v>53080.629000000001</v>
      </c>
      <c r="D32" s="5">
        <v>4.0000000000000001E-3</v>
      </c>
      <c r="E32" s="26">
        <f t="shared" si="0"/>
        <v>8114.0232806678105</v>
      </c>
      <c r="F32" s="26">
        <f t="shared" si="1"/>
        <v>8114</v>
      </c>
      <c r="G32" s="26">
        <f t="shared" si="2"/>
        <v>7.2540000037406571E-3</v>
      </c>
      <c r="K32" s="26">
        <f t="shared" si="3"/>
        <v>7.2540000037406571E-3</v>
      </c>
      <c r="O32" s="26">
        <f t="shared" ca="1" si="4"/>
        <v>-1.9940997794284702E-2</v>
      </c>
      <c r="Q32" s="50">
        <f t="shared" si="5"/>
        <v>38062.129000000001</v>
      </c>
    </row>
    <row r="33" spans="1:21" s="26" customFormat="1" ht="12.95" customHeight="1" x14ac:dyDescent="0.2">
      <c r="A33" s="5" t="s">
        <v>35</v>
      </c>
      <c r="B33" s="6" t="s">
        <v>36</v>
      </c>
      <c r="C33" s="5">
        <v>53092.462</v>
      </c>
      <c r="D33" s="5">
        <v>3.0000000000000001E-3</v>
      </c>
      <c r="E33" s="26">
        <f t="shared" si="0"/>
        <v>8151.9995892024463</v>
      </c>
      <c r="F33" s="26">
        <f t="shared" si="1"/>
        <v>8152</v>
      </c>
      <c r="G33" s="26">
        <f t="shared" si="2"/>
        <v>-1.2799999967683107E-4</v>
      </c>
      <c r="K33" s="26">
        <f t="shared" si="3"/>
        <v>-1.2799999967683107E-4</v>
      </c>
      <c r="O33" s="26">
        <f t="shared" ca="1" si="4"/>
        <v>-1.9843257017994349E-2</v>
      </c>
      <c r="Q33" s="50">
        <f t="shared" si="5"/>
        <v>38073.962</v>
      </c>
    </row>
    <row r="34" spans="1:21" s="26" customFormat="1" ht="12.95" customHeight="1" x14ac:dyDescent="0.2">
      <c r="A34" s="5" t="s">
        <v>35</v>
      </c>
      <c r="B34" s="6" t="s">
        <v>36</v>
      </c>
      <c r="C34" s="5">
        <v>53093.392999999996</v>
      </c>
      <c r="D34" s="5">
        <v>1E-3</v>
      </c>
      <c r="E34" s="26">
        <f t="shared" si="0"/>
        <v>8154.987499558707</v>
      </c>
      <c r="F34" s="26">
        <f t="shared" si="1"/>
        <v>8155</v>
      </c>
      <c r="G34" s="26">
        <f t="shared" si="2"/>
        <v>-3.895000001648441E-3</v>
      </c>
      <c r="K34" s="26">
        <f t="shared" si="3"/>
        <v>-3.895000001648441E-3</v>
      </c>
      <c r="O34" s="26">
        <f t="shared" ca="1" si="4"/>
        <v>-1.9835540640918796E-2</v>
      </c>
      <c r="Q34" s="50">
        <f t="shared" si="5"/>
        <v>38074.892999999996</v>
      </c>
    </row>
    <row r="35" spans="1:21" s="26" customFormat="1" ht="12.95" customHeight="1" x14ac:dyDescent="0.2">
      <c r="A35" s="5" t="s">
        <v>35</v>
      </c>
      <c r="B35" s="6" t="s">
        <v>36</v>
      </c>
      <c r="C35" s="5">
        <v>53110.534</v>
      </c>
      <c r="D35" s="5">
        <v>2E-3</v>
      </c>
      <c r="E35" s="26">
        <f t="shared" si="0"/>
        <v>8209.9990692867887</v>
      </c>
      <c r="F35" s="26">
        <f t="shared" si="1"/>
        <v>8210</v>
      </c>
      <c r="G35" s="26">
        <f t="shared" si="2"/>
        <v>-2.899999963119626E-4</v>
      </c>
      <c r="K35" s="26">
        <f t="shared" si="3"/>
        <v>-2.899999963119626E-4</v>
      </c>
      <c r="O35" s="26">
        <f t="shared" ca="1" si="4"/>
        <v>-1.9694073727866964E-2</v>
      </c>
      <c r="Q35" s="50">
        <f t="shared" si="5"/>
        <v>38092.034</v>
      </c>
    </row>
    <row r="36" spans="1:21" s="26" customFormat="1" ht="12.95" customHeight="1" x14ac:dyDescent="0.2">
      <c r="A36" s="5" t="s">
        <v>35</v>
      </c>
      <c r="B36" s="6" t="s">
        <v>36</v>
      </c>
      <c r="C36" s="5">
        <v>53116.453999999998</v>
      </c>
      <c r="D36" s="5">
        <v>2E-3</v>
      </c>
      <c r="E36" s="26">
        <f t="shared" si="0"/>
        <v>8228.9984562998034</v>
      </c>
      <c r="F36" s="26">
        <f t="shared" si="1"/>
        <v>8229</v>
      </c>
      <c r="G36" s="26">
        <f t="shared" si="2"/>
        <v>-4.8100000276463106E-4</v>
      </c>
      <c r="K36" s="26">
        <f t="shared" si="3"/>
        <v>-4.8100000276463106E-4</v>
      </c>
      <c r="O36" s="26">
        <f t="shared" ca="1" si="4"/>
        <v>-1.9645203339721785E-2</v>
      </c>
      <c r="Q36" s="50">
        <f t="shared" si="5"/>
        <v>38097.953999999998</v>
      </c>
    </row>
    <row r="37" spans="1:21" s="26" customFormat="1" ht="12.95" customHeight="1" x14ac:dyDescent="0.2">
      <c r="A37" s="5" t="s">
        <v>35</v>
      </c>
      <c r="B37" s="6" t="s">
        <v>36</v>
      </c>
      <c r="C37" s="5">
        <v>53150.415000000001</v>
      </c>
      <c r="D37" s="5">
        <v>3.0000000000000001E-3</v>
      </c>
      <c r="E37" s="51">
        <f t="shared" si="0"/>
        <v>8337.9913925074452</v>
      </c>
      <c r="F37" s="26">
        <f t="shared" si="1"/>
        <v>8338</v>
      </c>
      <c r="G37" s="26">
        <f t="shared" si="2"/>
        <v>-2.6819999984581955E-3</v>
      </c>
      <c r="K37" s="26">
        <f t="shared" si="3"/>
        <v>-2.6819999984581955E-3</v>
      </c>
      <c r="O37" s="26">
        <f t="shared" ca="1" si="4"/>
        <v>-1.9364841639309977E-2</v>
      </c>
      <c r="Q37" s="50">
        <f t="shared" si="5"/>
        <v>38131.915000000001</v>
      </c>
    </row>
    <row r="38" spans="1:21" s="26" customFormat="1" ht="12.95" customHeight="1" x14ac:dyDescent="0.2">
      <c r="A38" s="5" t="s">
        <v>51</v>
      </c>
      <c r="B38" s="6" t="s">
        <v>36</v>
      </c>
      <c r="C38" s="5">
        <v>53346.712</v>
      </c>
      <c r="D38" s="5">
        <v>3.0000000000000001E-3</v>
      </c>
      <c r="E38" s="51">
        <f t="shared" si="0"/>
        <v>8967.9783304288703</v>
      </c>
      <c r="F38" s="26">
        <f t="shared" si="1"/>
        <v>8968</v>
      </c>
      <c r="G38" s="26">
        <f t="shared" si="2"/>
        <v>-6.7520000011427328E-3</v>
      </c>
      <c r="I38" s="26">
        <f>+G38</f>
        <v>-6.7520000011427328E-3</v>
      </c>
      <c r="O38" s="26">
        <f t="shared" ca="1" si="4"/>
        <v>-1.7744402453443563E-2</v>
      </c>
      <c r="Q38" s="50">
        <f t="shared" si="5"/>
        <v>38328.212</v>
      </c>
    </row>
    <row r="39" spans="1:21" s="26" customFormat="1" ht="12.95" customHeight="1" x14ac:dyDescent="0.2">
      <c r="A39" s="5" t="s">
        <v>51</v>
      </c>
      <c r="B39" s="6" t="s">
        <v>36</v>
      </c>
      <c r="C39" s="5">
        <v>53465.432999999997</v>
      </c>
      <c r="D39" s="5">
        <v>1E-3</v>
      </c>
      <c r="E39" s="51">
        <f t="shared" si="0"/>
        <v>9348.9962739377788</v>
      </c>
      <c r="F39" s="26">
        <f t="shared" si="1"/>
        <v>9349</v>
      </c>
      <c r="G39" s="26">
        <f t="shared" si="2"/>
        <v>-1.1610000001383014E-3</v>
      </c>
      <c r="I39" s="26">
        <f>+G39</f>
        <v>-1.1610000001383014E-3</v>
      </c>
      <c r="O39" s="26">
        <f t="shared" ca="1" si="4"/>
        <v>-1.6764422564848159E-2</v>
      </c>
      <c r="Q39" s="50">
        <f t="shared" si="5"/>
        <v>38446.932999999997</v>
      </c>
    </row>
    <row r="40" spans="1:21" s="26" customFormat="1" ht="12.95" customHeight="1" x14ac:dyDescent="0.2">
      <c r="A40" s="5" t="s">
        <v>51</v>
      </c>
      <c r="B40" s="6" t="s">
        <v>36</v>
      </c>
      <c r="C40" s="5">
        <v>54464.495999999999</v>
      </c>
      <c r="D40" s="5">
        <v>2E-3</v>
      </c>
      <c r="E40" s="51">
        <f t="shared" si="0"/>
        <v>12555.345021807576</v>
      </c>
      <c r="F40" s="26">
        <f t="shared" si="1"/>
        <v>12555.5</v>
      </c>
      <c r="O40" s="26">
        <f t="shared" ca="1" si="4"/>
        <v>-8.5169015339264728E-3</v>
      </c>
      <c r="Q40" s="50">
        <f t="shared" si="5"/>
        <v>39445.995999999999</v>
      </c>
      <c r="U40" s="52">
        <v>-4.8289500002283603E-2</v>
      </c>
    </row>
    <row r="41" spans="1:21" s="26" customFormat="1" ht="12.95" customHeight="1" x14ac:dyDescent="0.2">
      <c r="A41" s="5" t="s">
        <v>52</v>
      </c>
      <c r="B41" s="6" t="s">
        <v>43</v>
      </c>
      <c r="C41" s="5">
        <v>54507.542049999996</v>
      </c>
      <c r="D41" s="5">
        <v>1E-4</v>
      </c>
      <c r="E41" s="51">
        <f t="shared" si="0"/>
        <v>12693.49511696497</v>
      </c>
      <c r="F41" s="26">
        <f t="shared" si="1"/>
        <v>12693.5</v>
      </c>
      <c r="G41" s="26">
        <f t="shared" ref="G41:G78" si="6">+C41-(C$7+F41*C$8)</f>
        <v>-1.5215000021271408E-3</v>
      </c>
      <c r="I41" s="26">
        <f>+G41</f>
        <v>-1.5215000021271408E-3</v>
      </c>
      <c r="O41" s="26">
        <f t="shared" ca="1" si="4"/>
        <v>-8.1619481884509723E-3</v>
      </c>
      <c r="Q41" s="50">
        <f t="shared" si="5"/>
        <v>39489.042049999996</v>
      </c>
    </row>
    <row r="42" spans="1:21" s="26" customFormat="1" ht="12.95" customHeight="1" x14ac:dyDescent="0.2">
      <c r="A42" s="5" t="s">
        <v>48</v>
      </c>
      <c r="B42" s="6" t="s">
        <v>36</v>
      </c>
      <c r="C42" s="5">
        <v>54555.373200000002</v>
      </c>
      <c r="D42" s="5">
        <v>1E-4</v>
      </c>
      <c r="E42" s="51">
        <f t="shared" si="0"/>
        <v>12847.002301108201</v>
      </c>
      <c r="F42" s="26">
        <f t="shared" si="1"/>
        <v>12847</v>
      </c>
      <c r="G42" s="26">
        <f t="shared" si="6"/>
        <v>7.1700000262353569E-4</v>
      </c>
      <c r="J42" s="26">
        <f>+G42</f>
        <v>7.1700000262353569E-4</v>
      </c>
      <c r="O42" s="26">
        <f t="shared" ca="1" si="4"/>
        <v>-7.7671268947517719E-3</v>
      </c>
      <c r="Q42" s="50">
        <f t="shared" si="5"/>
        <v>39536.873200000002</v>
      </c>
    </row>
    <row r="43" spans="1:21" s="26" customFormat="1" ht="12.95" customHeight="1" x14ac:dyDescent="0.2">
      <c r="A43" s="5" t="s">
        <v>41</v>
      </c>
      <c r="B43" s="6" t="s">
        <v>36</v>
      </c>
      <c r="C43" s="5">
        <v>54862.914700000001</v>
      </c>
      <c r="D43" s="5">
        <v>5.9999999999999995E-4</v>
      </c>
      <c r="E43" s="51">
        <f t="shared" si="0"/>
        <v>13834.012433044822</v>
      </c>
      <c r="F43" s="26">
        <f t="shared" si="1"/>
        <v>13834</v>
      </c>
      <c r="G43" s="26">
        <f t="shared" si="6"/>
        <v>3.8740000018151477E-3</v>
      </c>
      <c r="K43" s="26">
        <f>+G43</f>
        <v>3.8740000018151477E-3</v>
      </c>
      <c r="O43" s="26">
        <f t="shared" ca="1" si="4"/>
        <v>-5.228438836894389E-3</v>
      </c>
      <c r="Q43" s="50">
        <f t="shared" si="5"/>
        <v>39844.414700000001</v>
      </c>
    </row>
    <row r="44" spans="1:21" s="26" customFormat="1" ht="12.95" customHeight="1" x14ac:dyDescent="0.2">
      <c r="A44" s="5" t="s">
        <v>49</v>
      </c>
      <c r="B44" s="6" t="s">
        <v>36</v>
      </c>
      <c r="C44" s="5">
        <v>54923.360200000003</v>
      </c>
      <c r="D44" s="5">
        <v>1E-4</v>
      </c>
      <c r="E44" s="51">
        <f t="shared" si="0"/>
        <v>14028.003555966367</v>
      </c>
      <c r="F44" s="26">
        <f t="shared" si="1"/>
        <v>14028</v>
      </c>
      <c r="G44" s="26">
        <f t="shared" si="6"/>
        <v>1.1080000040237792E-3</v>
      </c>
      <c r="J44" s="26">
        <f>+G44</f>
        <v>1.1080000040237792E-3</v>
      </c>
      <c r="O44" s="26">
        <f t="shared" ca="1" si="4"/>
        <v>-4.7294464526752081E-3</v>
      </c>
      <c r="Q44" s="50">
        <f t="shared" si="5"/>
        <v>39904.860200000003</v>
      </c>
    </row>
    <row r="45" spans="1:21" s="26" customFormat="1" ht="12.95" customHeight="1" x14ac:dyDescent="0.2">
      <c r="A45" s="51" t="s">
        <v>42</v>
      </c>
      <c r="B45" s="6" t="s">
        <v>43</v>
      </c>
      <c r="C45" s="5">
        <v>54935.356919999998</v>
      </c>
      <c r="D45" s="5">
        <v>2.0000000000000001E-4</v>
      </c>
      <c r="E45" s="51">
        <f t="shared" si="0"/>
        <v>14066.505300251292</v>
      </c>
      <c r="F45" s="26">
        <f t="shared" si="1"/>
        <v>14066.5</v>
      </c>
      <c r="G45" s="26">
        <f t="shared" si="6"/>
        <v>1.6515000024810433E-3</v>
      </c>
      <c r="K45" s="26">
        <f t="shared" ref="K45:K78" si="7">+G45</f>
        <v>1.6515000024810433E-3</v>
      </c>
      <c r="O45" s="26">
        <f t="shared" ca="1" si="4"/>
        <v>-4.6304196135389247E-3</v>
      </c>
      <c r="Q45" s="50">
        <f t="shared" si="5"/>
        <v>39916.856919999998</v>
      </c>
    </row>
    <row r="46" spans="1:21" s="26" customFormat="1" ht="12.95" customHeight="1" x14ac:dyDescent="0.2">
      <c r="A46" s="53" t="s">
        <v>102</v>
      </c>
      <c r="B46" s="54" t="s">
        <v>36</v>
      </c>
      <c r="C46" s="55">
        <v>55232.145199999999</v>
      </c>
      <c r="D46" s="33"/>
      <c r="E46" s="51">
        <f t="shared" si="0"/>
        <v>15019.004521982484</v>
      </c>
      <c r="F46" s="26">
        <f t="shared" si="1"/>
        <v>15019</v>
      </c>
      <c r="G46" s="26">
        <f t="shared" si="6"/>
        <v>1.4090000040596351E-3</v>
      </c>
      <c r="K46" s="26">
        <f t="shared" si="7"/>
        <v>1.4090000040596351E-3</v>
      </c>
      <c r="O46" s="26">
        <f t="shared" ca="1" si="4"/>
        <v>-2.180469892050417E-3</v>
      </c>
      <c r="Q46" s="50">
        <f t="shared" si="5"/>
        <v>40213.645199999999</v>
      </c>
    </row>
    <row r="47" spans="1:21" s="26" customFormat="1" ht="12.95" customHeight="1" x14ac:dyDescent="0.2">
      <c r="A47" s="53" t="s">
        <v>102</v>
      </c>
      <c r="B47" s="54" t="s">
        <v>43</v>
      </c>
      <c r="C47" s="55">
        <v>55232.300499999998</v>
      </c>
      <c r="D47" s="33"/>
      <c r="E47" s="51">
        <f t="shared" si="0"/>
        <v>15019.502934955981</v>
      </c>
      <c r="F47" s="26">
        <f t="shared" si="1"/>
        <v>15019.5</v>
      </c>
      <c r="G47" s="26">
        <f t="shared" si="6"/>
        <v>9.1450000036275014E-4</v>
      </c>
      <c r="K47" s="26">
        <f t="shared" si="7"/>
        <v>9.1450000036275014E-4</v>
      </c>
      <c r="O47" s="26">
        <f t="shared" ca="1" si="4"/>
        <v>-2.179183829204491E-3</v>
      </c>
      <c r="Q47" s="50">
        <f t="shared" si="5"/>
        <v>40213.800499999998</v>
      </c>
    </row>
    <row r="48" spans="1:21" s="26" customFormat="1" ht="12.95" customHeight="1" x14ac:dyDescent="0.2">
      <c r="A48" s="53" t="s">
        <v>102</v>
      </c>
      <c r="B48" s="54" t="s">
        <v>43</v>
      </c>
      <c r="C48" s="55">
        <v>55268.132799999999</v>
      </c>
      <c r="D48" s="33"/>
      <c r="E48" s="51">
        <f t="shared" si="0"/>
        <v>15134.501538886165</v>
      </c>
      <c r="F48" s="26">
        <f t="shared" si="1"/>
        <v>15134.5</v>
      </c>
      <c r="G48" s="26">
        <f t="shared" si="6"/>
        <v>4.7949999861884862E-4</v>
      </c>
      <c r="K48" s="26">
        <f t="shared" si="7"/>
        <v>4.7949999861884862E-4</v>
      </c>
      <c r="O48" s="26">
        <f t="shared" ca="1" si="4"/>
        <v>-1.8833893746415739E-3</v>
      </c>
      <c r="Q48" s="50">
        <f t="shared" si="5"/>
        <v>40249.632799999999</v>
      </c>
    </row>
    <row r="49" spans="1:17" s="26" customFormat="1" ht="12.95" customHeight="1" x14ac:dyDescent="0.2">
      <c r="A49" s="53" t="s">
        <v>102</v>
      </c>
      <c r="B49" s="54" t="s">
        <v>36</v>
      </c>
      <c r="C49" s="55">
        <v>55268.2889</v>
      </c>
      <c r="D49" s="33"/>
      <c r="E49" s="51">
        <f t="shared" si="0"/>
        <v>15135.002519344396</v>
      </c>
      <c r="F49" s="26">
        <f t="shared" si="1"/>
        <v>15135</v>
      </c>
      <c r="G49" s="26">
        <f t="shared" si="6"/>
        <v>7.8500000381609425E-4</v>
      </c>
      <c r="K49" s="26">
        <f t="shared" si="7"/>
        <v>7.8500000381609425E-4</v>
      </c>
      <c r="O49" s="26">
        <f t="shared" ca="1" si="4"/>
        <v>-1.8821033117956479E-3</v>
      </c>
      <c r="Q49" s="50">
        <f t="shared" si="5"/>
        <v>40249.7889</v>
      </c>
    </row>
    <row r="50" spans="1:17" s="26" customFormat="1" ht="12.95" customHeight="1" x14ac:dyDescent="0.2">
      <c r="A50" s="5" t="s">
        <v>44</v>
      </c>
      <c r="B50" s="6" t="s">
        <v>36</v>
      </c>
      <c r="C50" s="5">
        <v>55268.912199999999</v>
      </c>
      <c r="D50" s="5">
        <v>1E-4</v>
      </c>
      <c r="E50" s="51">
        <f t="shared" si="0"/>
        <v>15137.002910885816</v>
      </c>
      <c r="F50" s="26">
        <f t="shared" si="1"/>
        <v>15137</v>
      </c>
      <c r="G50" s="26">
        <f t="shared" si="6"/>
        <v>9.0700000146171078E-4</v>
      </c>
      <c r="K50" s="26">
        <f t="shared" si="7"/>
        <v>9.0700000146171078E-4</v>
      </c>
      <c r="O50" s="26">
        <f t="shared" ca="1" si="4"/>
        <v>-1.8769590604119438E-3</v>
      </c>
      <c r="Q50" s="50">
        <f t="shared" si="5"/>
        <v>40250.412199999999</v>
      </c>
    </row>
    <row r="51" spans="1:17" s="26" customFormat="1" ht="12.95" customHeight="1" x14ac:dyDescent="0.2">
      <c r="A51" s="5" t="s">
        <v>50</v>
      </c>
      <c r="B51" s="6" t="s">
        <v>43</v>
      </c>
      <c r="C51" s="5">
        <v>55591.874600000003</v>
      </c>
      <c r="D51" s="5">
        <v>2.9999999999999997E-4</v>
      </c>
      <c r="E51" s="51">
        <f t="shared" si="0"/>
        <v>16173.504199442228</v>
      </c>
      <c r="F51" s="26">
        <f t="shared" si="1"/>
        <v>16173.5</v>
      </c>
      <c r="G51" s="26">
        <f t="shared" si="6"/>
        <v>1.3085000027786009E-3</v>
      </c>
      <c r="K51" s="26">
        <f t="shared" si="7"/>
        <v>1.3085000027786009E-3</v>
      </c>
      <c r="O51" s="26">
        <f t="shared" ca="1" si="4"/>
        <v>7.8904921919208809E-4</v>
      </c>
      <c r="Q51" s="50">
        <f t="shared" si="5"/>
        <v>40573.374600000003</v>
      </c>
    </row>
    <row r="52" spans="1:17" s="26" customFormat="1" ht="12.95" customHeight="1" x14ac:dyDescent="0.2">
      <c r="A52" s="51" t="s">
        <v>47</v>
      </c>
      <c r="B52" s="6" t="s">
        <v>43</v>
      </c>
      <c r="C52" s="5">
        <v>55597.48461</v>
      </c>
      <c r="D52" s="5">
        <v>1.6999999999999999E-3</v>
      </c>
      <c r="E52" s="51">
        <f t="shared" si="0"/>
        <v>16191.508718215344</v>
      </c>
      <c r="F52" s="26">
        <f t="shared" si="1"/>
        <v>16191.5</v>
      </c>
      <c r="G52" s="26">
        <f t="shared" si="6"/>
        <v>2.7164999992237426E-3</v>
      </c>
      <c r="K52" s="26">
        <f t="shared" si="7"/>
        <v>2.7164999992237426E-3</v>
      </c>
      <c r="O52" s="26">
        <f t="shared" ca="1" si="4"/>
        <v>8.3534748164541817E-4</v>
      </c>
      <c r="Q52" s="50">
        <f t="shared" si="5"/>
        <v>40578.98461</v>
      </c>
    </row>
    <row r="53" spans="1:17" s="26" customFormat="1" ht="12.95" customHeight="1" x14ac:dyDescent="0.2">
      <c r="A53" s="5" t="s">
        <v>50</v>
      </c>
      <c r="B53" s="6" t="s">
        <v>36</v>
      </c>
      <c r="C53" s="5">
        <v>55672.7336</v>
      </c>
      <c r="D53" s="5">
        <v>2.9999999999999997E-4</v>
      </c>
      <c r="E53" s="51">
        <f t="shared" ref="E53:E78" si="8">+(C53-C$7)/C$8</f>
        <v>16433.009509321579</v>
      </c>
      <c r="F53" s="26">
        <f t="shared" ref="F53:F84" si="9">ROUND(2*E53,0)/2</f>
        <v>16433</v>
      </c>
      <c r="G53" s="26">
        <f t="shared" si="6"/>
        <v>2.9629999989992939E-3</v>
      </c>
      <c r="K53" s="26">
        <f t="shared" si="7"/>
        <v>2.9629999989992939E-3</v>
      </c>
      <c r="O53" s="26">
        <f t="shared" ref="O53:O78" ca="1" si="10">+C$11+C$12*$F53</f>
        <v>1.456515836227544E-3</v>
      </c>
      <c r="Q53" s="50">
        <f t="shared" ref="Q53:Q78" si="11">+C53-15018.5</f>
        <v>40654.2336</v>
      </c>
    </row>
    <row r="54" spans="1:17" s="26" customFormat="1" ht="12.95" customHeight="1" x14ac:dyDescent="0.2">
      <c r="A54" s="56" t="s">
        <v>54</v>
      </c>
      <c r="B54" s="51"/>
      <c r="C54" s="5">
        <v>55941.946600000003</v>
      </c>
      <c r="D54" s="5">
        <v>1E-4</v>
      </c>
      <c r="E54" s="51">
        <f t="shared" si="8"/>
        <v>17297.009843094605</v>
      </c>
      <c r="F54" s="26">
        <f t="shared" si="9"/>
        <v>17297</v>
      </c>
      <c r="G54" s="26">
        <f t="shared" si="6"/>
        <v>3.067000005103182E-3</v>
      </c>
      <c r="K54" s="26">
        <f t="shared" si="7"/>
        <v>3.067000005103182E-3</v>
      </c>
      <c r="O54" s="26">
        <f t="shared" ca="1" si="10"/>
        <v>3.6788324339872003E-3</v>
      </c>
      <c r="Q54" s="50">
        <f t="shared" si="11"/>
        <v>40923.446600000003</v>
      </c>
    </row>
    <row r="55" spans="1:17" s="26" customFormat="1" ht="12.95" customHeight="1" x14ac:dyDescent="0.2">
      <c r="A55" s="57" t="s">
        <v>53</v>
      </c>
      <c r="B55" s="58" t="s">
        <v>36</v>
      </c>
      <c r="C55" s="57">
        <v>55956.904000000002</v>
      </c>
      <c r="D55" s="57">
        <v>2.0000000000000001E-4</v>
      </c>
      <c r="E55" s="51">
        <f t="shared" si="8"/>
        <v>17345.013463248073</v>
      </c>
      <c r="F55" s="26">
        <f t="shared" si="9"/>
        <v>17345</v>
      </c>
      <c r="G55" s="26">
        <f t="shared" si="6"/>
        <v>4.1950000013457611E-3</v>
      </c>
      <c r="K55" s="26">
        <f t="shared" si="7"/>
        <v>4.1950000013457611E-3</v>
      </c>
      <c r="O55" s="26">
        <f t="shared" ca="1" si="10"/>
        <v>3.8022944671960712E-3</v>
      </c>
      <c r="Q55" s="50">
        <f t="shared" si="11"/>
        <v>40938.404000000002</v>
      </c>
    </row>
    <row r="56" spans="1:17" s="26" customFormat="1" ht="12.95" customHeight="1" x14ac:dyDescent="0.2">
      <c r="A56" s="57" t="s">
        <v>53</v>
      </c>
      <c r="B56" s="58" t="s">
        <v>36</v>
      </c>
      <c r="C56" s="57">
        <v>56035.736199999999</v>
      </c>
      <c r="D56" s="57">
        <v>2.0000000000000001E-4</v>
      </c>
      <c r="E56" s="51">
        <f t="shared" si="8"/>
        <v>17598.014050560196</v>
      </c>
      <c r="F56" s="26">
        <f t="shared" si="9"/>
        <v>17598</v>
      </c>
      <c r="G56" s="26">
        <f t="shared" si="6"/>
        <v>4.3779999978141859E-3</v>
      </c>
      <c r="K56" s="26">
        <f t="shared" si="7"/>
        <v>4.3779999978141859E-3</v>
      </c>
      <c r="O56" s="26">
        <f t="shared" ca="1" si="10"/>
        <v>4.4530422672344888E-3</v>
      </c>
      <c r="Q56" s="50">
        <f t="shared" si="11"/>
        <v>41017.236199999999</v>
      </c>
    </row>
    <row r="57" spans="1:17" s="26" customFormat="1" ht="12.95" customHeight="1" x14ac:dyDescent="0.2">
      <c r="A57" s="53" t="s">
        <v>155</v>
      </c>
      <c r="B57" s="54" t="s">
        <v>36</v>
      </c>
      <c r="C57" s="55">
        <v>56364.150600000001</v>
      </c>
      <c r="D57" s="33"/>
      <c r="E57" s="51">
        <f t="shared" si="8"/>
        <v>18652.012747561701</v>
      </c>
      <c r="F57" s="26">
        <f t="shared" si="9"/>
        <v>18652</v>
      </c>
      <c r="G57" s="26">
        <f t="shared" si="6"/>
        <v>3.9719999986118637E-3</v>
      </c>
      <c r="K57" s="26">
        <f t="shared" si="7"/>
        <v>3.9719999986118637E-3</v>
      </c>
      <c r="O57" s="26">
        <f t="shared" ca="1" si="10"/>
        <v>7.1640627464459178E-3</v>
      </c>
      <c r="Q57" s="50">
        <f t="shared" si="11"/>
        <v>41345.650600000001</v>
      </c>
    </row>
    <row r="58" spans="1:17" s="26" customFormat="1" ht="12.95" customHeight="1" x14ac:dyDescent="0.2">
      <c r="A58" s="59" t="s">
        <v>155</v>
      </c>
      <c r="B58" s="60" t="s">
        <v>43</v>
      </c>
      <c r="C58" s="61">
        <v>56364.305099999998</v>
      </c>
      <c r="D58" s="61"/>
      <c r="E58" s="51">
        <f t="shared" si="8"/>
        <v>18652.508593050457</v>
      </c>
      <c r="F58" s="26">
        <f t="shared" si="9"/>
        <v>18652.5</v>
      </c>
      <c r="G58" s="26">
        <f t="shared" si="6"/>
        <v>2.6775000005727634E-3</v>
      </c>
      <c r="K58" s="26">
        <f t="shared" si="7"/>
        <v>2.6775000005727634E-3</v>
      </c>
      <c r="O58" s="26">
        <f t="shared" ca="1" si="10"/>
        <v>7.1653488092918438E-3</v>
      </c>
      <c r="Q58" s="50">
        <f t="shared" si="11"/>
        <v>41345.805099999998</v>
      </c>
    </row>
    <row r="59" spans="1:17" s="26" customFormat="1" ht="12.95" customHeight="1" x14ac:dyDescent="0.2">
      <c r="A59" s="62" t="s">
        <v>161</v>
      </c>
      <c r="B59" s="63" t="s">
        <v>43</v>
      </c>
      <c r="C59" s="64">
        <v>57069.124100000132</v>
      </c>
      <c r="D59" s="64" t="s">
        <v>100</v>
      </c>
      <c r="E59" s="51">
        <f t="shared" si="8"/>
        <v>20914.52361925528</v>
      </c>
      <c r="F59" s="26">
        <f t="shared" si="9"/>
        <v>20914.5</v>
      </c>
      <c r="G59" s="26">
        <f t="shared" si="6"/>
        <v>7.3595001304056495E-3</v>
      </c>
      <c r="K59" s="26">
        <f t="shared" si="7"/>
        <v>7.3595001304056495E-3</v>
      </c>
      <c r="O59" s="26">
        <f t="shared" ca="1" si="10"/>
        <v>1.2983497124259835E-2</v>
      </c>
      <c r="Q59" s="50">
        <f t="shared" si="11"/>
        <v>42050.624100000132</v>
      </c>
    </row>
    <row r="60" spans="1:17" s="26" customFormat="1" ht="12.95" customHeight="1" x14ac:dyDescent="0.2">
      <c r="A60" s="62" t="s">
        <v>161</v>
      </c>
      <c r="B60" s="63" t="s">
        <v>36</v>
      </c>
      <c r="C60" s="64">
        <v>57069.280700000003</v>
      </c>
      <c r="D60" s="64" t="s">
        <v>100</v>
      </c>
      <c r="E60" s="51">
        <f t="shared" si="8"/>
        <v>20915.026204391055</v>
      </c>
      <c r="F60" s="26">
        <f t="shared" si="9"/>
        <v>20915</v>
      </c>
      <c r="G60" s="26">
        <f t="shared" si="6"/>
        <v>8.1650000065565109E-3</v>
      </c>
      <c r="K60" s="26">
        <f t="shared" si="7"/>
        <v>8.1650000065565109E-3</v>
      </c>
      <c r="O60" s="26">
        <f t="shared" ca="1" si="10"/>
        <v>1.2984783187105761E-2</v>
      </c>
      <c r="Q60" s="50">
        <f t="shared" si="11"/>
        <v>42050.780700000003</v>
      </c>
    </row>
    <row r="61" spans="1:17" s="26" customFormat="1" ht="12.95" customHeight="1" x14ac:dyDescent="0.2">
      <c r="A61" s="65" t="s">
        <v>160</v>
      </c>
      <c r="B61" s="66" t="s">
        <v>43</v>
      </c>
      <c r="C61" s="67">
        <v>57079.4064</v>
      </c>
      <c r="D61" s="67">
        <v>2.0000000000000001E-4</v>
      </c>
      <c r="E61" s="51">
        <f t="shared" si="8"/>
        <v>20947.523179573094</v>
      </c>
      <c r="F61" s="26">
        <f t="shared" si="9"/>
        <v>20947.5</v>
      </c>
      <c r="G61" s="26">
        <f t="shared" si="6"/>
        <v>7.2225000039907172E-3</v>
      </c>
      <c r="K61" s="26">
        <f t="shared" si="7"/>
        <v>7.2225000039907172E-3</v>
      </c>
      <c r="O61" s="26">
        <f t="shared" ca="1" si="10"/>
        <v>1.3068377272090932E-2</v>
      </c>
      <c r="Q61" s="50">
        <f t="shared" si="11"/>
        <v>42060.9064</v>
      </c>
    </row>
    <row r="62" spans="1:17" s="26" customFormat="1" ht="12.95" customHeight="1" x14ac:dyDescent="0.2">
      <c r="A62" s="21" t="s">
        <v>162</v>
      </c>
      <c r="B62" s="22" t="s">
        <v>36</v>
      </c>
      <c r="C62" s="21">
        <v>57110.7238</v>
      </c>
      <c r="D62" s="21">
        <v>1E-4</v>
      </c>
      <c r="E62" s="51">
        <f t="shared" si="8"/>
        <v>21048.031862485521</v>
      </c>
      <c r="F62" s="26">
        <f t="shared" si="9"/>
        <v>21048</v>
      </c>
      <c r="G62" s="26">
        <f t="shared" si="6"/>
        <v>9.9279999994905666E-3</v>
      </c>
      <c r="K62" s="26">
        <f t="shared" si="7"/>
        <v>9.9279999994905666E-3</v>
      </c>
      <c r="O62" s="26">
        <f t="shared" ca="1" si="10"/>
        <v>1.3326875904122001E-2</v>
      </c>
      <c r="Q62" s="50">
        <f t="shared" si="11"/>
        <v>42092.2238</v>
      </c>
    </row>
    <row r="63" spans="1:17" s="26" customFormat="1" ht="12.95" customHeight="1" x14ac:dyDescent="0.2">
      <c r="A63" s="68" t="s">
        <v>1</v>
      </c>
      <c r="B63" s="69" t="s">
        <v>36</v>
      </c>
      <c r="C63" s="68">
        <v>57398.321300000003</v>
      </c>
      <c r="D63" s="68" t="s">
        <v>64</v>
      </c>
      <c r="E63" s="51">
        <f t="shared" si="8"/>
        <v>21971.034600066127</v>
      </c>
      <c r="F63" s="26">
        <f t="shared" si="9"/>
        <v>21971</v>
      </c>
      <c r="G63" s="26">
        <f t="shared" si="6"/>
        <v>1.0781000004499219E-2</v>
      </c>
      <c r="K63" s="26">
        <f t="shared" si="7"/>
        <v>1.0781000004499219E-2</v>
      </c>
      <c r="O63" s="26">
        <f t="shared" ca="1" si="10"/>
        <v>1.5700947917700894E-2</v>
      </c>
      <c r="Q63" s="50">
        <f t="shared" si="11"/>
        <v>42379.821300000003</v>
      </c>
    </row>
    <row r="64" spans="1:17" s="26" customFormat="1" ht="12.95" customHeight="1" x14ac:dyDescent="0.2">
      <c r="A64" s="21" t="s">
        <v>163</v>
      </c>
      <c r="B64" s="22" t="s">
        <v>36</v>
      </c>
      <c r="C64" s="21">
        <v>57492.732900000003</v>
      </c>
      <c r="D64" s="21">
        <v>1E-4</v>
      </c>
      <c r="E64" s="51">
        <f t="shared" si="8"/>
        <v>22274.035026910464</v>
      </c>
      <c r="F64" s="26">
        <f t="shared" si="9"/>
        <v>22274</v>
      </c>
      <c r="G64" s="26">
        <f t="shared" si="6"/>
        <v>1.0914000005868729E-2</v>
      </c>
      <c r="K64" s="26">
        <f t="shared" si="7"/>
        <v>1.0914000005868729E-2</v>
      </c>
      <c r="O64" s="26">
        <f t="shared" ca="1" si="10"/>
        <v>1.6480302002331887E-2</v>
      </c>
      <c r="Q64" s="50">
        <f t="shared" si="11"/>
        <v>42474.232900000003</v>
      </c>
    </row>
    <row r="65" spans="1:17" s="26" customFormat="1" ht="12.95" customHeight="1" x14ac:dyDescent="0.2">
      <c r="A65" s="70" t="s">
        <v>167</v>
      </c>
      <c r="B65" s="71" t="s">
        <v>43</v>
      </c>
      <c r="C65" s="72">
        <v>57798.561619999819</v>
      </c>
      <c r="D65" s="72">
        <v>1E-4</v>
      </c>
      <c r="E65" s="51">
        <f t="shared" si="8"/>
        <v>23255.548238223491</v>
      </c>
      <c r="F65" s="26">
        <f t="shared" si="9"/>
        <v>23255.5</v>
      </c>
      <c r="G65" s="26">
        <f t="shared" si="6"/>
        <v>1.5030499816930387E-2</v>
      </c>
      <c r="K65" s="26">
        <f t="shared" si="7"/>
        <v>1.5030499816930387E-2</v>
      </c>
      <c r="O65" s="26">
        <f t="shared" ca="1" si="10"/>
        <v>1.900484336888409E-2</v>
      </c>
      <c r="Q65" s="50">
        <f t="shared" si="11"/>
        <v>42780.061619999819</v>
      </c>
    </row>
    <row r="66" spans="1:17" s="26" customFormat="1" ht="12.95" customHeight="1" x14ac:dyDescent="0.2">
      <c r="A66" s="73" t="s">
        <v>164</v>
      </c>
      <c r="B66" s="22" t="s">
        <v>43</v>
      </c>
      <c r="C66" s="74">
        <v>57806.038500000002</v>
      </c>
      <c r="D66" s="21" t="s">
        <v>64</v>
      </c>
      <c r="E66" s="51">
        <f t="shared" si="8"/>
        <v>23279.544207273055</v>
      </c>
      <c r="F66" s="26">
        <f t="shared" si="9"/>
        <v>23279.5</v>
      </c>
      <c r="G66" s="26">
        <f t="shared" si="6"/>
        <v>1.3774500002909917E-2</v>
      </c>
      <c r="K66" s="26">
        <f t="shared" si="7"/>
        <v>1.3774500002909917E-2</v>
      </c>
      <c r="O66" s="26">
        <f t="shared" ca="1" si="10"/>
        <v>1.9066574385488526E-2</v>
      </c>
      <c r="Q66" s="50">
        <f t="shared" si="11"/>
        <v>42787.538500000002</v>
      </c>
    </row>
    <row r="67" spans="1:17" s="26" customFormat="1" ht="12.95" customHeight="1" x14ac:dyDescent="0.2">
      <c r="A67" s="75" t="s">
        <v>165</v>
      </c>
      <c r="B67" s="76" t="s">
        <v>36</v>
      </c>
      <c r="C67" s="77">
        <v>57865.710500000001</v>
      </c>
      <c r="D67" s="77">
        <v>1E-4</v>
      </c>
      <c r="E67" s="51">
        <f t="shared" si="8"/>
        <v>23471.052893394834</v>
      </c>
      <c r="F67" s="26">
        <f t="shared" si="9"/>
        <v>23471</v>
      </c>
      <c r="G67" s="26">
        <f t="shared" si="6"/>
        <v>1.6480999998748302E-2</v>
      </c>
      <c r="K67" s="26">
        <f t="shared" si="7"/>
        <v>1.6480999998748302E-2</v>
      </c>
      <c r="O67" s="26">
        <f t="shared" ca="1" si="10"/>
        <v>1.9559136455478077E-2</v>
      </c>
      <c r="Q67" s="50">
        <f t="shared" si="11"/>
        <v>42847.210500000001</v>
      </c>
    </row>
    <row r="68" spans="1:17" s="26" customFormat="1" ht="12.95" customHeight="1" x14ac:dyDescent="0.2">
      <c r="A68" s="68" t="s">
        <v>0</v>
      </c>
      <c r="B68" s="69" t="s">
        <v>36</v>
      </c>
      <c r="C68" s="68">
        <v>58219.679900000003</v>
      </c>
      <c r="D68" s="68">
        <v>1E-4</v>
      </c>
      <c r="E68" s="51">
        <f t="shared" si="8"/>
        <v>24607.066680787848</v>
      </c>
      <c r="F68" s="26">
        <f t="shared" si="9"/>
        <v>24607</v>
      </c>
      <c r="G68" s="26">
        <f t="shared" si="6"/>
        <v>2.0777000005182344E-2</v>
      </c>
      <c r="K68" s="26">
        <f t="shared" si="7"/>
        <v>2.0777000005182344E-2</v>
      </c>
      <c r="O68" s="26">
        <f t="shared" ca="1" si="10"/>
        <v>2.2481071241421326E-2</v>
      </c>
      <c r="Q68" s="50">
        <f t="shared" si="11"/>
        <v>43201.179900000003</v>
      </c>
    </row>
    <row r="69" spans="1:17" s="26" customFormat="1" ht="12.95" customHeight="1" x14ac:dyDescent="0.2">
      <c r="A69" s="75" t="s">
        <v>169</v>
      </c>
      <c r="B69" s="76" t="s">
        <v>36</v>
      </c>
      <c r="C69" s="77">
        <v>58219.680664</v>
      </c>
      <c r="D69" s="77">
        <v>1.5E-5</v>
      </c>
      <c r="E69" s="51">
        <f t="shared" si="8"/>
        <v>24607.069132735756</v>
      </c>
      <c r="F69" s="26">
        <f t="shared" si="9"/>
        <v>24607</v>
      </c>
      <c r="G69" s="26">
        <f t="shared" si="6"/>
        <v>2.1541000001889188E-2</v>
      </c>
      <c r="K69" s="26">
        <f t="shared" si="7"/>
        <v>2.1541000001889188E-2</v>
      </c>
      <c r="O69" s="26">
        <f t="shared" ca="1" si="10"/>
        <v>2.2481071241421326E-2</v>
      </c>
      <c r="Q69" s="50">
        <f t="shared" si="11"/>
        <v>43201.180664</v>
      </c>
    </row>
    <row r="70" spans="1:17" s="26" customFormat="1" ht="12.95" customHeight="1" x14ac:dyDescent="0.2">
      <c r="A70" s="75" t="s">
        <v>168</v>
      </c>
      <c r="B70" s="76" t="s">
        <v>43</v>
      </c>
      <c r="C70" s="77">
        <v>58537.971599999997</v>
      </c>
      <c r="D70" s="77" t="s">
        <v>100</v>
      </c>
      <c r="E70" s="51">
        <f t="shared" si="8"/>
        <v>25628.57803067502</v>
      </c>
      <c r="F70" s="26">
        <f t="shared" si="9"/>
        <v>25628.5</v>
      </c>
      <c r="G70" s="26">
        <f t="shared" si="6"/>
        <v>2.431349999824306E-2</v>
      </c>
      <c r="K70" s="26">
        <f t="shared" si="7"/>
        <v>2.431349999824306E-2</v>
      </c>
      <c r="O70" s="26">
        <f t="shared" ca="1" si="10"/>
        <v>2.5108497635647591E-2</v>
      </c>
      <c r="Q70" s="50">
        <f t="shared" si="11"/>
        <v>43519.471599999997</v>
      </c>
    </row>
    <row r="71" spans="1:17" s="26" customFormat="1" ht="12.95" customHeight="1" x14ac:dyDescent="0.2">
      <c r="A71" s="75" t="s">
        <v>168</v>
      </c>
      <c r="B71" s="76" t="s">
        <v>36</v>
      </c>
      <c r="C71" s="77">
        <v>58538.128400000001</v>
      </c>
      <c r="D71" s="77" t="s">
        <v>100</v>
      </c>
      <c r="E71" s="51">
        <f t="shared" si="8"/>
        <v>25629.081257682406</v>
      </c>
      <c r="F71" s="26">
        <f t="shared" si="9"/>
        <v>25629</v>
      </c>
      <c r="G71" s="26">
        <f t="shared" si="6"/>
        <v>2.5319000000308733E-2</v>
      </c>
      <c r="K71" s="26">
        <f t="shared" si="7"/>
        <v>2.5319000000308733E-2</v>
      </c>
      <c r="O71" s="26">
        <f t="shared" ca="1" si="10"/>
        <v>2.5109783698493517E-2</v>
      </c>
      <c r="Q71" s="50">
        <f t="shared" si="11"/>
        <v>43519.628400000001</v>
      </c>
    </row>
    <row r="72" spans="1:17" s="26" customFormat="1" ht="12.95" customHeight="1" x14ac:dyDescent="0.2">
      <c r="A72" s="75" t="s">
        <v>168</v>
      </c>
      <c r="B72" s="76" t="s">
        <v>43</v>
      </c>
      <c r="C72" s="77">
        <v>58538.2837</v>
      </c>
      <c r="D72" s="77" t="s">
        <v>100</v>
      </c>
      <c r="E72" s="51">
        <f t="shared" si="8"/>
        <v>25629.579670655901</v>
      </c>
      <c r="F72" s="26">
        <f t="shared" si="9"/>
        <v>25629.5</v>
      </c>
      <c r="G72" s="26">
        <f t="shared" si="6"/>
        <v>2.4824500003887806E-2</v>
      </c>
      <c r="K72" s="26">
        <f t="shared" si="7"/>
        <v>2.4824500003887806E-2</v>
      </c>
      <c r="O72" s="26">
        <f t="shared" ca="1" si="10"/>
        <v>2.5111069761339443E-2</v>
      </c>
      <c r="Q72" s="50">
        <f t="shared" si="11"/>
        <v>43519.7837</v>
      </c>
    </row>
    <row r="73" spans="1:17" s="26" customFormat="1" ht="12.95" customHeight="1" x14ac:dyDescent="0.2">
      <c r="A73" s="70" t="s">
        <v>166</v>
      </c>
      <c r="B73" s="71" t="s">
        <v>36</v>
      </c>
      <c r="C73" s="72">
        <v>58567.722300000001</v>
      </c>
      <c r="D73" s="72">
        <v>1E-4</v>
      </c>
      <c r="E73" s="51">
        <f t="shared" si="8"/>
        <v>25724.058615676429</v>
      </c>
      <c r="F73" s="26">
        <f t="shared" si="9"/>
        <v>25724</v>
      </c>
      <c r="G73" s="26">
        <f t="shared" si="6"/>
        <v>1.8264000005729031E-2</v>
      </c>
      <c r="K73" s="26">
        <f t="shared" si="7"/>
        <v>1.8264000005729031E-2</v>
      </c>
      <c r="O73" s="26">
        <f t="shared" ca="1" si="10"/>
        <v>2.5354135639219406E-2</v>
      </c>
      <c r="Q73" s="50">
        <f t="shared" si="11"/>
        <v>43549.222300000001</v>
      </c>
    </row>
    <row r="74" spans="1:17" s="26" customFormat="1" ht="12.95" customHeight="1" x14ac:dyDescent="0.2">
      <c r="A74" s="75" t="s">
        <v>168</v>
      </c>
      <c r="B74" s="76" t="s">
        <v>36</v>
      </c>
      <c r="C74" s="77">
        <v>58842.241399999999</v>
      </c>
      <c r="D74" s="77" t="s">
        <v>64</v>
      </c>
      <c r="E74" s="51">
        <f t="shared" si="8"/>
        <v>26605.08811286663</v>
      </c>
      <c r="F74" s="26">
        <f t="shared" si="9"/>
        <v>26605</v>
      </c>
      <c r="G74" s="26">
        <f t="shared" si="6"/>
        <v>2.7455000003101304E-2</v>
      </c>
      <c r="K74" s="26">
        <f t="shared" si="7"/>
        <v>2.7455000003101304E-2</v>
      </c>
      <c r="O74" s="26">
        <f t="shared" ca="1" si="10"/>
        <v>2.7620178373740527E-2</v>
      </c>
      <c r="Q74" s="50">
        <f t="shared" si="11"/>
        <v>43823.741399999999</v>
      </c>
    </row>
    <row r="75" spans="1:17" s="26" customFormat="1" ht="12.95" customHeight="1" x14ac:dyDescent="0.2">
      <c r="A75" s="23" t="s">
        <v>170</v>
      </c>
      <c r="B75" s="24" t="s">
        <v>36</v>
      </c>
      <c r="C75" s="80">
        <v>59223.165000000037</v>
      </c>
      <c r="D75" s="25" t="s">
        <v>64</v>
      </c>
      <c r="E75" s="51">
        <f t="shared" si="8"/>
        <v>27827.607521446644</v>
      </c>
      <c r="F75" s="26">
        <f t="shared" si="9"/>
        <v>27827.5</v>
      </c>
      <c r="G75" s="26">
        <f t="shared" si="6"/>
        <v>3.3502500038594007E-2</v>
      </c>
      <c r="K75" s="26">
        <f t="shared" si="7"/>
        <v>3.3502500038594007E-2</v>
      </c>
      <c r="O75" s="26">
        <f t="shared" ca="1" si="10"/>
        <v>3.076460203202893E-2</v>
      </c>
      <c r="Q75" s="50">
        <f t="shared" si="11"/>
        <v>44204.665000000037</v>
      </c>
    </row>
    <row r="76" spans="1:17" s="26" customFormat="1" ht="12.95" customHeight="1" x14ac:dyDescent="0.2">
      <c r="A76" s="23" t="s">
        <v>170</v>
      </c>
      <c r="B76" s="24" t="s">
        <v>36</v>
      </c>
      <c r="C76" s="80">
        <v>59223.165399999823</v>
      </c>
      <c r="D76" s="25" t="s">
        <v>172</v>
      </c>
      <c r="E76" s="51">
        <f t="shared" si="8"/>
        <v>27827.608805188323</v>
      </c>
      <c r="F76" s="26">
        <f t="shared" si="9"/>
        <v>27827.5</v>
      </c>
      <c r="G76" s="26">
        <f t="shared" si="6"/>
        <v>3.3902499824762344E-2</v>
      </c>
      <c r="K76" s="26">
        <f t="shared" si="7"/>
        <v>3.3902499824762344E-2</v>
      </c>
      <c r="O76" s="26">
        <f t="shared" ca="1" si="10"/>
        <v>3.076460203202893E-2</v>
      </c>
      <c r="Q76" s="50">
        <f t="shared" si="11"/>
        <v>44204.665399999823</v>
      </c>
    </row>
    <row r="77" spans="1:17" s="26" customFormat="1" ht="12.95" customHeight="1" x14ac:dyDescent="0.2">
      <c r="A77" s="23" t="s">
        <v>170</v>
      </c>
      <c r="B77" s="24" t="s">
        <v>36</v>
      </c>
      <c r="C77" s="80">
        <v>59223.165899999905</v>
      </c>
      <c r="D77" s="25" t="s">
        <v>128</v>
      </c>
      <c r="E77" s="51">
        <f t="shared" si="8"/>
        <v>27827.610409866546</v>
      </c>
      <c r="F77" s="26">
        <f t="shared" si="9"/>
        <v>27827.5</v>
      </c>
      <c r="G77" s="26">
        <f t="shared" si="6"/>
        <v>3.4402499906718731E-2</v>
      </c>
      <c r="K77" s="26">
        <f t="shared" si="7"/>
        <v>3.4402499906718731E-2</v>
      </c>
      <c r="O77" s="26">
        <f t="shared" ca="1" si="10"/>
        <v>3.076460203202893E-2</v>
      </c>
      <c r="Q77" s="50">
        <f t="shared" si="11"/>
        <v>44204.665899999905</v>
      </c>
    </row>
    <row r="78" spans="1:17" s="26" customFormat="1" ht="12.95" customHeight="1" x14ac:dyDescent="0.2">
      <c r="A78" s="23" t="s">
        <v>171</v>
      </c>
      <c r="B78" s="24" t="s">
        <v>36</v>
      </c>
      <c r="C78" s="80">
        <v>59699.439100000003</v>
      </c>
      <c r="D78" s="25">
        <v>1E-4</v>
      </c>
      <c r="E78" s="51">
        <f t="shared" si="8"/>
        <v>29356.140621138758</v>
      </c>
      <c r="F78" s="26">
        <f t="shared" si="9"/>
        <v>29356</v>
      </c>
      <c r="G78" s="26">
        <f t="shared" si="6"/>
        <v>4.3816000004881062E-2</v>
      </c>
      <c r="K78" s="26">
        <f t="shared" si="7"/>
        <v>4.3816000004881062E-2</v>
      </c>
      <c r="O78" s="26">
        <f t="shared" ca="1" si="10"/>
        <v>3.4696096152023882E-2</v>
      </c>
      <c r="Q78" s="50">
        <f t="shared" si="11"/>
        <v>44680.939100000003</v>
      </c>
    </row>
    <row r="79" spans="1:17" s="26" customFormat="1" ht="12.95" customHeight="1" x14ac:dyDescent="0.2">
      <c r="A79" s="78" t="s">
        <v>173</v>
      </c>
      <c r="B79" s="79" t="s">
        <v>36</v>
      </c>
      <c r="C79" s="25">
        <v>60072.417200000004</v>
      </c>
      <c r="D79" s="25">
        <v>1E-4</v>
      </c>
      <c r="E79" s="51">
        <f t="shared" ref="E79" si="12">+(C79-C$7)/C$8</f>
        <v>30553.160092301092</v>
      </c>
      <c r="F79" s="26">
        <f t="shared" si="9"/>
        <v>30553</v>
      </c>
      <c r="G79" s="26">
        <f t="shared" ref="G79" si="13">+C79-(C$7+F79*C$8)</f>
        <v>4.9883000006957445E-2</v>
      </c>
      <c r="K79" s="26">
        <f t="shared" ref="K79" si="14">+G79</f>
        <v>4.9883000006957445E-2</v>
      </c>
      <c r="O79" s="26">
        <f t="shared" ref="O79" ca="1" si="15">+C$11+C$12*$F79</f>
        <v>3.7774930605170072E-2</v>
      </c>
      <c r="Q79" s="50">
        <f t="shared" ref="Q79" si="16">+C79-15018.5</f>
        <v>45053.917200000004</v>
      </c>
    </row>
    <row r="80" spans="1:17" s="26" customFormat="1" ht="12.95" customHeight="1" x14ac:dyDescent="0.2">
      <c r="C80" s="33"/>
      <c r="D80" s="33"/>
    </row>
    <row r="81" spans="3:4" s="26" customFormat="1" ht="12.95" customHeight="1" x14ac:dyDescent="0.2">
      <c r="C81" s="33"/>
      <c r="D81" s="33"/>
    </row>
    <row r="82" spans="3:4" s="26" customFormat="1" ht="12.95" customHeight="1" x14ac:dyDescent="0.2">
      <c r="C82" s="33"/>
      <c r="D82" s="33"/>
    </row>
    <row r="83" spans="3:4" s="26" customFormat="1" ht="12.95" customHeight="1" x14ac:dyDescent="0.2">
      <c r="C83" s="33"/>
      <c r="D83" s="33"/>
    </row>
    <row r="84" spans="3:4" s="26" customFormat="1" ht="12.95" customHeight="1" x14ac:dyDescent="0.2">
      <c r="C84" s="33"/>
      <c r="D84" s="33"/>
    </row>
    <row r="85" spans="3:4" s="26" customFormat="1" ht="12.95" customHeight="1" x14ac:dyDescent="0.2">
      <c r="C85" s="33"/>
      <c r="D85" s="33"/>
    </row>
    <row r="86" spans="3:4" s="26" customFormat="1" ht="12.95" customHeight="1" x14ac:dyDescent="0.2">
      <c r="C86" s="33"/>
      <c r="D86" s="33"/>
    </row>
    <row r="87" spans="3:4" s="26" customFormat="1" ht="12.95" customHeight="1" x14ac:dyDescent="0.2">
      <c r="C87" s="33"/>
      <c r="D87" s="33"/>
    </row>
    <row r="88" spans="3:4" s="26" customFormat="1" ht="12.95" customHeight="1" x14ac:dyDescent="0.2">
      <c r="C88" s="33"/>
      <c r="D88" s="33"/>
    </row>
    <row r="89" spans="3:4" s="26" customFormat="1" ht="12.95" customHeight="1" x14ac:dyDescent="0.2">
      <c r="C89" s="33"/>
      <c r="D89" s="33"/>
    </row>
    <row r="90" spans="3:4" s="26" customFormat="1" ht="12.95" customHeight="1" x14ac:dyDescent="0.2">
      <c r="C90" s="33"/>
      <c r="D90" s="33"/>
    </row>
    <row r="91" spans="3:4" s="26" customFormat="1" ht="12.95" customHeight="1" x14ac:dyDescent="0.2">
      <c r="C91" s="33"/>
      <c r="D91" s="33"/>
    </row>
    <row r="92" spans="3:4" s="26" customFormat="1" ht="12.95" customHeight="1" x14ac:dyDescent="0.2">
      <c r="C92" s="33"/>
      <c r="D92" s="33"/>
    </row>
    <row r="93" spans="3:4" s="26" customFormat="1" ht="12.95" customHeight="1" x14ac:dyDescent="0.2">
      <c r="C93" s="33"/>
      <c r="D93" s="33"/>
    </row>
    <row r="94" spans="3:4" s="26" customFormat="1" ht="12.95" customHeight="1" x14ac:dyDescent="0.2">
      <c r="C94" s="33"/>
      <c r="D94" s="33"/>
    </row>
    <row r="95" spans="3:4" s="26" customFormat="1" ht="12.95" customHeight="1" x14ac:dyDescent="0.2">
      <c r="C95" s="33"/>
      <c r="D95" s="33"/>
    </row>
    <row r="96" spans="3:4" s="26" customFormat="1" ht="12.95" customHeight="1" x14ac:dyDescent="0.2">
      <c r="C96" s="33"/>
      <c r="D96" s="33"/>
    </row>
    <row r="97" spans="3:4" s="26" customFormat="1" ht="12.95" customHeight="1" x14ac:dyDescent="0.2">
      <c r="C97" s="33"/>
      <c r="D97" s="33"/>
    </row>
    <row r="98" spans="3:4" s="26" customFormat="1" ht="12.95" customHeight="1" x14ac:dyDescent="0.2">
      <c r="C98" s="33"/>
      <c r="D98" s="33"/>
    </row>
    <row r="99" spans="3:4" s="26" customFormat="1" ht="12.95" customHeight="1" x14ac:dyDescent="0.2">
      <c r="C99" s="33"/>
      <c r="D99" s="33"/>
    </row>
    <row r="100" spans="3:4" s="26" customFormat="1" ht="12.95" customHeight="1" x14ac:dyDescent="0.2">
      <c r="C100" s="33"/>
      <c r="D100" s="33"/>
    </row>
    <row r="101" spans="3:4" s="26" customFormat="1" ht="12.95" customHeight="1" x14ac:dyDescent="0.2">
      <c r="C101" s="33"/>
      <c r="D101" s="33"/>
    </row>
    <row r="102" spans="3:4" s="26" customFormat="1" ht="12.95" customHeight="1" x14ac:dyDescent="0.2">
      <c r="C102" s="33"/>
      <c r="D102" s="33"/>
    </row>
    <row r="103" spans="3:4" s="26" customFormat="1" ht="12.95" customHeight="1" x14ac:dyDescent="0.2">
      <c r="C103" s="33"/>
      <c r="D103" s="33"/>
    </row>
    <row r="104" spans="3:4" s="26" customFormat="1" ht="12.95" customHeight="1" x14ac:dyDescent="0.2">
      <c r="C104" s="33"/>
      <c r="D104" s="33"/>
    </row>
    <row r="105" spans="3:4" s="26" customFormat="1" ht="12.95" customHeight="1" x14ac:dyDescent="0.2">
      <c r="C105" s="33"/>
      <c r="D105" s="33"/>
    </row>
    <row r="106" spans="3:4" s="26" customFormat="1" ht="12.95" customHeight="1" x14ac:dyDescent="0.2">
      <c r="C106" s="33"/>
      <c r="D106" s="33"/>
    </row>
    <row r="107" spans="3:4" s="26" customFormat="1" ht="12.95" customHeight="1" x14ac:dyDescent="0.2">
      <c r="C107" s="33"/>
      <c r="D107" s="33"/>
    </row>
    <row r="108" spans="3:4" s="26" customFormat="1" ht="12.95" customHeight="1" x14ac:dyDescent="0.2">
      <c r="C108" s="33"/>
      <c r="D108" s="33"/>
    </row>
    <row r="109" spans="3:4" s="26" customFormat="1" ht="12.95" customHeight="1" x14ac:dyDescent="0.2">
      <c r="C109" s="33"/>
      <c r="D109" s="33"/>
    </row>
    <row r="110" spans="3:4" s="26" customFormat="1" ht="12.95" customHeight="1" x14ac:dyDescent="0.2">
      <c r="C110" s="33"/>
      <c r="D110" s="33"/>
    </row>
    <row r="111" spans="3:4" s="26" customFormat="1" ht="12.95" customHeight="1" x14ac:dyDescent="0.2">
      <c r="C111" s="33"/>
      <c r="D111" s="33"/>
    </row>
    <row r="112" spans="3:4" s="26" customFormat="1" ht="12.95" customHeight="1" x14ac:dyDescent="0.2">
      <c r="C112" s="33"/>
      <c r="D112" s="33"/>
    </row>
    <row r="113" spans="3:4" s="26" customFormat="1" ht="12.95" customHeight="1" x14ac:dyDescent="0.2">
      <c r="C113" s="33"/>
      <c r="D113" s="33"/>
    </row>
    <row r="114" spans="3:4" s="26" customFormat="1" ht="12.95" customHeight="1" x14ac:dyDescent="0.2">
      <c r="C114" s="33"/>
      <c r="D114" s="33"/>
    </row>
    <row r="115" spans="3:4" s="26" customFormat="1" ht="12.95" customHeight="1" x14ac:dyDescent="0.2">
      <c r="C115" s="33"/>
      <c r="D115" s="33"/>
    </row>
    <row r="116" spans="3:4" s="26" customFormat="1" ht="12.95" customHeight="1" x14ac:dyDescent="0.2">
      <c r="C116" s="33"/>
      <c r="D116" s="33"/>
    </row>
    <row r="117" spans="3:4" s="26" customFormat="1" ht="12.95" customHeight="1" x14ac:dyDescent="0.2">
      <c r="C117" s="33"/>
      <c r="D117" s="33"/>
    </row>
    <row r="118" spans="3:4" s="26" customFormat="1" ht="12.95" customHeight="1" x14ac:dyDescent="0.2">
      <c r="C118" s="33"/>
      <c r="D118" s="33"/>
    </row>
    <row r="119" spans="3:4" s="26" customFormat="1" ht="12.95" customHeight="1" x14ac:dyDescent="0.2">
      <c r="C119" s="33"/>
      <c r="D119" s="33"/>
    </row>
    <row r="120" spans="3:4" s="26" customFormat="1" ht="12.95" customHeight="1" x14ac:dyDescent="0.2">
      <c r="C120" s="33"/>
      <c r="D120" s="33"/>
    </row>
    <row r="121" spans="3:4" s="26" customFormat="1" ht="12.95" customHeight="1" x14ac:dyDescent="0.2">
      <c r="C121" s="33"/>
      <c r="D121" s="33"/>
    </row>
    <row r="122" spans="3:4" s="26" customFormat="1" ht="12.95" customHeight="1" x14ac:dyDescent="0.2">
      <c r="C122" s="33"/>
      <c r="D122" s="33"/>
    </row>
    <row r="123" spans="3:4" s="26" customFormat="1" ht="12.95" customHeight="1" x14ac:dyDescent="0.2">
      <c r="C123" s="33"/>
      <c r="D123" s="33"/>
    </row>
    <row r="124" spans="3:4" s="26" customFormat="1" ht="12.95" customHeight="1" x14ac:dyDescent="0.2">
      <c r="C124" s="33"/>
      <c r="D124" s="33"/>
    </row>
    <row r="125" spans="3:4" s="26" customFormat="1" ht="12.95" customHeight="1" x14ac:dyDescent="0.2">
      <c r="C125" s="33"/>
      <c r="D125" s="33"/>
    </row>
    <row r="126" spans="3:4" s="26" customFormat="1" ht="12.95" customHeight="1" x14ac:dyDescent="0.2">
      <c r="C126" s="33"/>
      <c r="D126" s="33"/>
    </row>
    <row r="127" spans="3:4" s="26" customFormat="1" ht="12.95" customHeight="1" x14ac:dyDescent="0.2">
      <c r="C127" s="33"/>
      <c r="D127" s="33"/>
    </row>
    <row r="128" spans="3:4" s="26" customFormat="1" ht="12.95" customHeight="1" x14ac:dyDescent="0.2">
      <c r="C128" s="33"/>
      <c r="D128" s="33"/>
    </row>
    <row r="129" spans="3:4" s="26" customFormat="1" ht="12.95" customHeight="1" x14ac:dyDescent="0.2">
      <c r="C129" s="33"/>
      <c r="D129" s="33"/>
    </row>
    <row r="130" spans="3:4" s="26" customFormat="1" ht="12.95" customHeight="1" x14ac:dyDescent="0.2">
      <c r="C130" s="33"/>
      <c r="D130" s="33"/>
    </row>
    <row r="131" spans="3:4" s="26" customFormat="1" ht="12.95" customHeight="1" x14ac:dyDescent="0.2">
      <c r="C131" s="33"/>
      <c r="D131" s="33"/>
    </row>
    <row r="132" spans="3:4" s="26" customFormat="1" ht="12.95" customHeight="1" x14ac:dyDescent="0.2">
      <c r="C132" s="33"/>
      <c r="D132" s="33"/>
    </row>
    <row r="133" spans="3:4" s="26" customFormat="1" ht="12.95" customHeight="1" x14ac:dyDescent="0.2">
      <c r="C133" s="33"/>
      <c r="D133" s="33"/>
    </row>
    <row r="134" spans="3:4" s="26" customFormat="1" ht="12.95" customHeight="1" x14ac:dyDescent="0.2">
      <c r="C134" s="33"/>
      <c r="D134" s="33"/>
    </row>
    <row r="135" spans="3:4" s="26" customFormat="1" ht="12.95" customHeight="1" x14ac:dyDescent="0.2">
      <c r="C135" s="33"/>
      <c r="D135" s="33"/>
    </row>
    <row r="136" spans="3:4" s="26" customFormat="1" ht="12.95" customHeight="1" x14ac:dyDescent="0.2">
      <c r="C136" s="33"/>
      <c r="D136" s="33"/>
    </row>
    <row r="137" spans="3:4" s="26" customFormat="1" ht="12.95" customHeight="1" x14ac:dyDescent="0.2">
      <c r="C137" s="33"/>
      <c r="D137" s="33"/>
    </row>
    <row r="138" spans="3:4" s="26" customFormat="1" ht="12.95" customHeight="1" x14ac:dyDescent="0.2">
      <c r="C138" s="33"/>
      <c r="D138" s="33"/>
    </row>
    <row r="139" spans="3:4" s="26" customFormat="1" ht="12.95" customHeight="1" x14ac:dyDescent="0.2">
      <c r="C139" s="33"/>
      <c r="D139" s="33"/>
    </row>
    <row r="140" spans="3:4" s="26" customFormat="1" ht="12.95" customHeight="1" x14ac:dyDescent="0.2">
      <c r="C140" s="33"/>
      <c r="D140" s="33"/>
    </row>
    <row r="141" spans="3:4" s="26" customFormat="1" ht="12.95" customHeight="1" x14ac:dyDescent="0.2">
      <c r="C141" s="33"/>
      <c r="D141" s="33"/>
    </row>
    <row r="142" spans="3:4" s="26" customFormat="1" ht="12.95" customHeight="1" x14ac:dyDescent="0.2">
      <c r="C142" s="33"/>
      <c r="D142" s="33"/>
    </row>
    <row r="143" spans="3:4" s="26" customFormat="1" ht="12.95" customHeight="1" x14ac:dyDescent="0.2">
      <c r="C143" s="33"/>
      <c r="D143" s="33"/>
    </row>
    <row r="144" spans="3:4" s="26" customFormat="1" ht="12.95" customHeight="1" x14ac:dyDescent="0.2">
      <c r="C144" s="33"/>
      <c r="D144" s="33"/>
    </row>
    <row r="145" spans="3:4" s="26" customFormat="1" ht="12.95" customHeight="1" x14ac:dyDescent="0.2">
      <c r="C145" s="33"/>
      <c r="D145" s="33"/>
    </row>
    <row r="146" spans="3:4" s="26" customFormat="1" ht="12.95" customHeight="1" x14ac:dyDescent="0.2">
      <c r="C146" s="33"/>
      <c r="D146" s="33"/>
    </row>
    <row r="147" spans="3:4" s="26" customFormat="1" ht="12.95" customHeight="1" x14ac:dyDescent="0.2">
      <c r="C147" s="33"/>
      <c r="D147" s="33"/>
    </row>
    <row r="148" spans="3:4" s="26" customFormat="1" ht="12.95" customHeight="1" x14ac:dyDescent="0.2">
      <c r="C148" s="33"/>
      <c r="D148" s="33"/>
    </row>
    <row r="149" spans="3:4" s="26" customFormat="1" ht="12.95" customHeight="1" x14ac:dyDescent="0.2">
      <c r="C149" s="33"/>
      <c r="D149" s="33"/>
    </row>
    <row r="150" spans="3:4" s="26" customFormat="1" ht="12.95" customHeight="1" x14ac:dyDescent="0.2">
      <c r="C150" s="33"/>
      <c r="D150" s="33"/>
    </row>
    <row r="151" spans="3:4" s="26" customFormat="1" ht="12.95" customHeight="1" x14ac:dyDescent="0.2">
      <c r="C151" s="33"/>
      <c r="D151" s="33"/>
    </row>
    <row r="152" spans="3:4" s="26" customFormat="1" ht="12.95" customHeight="1" x14ac:dyDescent="0.2">
      <c r="C152" s="33"/>
      <c r="D152" s="33"/>
    </row>
    <row r="153" spans="3:4" s="26" customFormat="1" ht="12.95" customHeight="1" x14ac:dyDescent="0.2">
      <c r="C153" s="33"/>
      <c r="D153" s="33"/>
    </row>
    <row r="154" spans="3:4" s="26" customFormat="1" ht="12.95" customHeight="1" x14ac:dyDescent="0.2">
      <c r="C154" s="33"/>
      <c r="D154" s="33"/>
    </row>
    <row r="155" spans="3:4" s="26" customFormat="1" ht="12.95" customHeight="1" x14ac:dyDescent="0.2">
      <c r="C155" s="33"/>
      <c r="D155" s="33"/>
    </row>
    <row r="156" spans="3:4" s="26" customFormat="1" ht="12.95" customHeight="1" x14ac:dyDescent="0.2">
      <c r="C156" s="33"/>
      <c r="D156" s="33"/>
    </row>
    <row r="157" spans="3:4" s="26" customFormat="1" ht="12.95" customHeight="1" x14ac:dyDescent="0.2">
      <c r="C157" s="33"/>
      <c r="D157" s="33"/>
    </row>
    <row r="158" spans="3:4" s="26" customFormat="1" ht="12.95" customHeight="1" x14ac:dyDescent="0.2">
      <c r="C158" s="33"/>
      <c r="D158" s="33"/>
    </row>
    <row r="159" spans="3:4" s="26" customFormat="1" ht="12.95" customHeight="1" x14ac:dyDescent="0.2">
      <c r="C159" s="33"/>
      <c r="D159" s="33"/>
    </row>
    <row r="160" spans="3:4" s="26" customFormat="1" ht="12.95" customHeight="1" x14ac:dyDescent="0.2">
      <c r="C160" s="33"/>
      <c r="D160" s="33"/>
    </row>
    <row r="161" spans="3:4" s="26" customFormat="1" ht="12.95" customHeight="1" x14ac:dyDescent="0.2">
      <c r="C161" s="33"/>
      <c r="D161" s="33"/>
    </row>
    <row r="162" spans="3:4" s="26" customFormat="1" ht="12.95" customHeight="1" x14ac:dyDescent="0.2">
      <c r="C162" s="33"/>
      <c r="D162" s="33"/>
    </row>
    <row r="163" spans="3:4" s="26" customFormat="1" ht="12.95" customHeight="1" x14ac:dyDescent="0.2">
      <c r="C163" s="33"/>
      <c r="D163" s="33"/>
    </row>
    <row r="164" spans="3:4" s="26" customFormat="1" ht="12.95" customHeight="1" x14ac:dyDescent="0.2">
      <c r="C164" s="33"/>
      <c r="D164" s="33"/>
    </row>
    <row r="165" spans="3:4" s="26" customFormat="1" ht="12.95" customHeight="1" x14ac:dyDescent="0.2">
      <c r="C165" s="33"/>
      <c r="D165" s="33"/>
    </row>
    <row r="166" spans="3:4" s="26" customFormat="1" ht="12.95" customHeight="1" x14ac:dyDescent="0.2">
      <c r="C166" s="33"/>
      <c r="D166" s="33"/>
    </row>
    <row r="167" spans="3:4" s="26" customFormat="1" ht="12.95" customHeight="1" x14ac:dyDescent="0.2">
      <c r="C167" s="33"/>
      <c r="D167" s="33"/>
    </row>
    <row r="168" spans="3:4" s="26" customFormat="1" ht="12.95" customHeight="1" x14ac:dyDescent="0.2">
      <c r="C168" s="33"/>
      <c r="D168" s="33"/>
    </row>
    <row r="169" spans="3:4" s="26" customFormat="1" ht="12.95" customHeight="1" x14ac:dyDescent="0.2">
      <c r="C169" s="33"/>
      <c r="D169" s="33"/>
    </row>
    <row r="170" spans="3:4" s="26" customFormat="1" ht="12.95" customHeight="1" x14ac:dyDescent="0.2">
      <c r="C170" s="33"/>
      <c r="D170" s="33"/>
    </row>
    <row r="171" spans="3:4" s="26" customFormat="1" ht="12.95" customHeight="1" x14ac:dyDescent="0.2">
      <c r="C171" s="33"/>
      <c r="D171" s="33"/>
    </row>
    <row r="172" spans="3:4" s="26" customFormat="1" ht="12.95" customHeight="1" x14ac:dyDescent="0.2">
      <c r="C172" s="33"/>
      <c r="D172" s="33"/>
    </row>
    <row r="173" spans="3:4" s="26" customFormat="1" ht="12.95" customHeight="1" x14ac:dyDescent="0.2">
      <c r="C173" s="33"/>
      <c r="D173" s="33"/>
    </row>
    <row r="174" spans="3:4" s="26" customFormat="1" ht="12.95" customHeight="1" x14ac:dyDescent="0.2">
      <c r="C174" s="33"/>
      <c r="D174" s="33"/>
    </row>
    <row r="175" spans="3:4" s="26" customFormat="1" ht="12.95" customHeight="1" x14ac:dyDescent="0.2">
      <c r="C175" s="33"/>
      <c r="D175" s="33"/>
    </row>
    <row r="176" spans="3:4" s="26" customFormat="1" ht="12.95" customHeight="1" x14ac:dyDescent="0.2">
      <c r="C176" s="33"/>
      <c r="D176" s="33"/>
    </row>
    <row r="177" spans="3:4" s="26" customFormat="1" ht="12.95" customHeight="1" x14ac:dyDescent="0.2">
      <c r="C177" s="33"/>
      <c r="D177" s="33"/>
    </row>
    <row r="178" spans="3:4" s="26" customFormat="1" ht="12.95" customHeight="1" x14ac:dyDescent="0.2">
      <c r="C178" s="33"/>
      <c r="D178" s="33"/>
    </row>
    <row r="179" spans="3:4" s="26" customFormat="1" ht="12.95" customHeight="1" x14ac:dyDescent="0.2">
      <c r="C179" s="33"/>
      <c r="D179" s="33"/>
    </row>
    <row r="180" spans="3:4" s="26" customFormat="1" ht="12.95" customHeight="1" x14ac:dyDescent="0.2">
      <c r="C180" s="33"/>
      <c r="D180" s="33"/>
    </row>
    <row r="181" spans="3:4" s="26" customFormat="1" ht="12.95" customHeight="1" x14ac:dyDescent="0.2">
      <c r="C181" s="33"/>
      <c r="D181" s="33"/>
    </row>
    <row r="182" spans="3:4" s="26" customFormat="1" ht="12.95" customHeight="1" x14ac:dyDescent="0.2">
      <c r="C182" s="33"/>
      <c r="D182" s="33"/>
    </row>
    <row r="183" spans="3:4" s="26" customFormat="1" ht="12.95" customHeight="1" x14ac:dyDescent="0.2">
      <c r="C183" s="33"/>
      <c r="D183" s="33"/>
    </row>
    <row r="184" spans="3:4" s="26" customFormat="1" ht="12.95" customHeight="1" x14ac:dyDescent="0.2">
      <c r="C184" s="33"/>
      <c r="D184" s="33"/>
    </row>
    <row r="185" spans="3:4" s="26" customFormat="1" ht="12.95" customHeight="1" x14ac:dyDescent="0.2">
      <c r="C185" s="33"/>
      <c r="D185" s="33"/>
    </row>
    <row r="186" spans="3:4" s="26" customFormat="1" ht="12.95" customHeight="1" x14ac:dyDescent="0.2">
      <c r="C186" s="33"/>
      <c r="D186" s="33"/>
    </row>
    <row r="187" spans="3:4" s="26" customFormat="1" ht="12.95" customHeight="1" x14ac:dyDescent="0.2">
      <c r="C187" s="33"/>
      <c r="D187" s="33"/>
    </row>
    <row r="188" spans="3:4" s="26" customFormat="1" ht="12.95" customHeight="1" x14ac:dyDescent="0.2">
      <c r="C188" s="33"/>
      <c r="D188" s="33"/>
    </row>
    <row r="189" spans="3:4" s="26" customFormat="1" ht="12.95" customHeight="1" x14ac:dyDescent="0.2">
      <c r="C189" s="33"/>
      <c r="D189" s="33"/>
    </row>
    <row r="190" spans="3:4" s="26" customFormat="1" ht="12.95" customHeight="1" x14ac:dyDescent="0.2">
      <c r="C190" s="33"/>
      <c r="D190" s="33"/>
    </row>
    <row r="191" spans="3:4" s="26" customFormat="1" ht="12.95" customHeight="1" x14ac:dyDescent="0.2">
      <c r="C191" s="33"/>
      <c r="D191" s="33"/>
    </row>
    <row r="192" spans="3:4" s="26" customFormat="1" ht="12.95" customHeight="1" x14ac:dyDescent="0.2">
      <c r="C192" s="33"/>
      <c r="D192" s="33"/>
    </row>
    <row r="193" spans="3:4" s="26" customFormat="1" ht="12.95" customHeight="1" x14ac:dyDescent="0.2">
      <c r="C193" s="33"/>
      <c r="D193" s="33"/>
    </row>
    <row r="194" spans="3:4" s="26" customFormat="1" ht="12.95" customHeight="1" x14ac:dyDescent="0.2">
      <c r="C194" s="33"/>
      <c r="D194" s="33"/>
    </row>
    <row r="195" spans="3:4" s="26" customFormat="1" ht="12.95" customHeight="1" x14ac:dyDescent="0.2">
      <c r="C195" s="33"/>
      <c r="D195" s="33"/>
    </row>
    <row r="196" spans="3:4" s="26" customFormat="1" ht="12.95" customHeight="1" x14ac:dyDescent="0.2">
      <c r="C196" s="33"/>
      <c r="D196" s="33"/>
    </row>
    <row r="197" spans="3:4" s="26" customFormat="1" ht="12.95" customHeight="1" x14ac:dyDescent="0.2">
      <c r="C197" s="33"/>
      <c r="D197" s="33"/>
    </row>
    <row r="198" spans="3:4" s="26" customFormat="1" ht="12.95" customHeight="1" x14ac:dyDescent="0.2">
      <c r="C198" s="33"/>
      <c r="D198" s="33"/>
    </row>
    <row r="199" spans="3:4" s="26" customFormat="1" ht="12.95" customHeight="1" x14ac:dyDescent="0.2">
      <c r="C199" s="33"/>
      <c r="D199" s="33"/>
    </row>
    <row r="200" spans="3:4" s="26" customFormat="1" ht="12.95" customHeight="1" x14ac:dyDescent="0.2">
      <c r="C200" s="33"/>
      <c r="D200" s="33"/>
    </row>
    <row r="201" spans="3:4" s="26" customFormat="1" ht="12.95" customHeight="1" x14ac:dyDescent="0.2">
      <c r="C201" s="33"/>
      <c r="D201" s="33"/>
    </row>
    <row r="202" spans="3:4" s="26" customFormat="1" ht="12.95" customHeight="1" x14ac:dyDescent="0.2">
      <c r="C202" s="33"/>
      <c r="D202" s="33"/>
    </row>
    <row r="203" spans="3:4" s="26" customFormat="1" ht="12.95" customHeight="1" x14ac:dyDescent="0.2">
      <c r="C203" s="33"/>
      <c r="D203" s="33"/>
    </row>
    <row r="204" spans="3:4" s="26" customFormat="1" ht="12.95" customHeight="1" x14ac:dyDescent="0.2">
      <c r="C204" s="33"/>
      <c r="D204" s="33"/>
    </row>
    <row r="205" spans="3:4" s="26" customFormat="1" ht="12.95" customHeight="1" x14ac:dyDescent="0.2">
      <c r="C205" s="33"/>
      <c r="D205" s="33"/>
    </row>
    <row r="206" spans="3:4" s="26" customFormat="1" ht="12.95" customHeight="1" x14ac:dyDescent="0.2">
      <c r="C206" s="33"/>
      <c r="D206" s="33"/>
    </row>
    <row r="207" spans="3:4" s="26" customFormat="1" ht="12.95" customHeight="1" x14ac:dyDescent="0.2">
      <c r="C207" s="33"/>
      <c r="D207" s="33"/>
    </row>
    <row r="208" spans="3:4" s="26" customFormat="1" ht="12.95" customHeight="1" x14ac:dyDescent="0.2">
      <c r="C208" s="33"/>
      <c r="D208" s="33"/>
    </row>
    <row r="209" spans="3:4" s="26" customFormat="1" ht="12.95" customHeight="1" x14ac:dyDescent="0.2">
      <c r="C209" s="33"/>
      <c r="D209" s="33"/>
    </row>
    <row r="210" spans="3:4" s="26" customFormat="1" ht="12.95" customHeight="1" x14ac:dyDescent="0.2">
      <c r="C210" s="33"/>
      <c r="D210" s="33"/>
    </row>
    <row r="211" spans="3:4" s="26" customFormat="1" ht="12.95" customHeight="1" x14ac:dyDescent="0.2">
      <c r="C211" s="33"/>
      <c r="D211" s="33"/>
    </row>
    <row r="212" spans="3:4" s="26" customFormat="1" ht="12.95" customHeight="1" x14ac:dyDescent="0.2">
      <c r="C212" s="33"/>
      <c r="D212" s="33"/>
    </row>
    <row r="213" spans="3:4" s="26" customFormat="1" ht="12.95" customHeight="1" x14ac:dyDescent="0.2">
      <c r="C213" s="33"/>
      <c r="D213" s="33"/>
    </row>
    <row r="214" spans="3:4" s="26" customFormat="1" ht="12.95" customHeight="1" x14ac:dyDescent="0.2">
      <c r="C214" s="33"/>
      <c r="D214" s="33"/>
    </row>
    <row r="215" spans="3:4" s="26" customFormat="1" ht="12.95" customHeight="1" x14ac:dyDescent="0.2">
      <c r="C215" s="33"/>
      <c r="D215" s="33"/>
    </row>
    <row r="216" spans="3:4" s="26" customFormat="1" ht="12.95" customHeight="1" x14ac:dyDescent="0.2">
      <c r="C216" s="33"/>
      <c r="D216" s="33"/>
    </row>
    <row r="217" spans="3:4" s="26" customFormat="1" ht="12.95" customHeight="1" x14ac:dyDescent="0.2">
      <c r="C217" s="33"/>
      <c r="D217" s="33"/>
    </row>
    <row r="218" spans="3:4" s="26" customFormat="1" ht="12.95" customHeight="1" x14ac:dyDescent="0.2">
      <c r="C218" s="33"/>
      <c r="D218" s="33"/>
    </row>
    <row r="219" spans="3:4" s="26" customFormat="1" ht="12.95" customHeight="1" x14ac:dyDescent="0.2">
      <c r="C219" s="33"/>
      <c r="D219" s="33"/>
    </row>
    <row r="220" spans="3:4" s="26" customFormat="1" ht="12.95" customHeight="1" x14ac:dyDescent="0.2">
      <c r="C220" s="33"/>
      <c r="D220" s="33"/>
    </row>
    <row r="221" spans="3:4" s="26" customFormat="1" ht="12.95" customHeight="1" x14ac:dyDescent="0.2">
      <c r="C221" s="33"/>
      <c r="D221" s="33"/>
    </row>
    <row r="222" spans="3:4" s="26" customFormat="1" ht="12.95" customHeight="1" x14ac:dyDescent="0.2">
      <c r="C222" s="33"/>
      <c r="D222" s="33"/>
    </row>
    <row r="223" spans="3:4" s="26" customFormat="1" ht="12.95" customHeight="1" x14ac:dyDescent="0.2">
      <c r="C223" s="33"/>
      <c r="D223" s="33"/>
    </row>
    <row r="224" spans="3:4" s="26" customFormat="1" ht="12.95" customHeight="1" x14ac:dyDescent="0.2">
      <c r="C224" s="33"/>
      <c r="D224" s="33"/>
    </row>
    <row r="225" spans="3:4" s="26" customFormat="1" ht="12.95" customHeight="1" x14ac:dyDescent="0.2">
      <c r="C225" s="33"/>
      <c r="D225" s="33"/>
    </row>
    <row r="226" spans="3:4" s="26" customFormat="1" ht="12.95" customHeight="1" x14ac:dyDescent="0.2">
      <c r="C226" s="33"/>
      <c r="D226" s="33"/>
    </row>
    <row r="227" spans="3:4" s="26" customFormat="1" ht="12.95" customHeight="1" x14ac:dyDescent="0.2">
      <c r="C227" s="33"/>
      <c r="D227" s="33"/>
    </row>
    <row r="228" spans="3:4" s="26" customFormat="1" ht="12.95" customHeight="1" x14ac:dyDescent="0.2">
      <c r="C228" s="33"/>
      <c r="D228" s="33"/>
    </row>
    <row r="229" spans="3:4" s="26" customFormat="1" ht="12.95" customHeight="1" x14ac:dyDescent="0.2">
      <c r="C229" s="33"/>
      <c r="D229" s="33"/>
    </row>
    <row r="230" spans="3:4" s="26" customFormat="1" ht="12.95" customHeight="1" x14ac:dyDescent="0.2">
      <c r="C230" s="33"/>
      <c r="D230" s="33"/>
    </row>
    <row r="231" spans="3:4" s="26" customFormat="1" ht="12.95" customHeight="1" x14ac:dyDescent="0.2">
      <c r="C231" s="33"/>
      <c r="D231" s="33"/>
    </row>
    <row r="232" spans="3:4" s="26" customFormat="1" ht="12.95" customHeight="1" x14ac:dyDescent="0.2">
      <c r="C232" s="33"/>
      <c r="D232" s="33"/>
    </row>
    <row r="233" spans="3:4" s="26" customFormat="1" ht="12.95" customHeight="1" x14ac:dyDescent="0.2">
      <c r="C233" s="33"/>
      <c r="D233" s="33"/>
    </row>
    <row r="234" spans="3:4" s="26" customFormat="1" ht="12.95" customHeight="1" x14ac:dyDescent="0.2">
      <c r="C234" s="33"/>
      <c r="D234" s="33"/>
    </row>
    <row r="235" spans="3:4" s="26" customFormat="1" ht="12.95" customHeight="1" x14ac:dyDescent="0.2">
      <c r="C235" s="33"/>
      <c r="D235" s="33"/>
    </row>
    <row r="236" spans="3:4" s="26" customFormat="1" ht="12.95" customHeight="1" x14ac:dyDescent="0.2">
      <c r="C236" s="33"/>
      <c r="D236" s="33"/>
    </row>
    <row r="237" spans="3:4" s="26" customFormat="1" ht="12.95" customHeight="1" x14ac:dyDescent="0.2">
      <c r="C237" s="33"/>
      <c r="D237" s="3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</sheetData>
  <protectedRanges>
    <protectedRange sqref="A67:D73" name="Range1"/>
  </protectedRanges>
  <sortState xmlns:xlrd2="http://schemas.microsoft.com/office/spreadsheetml/2017/richdata2" ref="A21:U78">
    <sortCondition ref="C21:C78"/>
  </sortState>
  <phoneticPr fontId="7" type="noConversion"/>
  <hyperlinks>
    <hyperlink ref="H63962" r:id="rId1" display="http://vsolj.cetus-net.org/bulletin.html" xr:uid="{00000000-0004-0000-0000-000000000000}"/>
    <hyperlink ref="H63955" r:id="rId2" display="https://www.aavso.org/ejaavso" xr:uid="{00000000-0004-0000-0000-000001000000}"/>
    <hyperlink ref="I63962" r:id="rId3" display="http://vsolj.cetus-net.org/bulletin.html" xr:uid="{00000000-0004-0000-0000-000002000000}"/>
    <hyperlink ref="AQ57613" r:id="rId4" display="http://cdsbib.u-strasbg.fr/cgi-bin/cdsbib?1990RMxAA..21..381G" xr:uid="{00000000-0004-0000-0000-000003000000}"/>
    <hyperlink ref="H63959" r:id="rId5" display="https://www.aavso.org/ejaavso" xr:uid="{00000000-0004-0000-0000-000004000000}"/>
    <hyperlink ref="AP4977" r:id="rId6" display="http://cdsbib.u-strasbg.fr/cgi-bin/cdsbib?1990RMxAA..21..381G" xr:uid="{00000000-0004-0000-0000-000005000000}"/>
    <hyperlink ref="AP4980" r:id="rId7" display="http://cdsbib.u-strasbg.fr/cgi-bin/cdsbib?1990RMxAA..21..381G" xr:uid="{00000000-0004-0000-0000-000006000000}"/>
    <hyperlink ref="AP4978" r:id="rId8" display="http://cdsbib.u-strasbg.fr/cgi-bin/cdsbib?1990RMxAA..21..381G" xr:uid="{00000000-0004-0000-0000-000007000000}"/>
    <hyperlink ref="AP4962" r:id="rId9" display="http://cdsbib.u-strasbg.fr/cgi-bin/cdsbib?1990RMxAA..21..381G" xr:uid="{00000000-0004-0000-0000-000008000000}"/>
    <hyperlink ref="AQ5191" r:id="rId10" display="http://cdsbib.u-strasbg.fr/cgi-bin/cdsbib?1990RMxAA..21..381G" xr:uid="{00000000-0004-0000-0000-000009000000}"/>
    <hyperlink ref="AQ5195" r:id="rId11" display="http://cdsbib.u-strasbg.fr/cgi-bin/cdsbib?1990RMxAA..21..381G" xr:uid="{00000000-0004-0000-0000-00000A000000}"/>
    <hyperlink ref="AQ64875" r:id="rId12" display="http://cdsbib.u-strasbg.fr/cgi-bin/cdsbib?1990RMxAA..21..381G" xr:uid="{00000000-0004-0000-0000-00000B000000}"/>
    <hyperlink ref="I2083" r:id="rId13" display="http://vsolj.cetus-net.org/bulletin.html" xr:uid="{00000000-0004-0000-0000-00000C000000}"/>
    <hyperlink ref="H2083" r:id="rId14" display="http://vsolj.cetus-net.org/bulletin.html" xr:uid="{00000000-0004-0000-0000-00000D000000}"/>
    <hyperlink ref="AQ1" r:id="rId15" display="http://cdsbib.u-strasbg.fr/cgi-bin/cdsbib?1990RMxAA..21..381G" xr:uid="{00000000-0004-0000-0000-00000E000000}"/>
    <hyperlink ref="AQ65535" r:id="rId16" display="http://cdsbib.u-strasbg.fr/cgi-bin/cdsbib?1990RMxAA..21..381G" xr:uid="{00000000-0004-0000-0000-00000F000000}"/>
    <hyperlink ref="AP3253" r:id="rId17" display="http://cdsbib.u-strasbg.fr/cgi-bin/cdsbib?1990RMxAA..21..381G" xr:uid="{00000000-0004-0000-0000-000010000000}"/>
    <hyperlink ref="AP3271" r:id="rId18" display="http://cdsbib.u-strasbg.fr/cgi-bin/cdsbib?1990RMxAA..21..381G" xr:uid="{00000000-0004-0000-0000-000011000000}"/>
    <hyperlink ref="AP3272" r:id="rId19" display="http://cdsbib.u-strasbg.fr/cgi-bin/cdsbib?1990RMxAA..21..381G" xr:uid="{00000000-0004-0000-0000-000012000000}"/>
    <hyperlink ref="AP3268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1"/>
  <sheetViews>
    <sheetView topLeftCell="A5" workbookViewId="0">
      <selection activeCell="A21" sqref="A21:C28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8" t="s">
        <v>55</v>
      </c>
      <c r="I1" s="9" t="s">
        <v>56</v>
      </c>
      <c r="J1" s="10" t="s">
        <v>57</v>
      </c>
    </row>
    <row r="2" spans="1:16" x14ac:dyDescent="0.2">
      <c r="I2" s="11" t="s">
        <v>58</v>
      </c>
      <c r="J2" s="12" t="s">
        <v>59</v>
      </c>
    </row>
    <row r="3" spans="1:16" x14ac:dyDescent="0.2">
      <c r="A3" s="13" t="s">
        <v>60</v>
      </c>
      <c r="I3" s="11" t="s">
        <v>61</v>
      </c>
      <c r="J3" s="12" t="s">
        <v>62</v>
      </c>
    </row>
    <row r="4" spans="1:16" x14ac:dyDescent="0.2">
      <c r="I4" s="11" t="s">
        <v>63</v>
      </c>
      <c r="J4" s="12" t="s">
        <v>62</v>
      </c>
    </row>
    <row r="5" spans="1:16" ht="13.5" thickBot="1" x14ac:dyDescent="0.25">
      <c r="I5" s="14" t="s">
        <v>64</v>
      </c>
      <c r="J5" s="15" t="s">
        <v>65</v>
      </c>
    </row>
    <row r="10" spans="1:16" ht="13.5" thickBot="1" x14ac:dyDescent="0.25"/>
    <row r="11" spans="1:16" ht="12.75" customHeight="1" thickBot="1" x14ac:dyDescent="0.25">
      <c r="A11" s="3" t="str">
        <f t="shared" ref="A11:A28" si="0">P11</f>
        <v>OEJV 0094 </v>
      </c>
      <c r="B11" s="2" t="str">
        <f t="shared" ref="B11:B28" si="1">IF(H11=INT(H11),"I","II")</f>
        <v>II</v>
      </c>
      <c r="C11" s="3">
        <f t="shared" ref="C11:C28" si="2">1*G11</f>
        <v>54507.542099999999</v>
      </c>
      <c r="D11" s="4" t="str">
        <f t="shared" ref="D11:D28" si="3">VLOOKUP(F11,I$1:J$5,2,FALSE)</f>
        <v>vis</v>
      </c>
      <c r="E11" s="16" t="e">
        <f>VLOOKUP(C11,Active!C$21:E$967,3,FALSE)</f>
        <v>#N/A</v>
      </c>
      <c r="F11" s="2" t="s">
        <v>64</v>
      </c>
      <c r="G11" s="4" t="str">
        <f t="shared" ref="G11:G28" si="4">MID(I11,3,LEN(I11)-3)</f>
        <v>54507.5421</v>
      </c>
      <c r="H11" s="3">
        <f t="shared" ref="H11:H28" si="5">1*K11</f>
        <v>12693.5</v>
      </c>
      <c r="I11" s="17" t="s">
        <v>66</v>
      </c>
      <c r="J11" s="18" t="s">
        <v>67</v>
      </c>
      <c r="K11" s="17">
        <v>12693.5</v>
      </c>
      <c r="L11" s="17" t="s">
        <v>68</v>
      </c>
      <c r="M11" s="18" t="s">
        <v>69</v>
      </c>
      <c r="N11" s="18" t="s">
        <v>56</v>
      </c>
      <c r="O11" s="19" t="s">
        <v>70</v>
      </c>
      <c r="P11" s="20" t="s">
        <v>71</v>
      </c>
    </row>
    <row r="12" spans="1:16" ht="12.75" customHeight="1" thickBot="1" x14ac:dyDescent="0.25">
      <c r="A12" s="3" t="str">
        <f t="shared" si="0"/>
        <v>BAVM 209 </v>
      </c>
      <c r="B12" s="2" t="str">
        <f t="shared" si="1"/>
        <v>I</v>
      </c>
      <c r="C12" s="3">
        <f t="shared" si="2"/>
        <v>54555.373200000002</v>
      </c>
      <c r="D12" s="4" t="str">
        <f t="shared" si="3"/>
        <v>vis</v>
      </c>
      <c r="E12" s="16">
        <f>VLOOKUP(C12,Active!C$21:E$967,3,FALSE)</f>
        <v>12847.002301108201</v>
      </c>
      <c r="F12" s="2" t="s">
        <v>64</v>
      </c>
      <c r="G12" s="4" t="str">
        <f t="shared" si="4"/>
        <v>54555.3732</v>
      </c>
      <c r="H12" s="3">
        <f t="shared" si="5"/>
        <v>12847</v>
      </c>
      <c r="I12" s="17" t="s">
        <v>72</v>
      </c>
      <c r="J12" s="18" t="s">
        <v>73</v>
      </c>
      <c r="K12" s="17">
        <v>12847</v>
      </c>
      <c r="L12" s="17" t="s">
        <v>74</v>
      </c>
      <c r="M12" s="18" t="s">
        <v>69</v>
      </c>
      <c r="N12" s="18" t="s">
        <v>75</v>
      </c>
      <c r="O12" s="19" t="s">
        <v>76</v>
      </c>
      <c r="P12" s="20" t="s">
        <v>77</v>
      </c>
    </row>
    <row r="13" spans="1:16" ht="12.75" customHeight="1" thickBot="1" x14ac:dyDescent="0.25">
      <c r="A13" s="3" t="str">
        <f t="shared" si="0"/>
        <v>IBVS 5894 </v>
      </c>
      <c r="B13" s="2" t="str">
        <f t="shared" si="1"/>
        <v>I</v>
      </c>
      <c r="C13" s="3">
        <f t="shared" si="2"/>
        <v>54862.914700000001</v>
      </c>
      <c r="D13" s="4" t="str">
        <f t="shared" si="3"/>
        <v>vis</v>
      </c>
      <c r="E13" s="16">
        <f>VLOOKUP(C13,Active!C$21:E$967,3,FALSE)</f>
        <v>13834.012433044822</v>
      </c>
      <c r="F13" s="2" t="s">
        <v>64</v>
      </c>
      <c r="G13" s="4" t="str">
        <f t="shared" si="4"/>
        <v>54862.9147</v>
      </c>
      <c r="H13" s="3">
        <f t="shared" si="5"/>
        <v>13834</v>
      </c>
      <c r="I13" s="17" t="s">
        <v>78</v>
      </c>
      <c r="J13" s="18" t="s">
        <v>79</v>
      </c>
      <c r="K13" s="17" t="s">
        <v>80</v>
      </c>
      <c r="L13" s="17" t="s">
        <v>81</v>
      </c>
      <c r="M13" s="18" t="s">
        <v>69</v>
      </c>
      <c r="N13" s="18" t="s">
        <v>64</v>
      </c>
      <c r="O13" s="19" t="s">
        <v>82</v>
      </c>
      <c r="P13" s="20" t="s">
        <v>83</v>
      </c>
    </row>
    <row r="14" spans="1:16" ht="12.75" customHeight="1" thickBot="1" x14ac:dyDescent="0.25">
      <c r="A14" s="3" t="str">
        <f t="shared" si="0"/>
        <v>BAVM 214 </v>
      </c>
      <c r="B14" s="2" t="str">
        <f t="shared" si="1"/>
        <v>I</v>
      </c>
      <c r="C14" s="3">
        <f t="shared" si="2"/>
        <v>54923.360200000003</v>
      </c>
      <c r="D14" s="4" t="str">
        <f t="shared" si="3"/>
        <v>vis</v>
      </c>
      <c r="E14" s="16">
        <f>VLOOKUP(C14,Active!C$21:E$967,3,FALSE)</f>
        <v>14028.003555966367</v>
      </c>
      <c r="F14" s="2" t="s">
        <v>64</v>
      </c>
      <c r="G14" s="4" t="str">
        <f t="shared" si="4"/>
        <v>54923.3602</v>
      </c>
      <c r="H14" s="3">
        <f t="shared" si="5"/>
        <v>14028</v>
      </c>
      <c r="I14" s="17" t="s">
        <v>84</v>
      </c>
      <c r="J14" s="18" t="s">
        <v>85</v>
      </c>
      <c r="K14" s="17" t="s">
        <v>86</v>
      </c>
      <c r="L14" s="17" t="s">
        <v>87</v>
      </c>
      <c r="M14" s="18" t="s">
        <v>69</v>
      </c>
      <c r="N14" s="18" t="s">
        <v>75</v>
      </c>
      <c r="O14" s="19" t="s">
        <v>76</v>
      </c>
      <c r="P14" s="20" t="s">
        <v>88</v>
      </c>
    </row>
    <row r="15" spans="1:16" ht="12.75" customHeight="1" thickBot="1" x14ac:dyDescent="0.25">
      <c r="A15" s="3" t="str">
        <f t="shared" si="0"/>
        <v>IBVS 5945 </v>
      </c>
      <c r="B15" s="2" t="str">
        <f t="shared" si="1"/>
        <v>I</v>
      </c>
      <c r="C15" s="3">
        <f t="shared" si="2"/>
        <v>55268.912199999999</v>
      </c>
      <c r="D15" s="4" t="str">
        <f t="shared" si="3"/>
        <v>vis</v>
      </c>
      <c r="E15" s="16">
        <f>VLOOKUP(C15,Active!C$21:E$967,3,FALSE)</f>
        <v>15137.002910885816</v>
      </c>
      <c r="F15" s="2" t="s">
        <v>64</v>
      </c>
      <c r="G15" s="4" t="str">
        <f t="shared" si="4"/>
        <v>55268.9122</v>
      </c>
      <c r="H15" s="3">
        <f t="shared" si="5"/>
        <v>15137</v>
      </c>
      <c r="I15" s="17" t="s">
        <v>115</v>
      </c>
      <c r="J15" s="18" t="s">
        <v>116</v>
      </c>
      <c r="K15" s="17" t="s">
        <v>117</v>
      </c>
      <c r="L15" s="17" t="s">
        <v>106</v>
      </c>
      <c r="M15" s="18" t="s">
        <v>69</v>
      </c>
      <c r="N15" s="18" t="s">
        <v>64</v>
      </c>
      <c r="O15" s="19" t="s">
        <v>82</v>
      </c>
      <c r="P15" s="20" t="s">
        <v>118</v>
      </c>
    </row>
    <row r="16" spans="1:16" ht="12.75" customHeight="1" thickBot="1" x14ac:dyDescent="0.25">
      <c r="A16" s="3" t="str">
        <f t="shared" si="0"/>
        <v>IBVS 5992 </v>
      </c>
      <c r="B16" s="2" t="str">
        <f t="shared" si="1"/>
        <v>II</v>
      </c>
      <c r="C16" s="3">
        <f t="shared" si="2"/>
        <v>55591.874600000003</v>
      </c>
      <c r="D16" s="4" t="str">
        <f t="shared" si="3"/>
        <v>vis</v>
      </c>
      <c r="E16" s="16">
        <f>VLOOKUP(C16,Active!C$21:E$967,3,FALSE)</f>
        <v>16173.504199442228</v>
      </c>
      <c r="F16" s="2" t="s">
        <v>64</v>
      </c>
      <c r="G16" s="4" t="str">
        <f t="shared" si="4"/>
        <v>55591.8746</v>
      </c>
      <c r="H16" s="3">
        <f t="shared" si="5"/>
        <v>16173.5</v>
      </c>
      <c r="I16" s="17" t="s">
        <v>119</v>
      </c>
      <c r="J16" s="18" t="s">
        <v>120</v>
      </c>
      <c r="K16" s="17" t="s">
        <v>121</v>
      </c>
      <c r="L16" s="17" t="s">
        <v>122</v>
      </c>
      <c r="M16" s="18" t="s">
        <v>69</v>
      </c>
      <c r="N16" s="18" t="s">
        <v>64</v>
      </c>
      <c r="O16" s="19" t="s">
        <v>82</v>
      </c>
      <c r="P16" s="20" t="s">
        <v>123</v>
      </c>
    </row>
    <row r="17" spans="1:16" ht="12.75" customHeight="1" thickBot="1" x14ac:dyDescent="0.25">
      <c r="A17" s="3" t="str">
        <f t="shared" si="0"/>
        <v>IBVS 5992 </v>
      </c>
      <c r="B17" s="2" t="str">
        <f t="shared" si="1"/>
        <v>I</v>
      </c>
      <c r="C17" s="3">
        <f t="shared" si="2"/>
        <v>55672.7336</v>
      </c>
      <c r="D17" s="4" t="str">
        <f t="shared" si="3"/>
        <v>vis</v>
      </c>
      <c r="E17" s="16">
        <f>VLOOKUP(C17,Active!C$21:E$967,3,FALSE)</f>
        <v>16433.009509321579</v>
      </c>
      <c r="F17" s="2" t="s">
        <v>64</v>
      </c>
      <c r="G17" s="4" t="str">
        <f t="shared" si="4"/>
        <v>55672.7336</v>
      </c>
      <c r="H17" s="3">
        <f t="shared" si="5"/>
        <v>16433</v>
      </c>
      <c r="I17" s="17" t="s">
        <v>131</v>
      </c>
      <c r="J17" s="18" t="s">
        <v>132</v>
      </c>
      <c r="K17" s="17" t="s">
        <v>133</v>
      </c>
      <c r="L17" s="17" t="s">
        <v>134</v>
      </c>
      <c r="M17" s="18" t="s">
        <v>69</v>
      </c>
      <c r="N17" s="18" t="s">
        <v>64</v>
      </c>
      <c r="O17" s="19" t="s">
        <v>82</v>
      </c>
      <c r="P17" s="20" t="s">
        <v>123</v>
      </c>
    </row>
    <row r="18" spans="1:16" ht="12.75" customHeight="1" thickBot="1" x14ac:dyDescent="0.25">
      <c r="A18" s="3" t="str">
        <f t="shared" si="0"/>
        <v>IBVS 6050 </v>
      </c>
      <c r="B18" s="2" t="str">
        <f t="shared" si="1"/>
        <v>I</v>
      </c>
      <c r="C18" s="3">
        <f t="shared" si="2"/>
        <v>55941.946600000003</v>
      </c>
      <c r="D18" s="4" t="str">
        <f t="shared" si="3"/>
        <v>vis</v>
      </c>
      <c r="E18" s="16">
        <f>VLOOKUP(C18,Active!C$21:E$967,3,FALSE)</f>
        <v>17297.009843094605</v>
      </c>
      <c r="F18" s="2" t="s">
        <v>64</v>
      </c>
      <c r="G18" s="4" t="str">
        <f t="shared" si="4"/>
        <v>55941.9466</v>
      </c>
      <c r="H18" s="3">
        <f t="shared" si="5"/>
        <v>17297</v>
      </c>
      <c r="I18" s="17" t="s">
        <v>135</v>
      </c>
      <c r="J18" s="18" t="s">
        <v>136</v>
      </c>
      <c r="K18" s="17" t="s">
        <v>137</v>
      </c>
      <c r="L18" s="17" t="s">
        <v>138</v>
      </c>
      <c r="M18" s="18" t="s">
        <v>69</v>
      </c>
      <c r="N18" s="18" t="s">
        <v>56</v>
      </c>
      <c r="O18" s="19" t="s">
        <v>139</v>
      </c>
      <c r="P18" s="20" t="s">
        <v>140</v>
      </c>
    </row>
    <row r="19" spans="1:16" ht="12.75" customHeight="1" thickBot="1" x14ac:dyDescent="0.25">
      <c r="A19" s="3" t="str">
        <f t="shared" si="0"/>
        <v>IBVS 6029 </v>
      </c>
      <c r="B19" s="2" t="str">
        <f t="shared" si="1"/>
        <v>I</v>
      </c>
      <c r="C19" s="3">
        <f t="shared" si="2"/>
        <v>55956.904000000002</v>
      </c>
      <c r="D19" s="4" t="str">
        <f t="shared" si="3"/>
        <v>vis</v>
      </c>
      <c r="E19" s="16">
        <f>VLOOKUP(C19,Active!C$21:E$967,3,FALSE)</f>
        <v>17345.013463248073</v>
      </c>
      <c r="F19" s="2" t="s">
        <v>64</v>
      </c>
      <c r="G19" s="4" t="str">
        <f t="shared" si="4"/>
        <v>55956.9040</v>
      </c>
      <c r="H19" s="3">
        <f t="shared" si="5"/>
        <v>17345</v>
      </c>
      <c r="I19" s="17" t="s">
        <v>141</v>
      </c>
      <c r="J19" s="18" t="s">
        <v>142</v>
      </c>
      <c r="K19" s="17" t="s">
        <v>143</v>
      </c>
      <c r="L19" s="17" t="s">
        <v>144</v>
      </c>
      <c r="M19" s="18" t="s">
        <v>69</v>
      </c>
      <c r="N19" s="18" t="s">
        <v>64</v>
      </c>
      <c r="O19" s="19" t="s">
        <v>82</v>
      </c>
      <c r="P19" s="20" t="s">
        <v>145</v>
      </c>
    </row>
    <row r="20" spans="1:16" ht="12.75" customHeight="1" thickBot="1" x14ac:dyDescent="0.25">
      <c r="A20" s="3" t="str">
        <f t="shared" si="0"/>
        <v>IBVS 6029 </v>
      </c>
      <c r="B20" s="2" t="str">
        <f t="shared" si="1"/>
        <v>I</v>
      </c>
      <c r="C20" s="3">
        <f t="shared" si="2"/>
        <v>56035.736199999999</v>
      </c>
      <c r="D20" s="4" t="str">
        <f t="shared" si="3"/>
        <v>vis</v>
      </c>
      <c r="E20" s="16">
        <f>VLOOKUP(C20,Active!C$21:E$967,3,FALSE)</f>
        <v>17598.014050560196</v>
      </c>
      <c r="F20" s="2" t="s">
        <v>64</v>
      </c>
      <c r="G20" s="4" t="str">
        <f t="shared" si="4"/>
        <v>56035.7362</v>
      </c>
      <c r="H20" s="3">
        <f t="shared" si="5"/>
        <v>17598</v>
      </c>
      <c r="I20" s="17" t="s">
        <v>146</v>
      </c>
      <c r="J20" s="18" t="s">
        <v>147</v>
      </c>
      <c r="K20" s="17" t="s">
        <v>148</v>
      </c>
      <c r="L20" s="17" t="s">
        <v>149</v>
      </c>
      <c r="M20" s="18" t="s">
        <v>69</v>
      </c>
      <c r="N20" s="18" t="s">
        <v>64</v>
      </c>
      <c r="O20" s="19" t="s">
        <v>82</v>
      </c>
      <c r="P20" s="20" t="s">
        <v>145</v>
      </c>
    </row>
    <row r="21" spans="1:16" ht="12.75" customHeight="1" thickBot="1" x14ac:dyDescent="0.25">
      <c r="A21" s="3" t="str">
        <f t="shared" si="0"/>
        <v>OEJV 0107 </v>
      </c>
      <c r="B21" s="2" t="str">
        <f t="shared" si="1"/>
        <v>II</v>
      </c>
      <c r="C21" s="3">
        <f t="shared" si="2"/>
        <v>54935.356899999999</v>
      </c>
      <c r="D21" s="4" t="str">
        <f t="shared" si="3"/>
        <v>vis</v>
      </c>
      <c r="E21" s="16" t="e">
        <f>VLOOKUP(C21,Active!C$21:E$967,3,FALSE)</f>
        <v>#N/A</v>
      </c>
      <c r="F21" s="2" t="s">
        <v>64</v>
      </c>
      <c r="G21" s="4" t="str">
        <f t="shared" si="4"/>
        <v>54935.3569</v>
      </c>
      <c r="H21" s="3">
        <f t="shared" si="5"/>
        <v>14066.5</v>
      </c>
      <c r="I21" s="17" t="s">
        <v>89</v>
      </c>
      <c r="J21" s="18" t="s">
        <v>90</v>
      </c>
      <c r="K21" s="17" t="s">
        <v>91</v>
      </c>
      <c r="L21" s="17" t="s">
        <v>92</v>
      </c>
      <c r="M21" s="18" t="s">
        <v>69</v>
      </c>
      <c r="N21" s="18" t="s">
        <v>93</v>
      </c>
      <c r="O21" s="19" t="s">
        <v>94</v>
      </c>
      <c r="P21" s="20" t="s">
        <v>95</v>
      </c>
    </row>
    <row r="22" spans="1:16" ht="12.75" customHeight="1" thickBot="1" x14ac:dyDescent="0.25">
      <c r="A22" s="3" t="str">
        <f t="shared" si="0"/>
        <v>VSB 51 </v>
      </c>
      <c r="B22" s="2" t="str">
        <f t="shared" si="1"/>
        <v>I</v>
      </c>
      <c r="C22" s="3">
        <f t="shared" si="2"/>
        <v>55232.145199999999</v>
      </c>
      <c r="D22" s="4" t="str">
        <f t="shared" si="3"/>
        <v>vis</v>
      </c>
      <c r="E22" s="16">
        <f>VLOOKUP(C22,Active!C$21:E$967,3,FALSE)</f>
        <v>15019.004521982484</v>
      </c>
      <c r="F22" s="2" t="s">
        <v>64</v>
      </c>
      <c r="G22" s="4" t="str">
        <f t="shared" si="4"/>
        <v>55232.1452</v>
      </c>
      <c r="H22" s="3">
        <f t="shared" si="5"/>
        <v>15019</v>
      </c>
      <c r="I22" s="17" t="s">
        <v>96</v>
      </c>
      <c r="J22" s="18" t="s">
        <v>97</v>
      </c>
      <c r="K22" s="17" t="s">
        <v>98</v>
      </c>
      <c r="L22" s="17" t="s">
        <v>99</v>
      </c>
      <c r="M22" s="18" t="s">
        <v>69</v>
      </c>
      <c r="N22" s="18" t="s">
        <v>100</v>
      </c>
      <c r="O22" s="19" t="s">
        <v>101</v>
      </c>
      <c r="P22" s="20" t="s">
        <v>102</v>
      </c>
    </row>
    <row r="23" spans="1:16" ht="12.75" customHeight="1" thickBot="1" x14ac:dyDescent="0.25">
      <c r="A23" s="3" t="str">
        <f t="shared" si="0"/>
        <v>VSB 51 </v>
      </c>
      <c r="B23" s="2" t="str">
        <f t="shared" si="1"/>
        <v>II</v>
      </c>
      <c r="C23" s="3">
        <f t="shared" si="2"/>
        <v>55232.300499999998</v>
      </c>
      <c r="D23" s="4" t="str">
        <f t="shared" si="3"/>
        <v>vis</v>
      </c>
      <c r="E23" s="16">
        <f>VLOOKUP(C23,Active!C$21:E$967,3,FALSE)</f>
        <v>15019.502934955981</v>
      </c>
      <c r="F23" s="2" t="s">
        <v>64</v>
      </c>
      <c r="G23" s="4" t="str">
        <f t="shared" si="4"/>
        <v>55232.3005</v>
      </c>
      <c r="H23" s="3">
        <f t="shared" si="5"/>
        <v>15019.5</v>
      </c>
      <c r="I23" s="17" t="s">
        <v>103</v>
      </c>
      <c r="J23" s="18" t="s">
        <v>104</v>
      </c>
      <c r="K23" s="17" t="s">
        <v>105</v>
      </c>
      <c r="L23" s="17" t="s">
        <v>106</v>
      </c>
      <c r="M23" s="18" t="s">
        <v>69</v>
      </c>
      <c r="N23" s="18" t="s">
        <v>100</v>
      </c>
      <c r="O23" s="19" t="s">
        <v>101</v>
      </c>
      <c r="P23" s="20" t="s">
        <v>102</v>
      </c>
    </row>
    <row r="24" spans="1:16" ht="12.75" customHeight="1" thickBot="1" x14ac:dyDescent="0.25">
      <c r="A24" s="3" t="str">
        <f t="shared" si="0"/>
        <v>VSB 51 </v>
      </c>
      <c r="B24" s="2" t="str">
        <f t="shared" si="1"/>
        <v>II</v>
      </c>
      <c r="C24" s="3">
        <f t="shared" si="2"/>
        <v>55268.132799999999</v>
      </c>
      <c r="D24" s="4" t="str">
        <f t="shared" si="3"/>
        <v>vis</v>
      </c>
      <c r="E24" s="16">
        <f>VLOOKUP(C24,Active!C$21:E$967,3,FALSE)</f>
        <v>15134.501538886165</v>
      </c>
      <c r="F24" s="2" t="s">
        <v>64</v>
      </c>
      <c r="G24" s="4" t="str">
        <f t="shared" si="4"/>
        <v>55268.1328</v>
      </c>
      <c r="H24" s="3">
        <f t="shared" si="5"/>
        <v>15134.5</v>
      </c>
      <c r="I24" s="17" t="s">
        <v>107</v>
      </c>
      <c r="J24" s="18" t="s">
        <v>108</v>
      </c>
      <c r="K24" s="17" t="s">
        <v>109</v>
      </c>
      <c r="L24" s="17" t="s">
        <v>110</v>
      </c>
      <c r="M24" s="18" t="s">
        <v>69</v>
      </c>
      <c r="N24" s="18" t="s">
        <v>100</v>
      </c>
      <c r="O24" s="19" t="s">
        <v>101</v>
      </c>
      <c r="P24" s="20" t="s">
        <v>102</v>
      </c>
    </row>
    <row r="25" spans="1:16" ht="12.75" customHeight="1" thickBot="1" x14ac:dyDescent="0.25">
      <c r="A25" s="3" t="str">
        <f t="shared" si="0"/>
        <v>VSB 51 </v>
      </c>
      <c r="B25" s="2" t="str">
        <f t="shared" si="1"/>
        <v>I</v>
      </c>
      <c r="C25" s="3">
        <f t="shared" si="2"/>
        <v>55268.2889</v>
      </c>
      <c r="D25" s="4" t="str">
        <f t="shared" si="3"/>
        <v>vis</v>
      </c>
      <c r="E25" s="16">
        <f>VLOOKUP(C25,Active!C$21:E$967,3,FALSE)</f>
        <v>15135.002519344396</v>
      </c>
      <c r="F25" s="2" t="s">
        <v>64</v>
      </c>
      <c r="G25" s="4" t="str">
        <f t="shared" si="4"/>
        <v>55268.2889</v>
      </c>
      <c r="H25" s="3">
        <f t="shared" si="5"/>
        <v>15135</v>
      </c>
      <c r="I25" s="17" t="s">
        <v>111</v>
      </c>
      <c r="J25" s="18" t="s">
        <v>112</v>
      </c>
      <c r="K25" s="17" t="s">
        <v>113</v>
      </c>
      <c r="L25" s="17" t="s">
        <v>114</v>
      </c>
      <c r="M25" s="18" t="s">
        <v>69</v>
      </c>
      <c r="N25" s="18" t="s">
        <v>100</v>
      </c>
      <c r="O25" s="19" t="s">
        <v>101</v>
      </c>
      <c r="P25" s="20" t="s">
        <v>102</v>
      </c>
    </row>
    <row r="26" spans="1:16" ht="12.75" customHeight="1" thickBot="1" x14ac:dyDescent="0.25">
      <c r="A26" s="3" t="str">
        <f t="shared" si="0"/>
        <v>OEJV 0137 </v>
      </c>
      <c r="B26" s="2" t="str">
        <f t="shared" si="1"/>
        <v>II</v>
      </c>
      <c r="C26" s="3">
        <f t="shared" si="2"/>
        <v>55597.484600000003</v>
      </c>
      <c r="D26" s="4" t="str">
        <f t="shared" si="3"/>
        <v>vis</v>
      </c>
      <c r="E26" s="16" t="e">
        <f>VLOOKUP(C26,Active!C$21:E$967,3,FALSE)</f>
        <v>#N/A</v>
      </c>
      <c r="F26" s="2" t="s">
        <v>64</v>
      </c>
      <c r="G26" s="4" t="str">
        <f t="shared" si="4"/>
        <v>55597.4846</v>
      </c>
      <c r="H26" s="3">
        <f t="shared" si="5"/>
        <v>16191.5</v>
      </c>
      <c r="I26" s="17" t="s">
        <v>124</v>
      </c>
      <c r="J26" s="18" t="s">
        <v>125</v>
      </c>
      <c r="K26" s="17" t="s">
        <v>126</v>
      </c>
      <c r="L26" s="17" t="s">
        <v>127</v>
      </c>
      <c r="M26" s="18" t="s">
        <v>69</v>
      </c>
      <c r="N26" s="18" t="s">
        <v>128</v>
      </c>
      <c r="O26" s="19" t="s">
        <v>129</v>
      </c>
      <c r="P26" s="20" t="s">
        <v>130</v>
      </c>
    </row>
    <row r="27" spans="1:16" ht="12.75" customHeight="1" thickBot="1" x14ac:dyDescent="0.25">
      <c r="A27" s="3" t="str">
        <f t="shared" si="0"/>
        <v>VSB 56 </v>
      </c>
      <c r="B27" s="2" t="str">
        <f t="shared" si="1"/>
        <v>I</v>
      </c>
      <c r="C27" s="3">
        <f t="shared" si="2"/>
        <v>56364.150600000001</v>
      </c>
      <c r="D27" s="4" t="str">
        <f t="shared" si="3"/>
        <v>vis</v>
      </c>
      <c r="E27" s="16">
        <f>VLOOKUP(C27,Active!C$21:E$967,3,FALSE)</f>
        <v>18652.012747561701</v>
      </c>
      <c r="F27" s="2" t="s">
        <v>64</v>
      </c>
      <c r="G27" s="4" t="str">
        <f t="shared" si="4"/>
        <v>56364.1506</v>
      </c>
      <c r="H27" s="3">
        <f t="shared" si="5"/>
        <v>18652</v>
      </c>
      <c r="I27" s="17" t="s">
        <v>150</v>
      </c>
      <c r="J27" s="18" t="s">
        <v>151</v>
      </c>
      <c r="K27" s="17" t="s">
        <v>152</v>
      </c>
      <c r="L27" s="17" t="s">
        <v>153</v>
      </c>
      <c r="M27" s="18" t="s">
        <v>69</v>
      </c>
      <c r="N27" s="18" t="s">
        <v>64</v>
      </c>
      <c r="O27" s="19" t="s">
        <v>154</v>
      </c>
      <c r="P27" s="20" t="s">
        <v>155</v>
      </c>
    </row>
    <row r="28" spans="1:16" ht="12.75" customHeight="1" thickBot="1" x14ac:dyDescent="0.25">
      <c r="A28" s="3" t="str">
        <f t="shared" si="0"/>
        <v>VSB 56 </v>
      </c>
      <c r="B28" s="2" t="str">
        <f t="shared" si="1"/>
        <v>II</v>
      </c>
      <c r="C28" s="3">
        <f t="shared" si="2"/>
        <v>56364.305099999998</v>
      </c>
      <c r="D28" s="4" t="str">
        <f t="shared" si="3"/>
        <v>vis</v>
      </c>
      <c r="E28" s="16">
        <f>VLOOKUP(C28,Active!C$21:E$967,3,FALSE)</f>
        <v>18652.508593050457</v>
      </c>
      <c r="F28" s="2" t="s">
        <v>64</v>
      </c>
      <c r="G28" s="4" t="str">
        <f t="shared" si="4"/>
        <v>56364.3051</v>
      </c>
      <c r="H28" s="3">
        <f t="shared" si="5"/>
        <v>18652.5</v>
      </c>
      <c r="I28" s="17" t="s">
        <v>156</v>
      </c>
      <c r="J28" s="18" t="s">
        <v>157</v>
      </c>
      <c r="K28" s="17" t="s">
        <v>158</v>
      </c>
      <c r="L28" s="17" t="s">
        <v>127</v>
      </c>
      <c r="M28" s="18" t="s">
        <v>69</v>
      </c>
      <c r="N28" s="18" t="s">
        <v>64</v>
      </c>
      <c r="O28" s="19" t="s">
        <v>154</v>
      </c>
      <c r="P28" s="20" t="s">
        <v>155</v>
      </c>
    </row>
    <row r="29" spans="1:16" x14ac:dyDescent="0.2">
      <c r="B29" s="2"/>
      <c r="E29" s="16"/>
      <c r="F29" s="2"/>
    </row>
    <row r="30" spans="1:16" x14ac:dyDescent="0.2">
      <c r="B30" s="2"/>
      <c r="E30" s="16"/>
      <c r="F30" s="2"/>
    </row>
    <row r="31" spans="1:16" x14ac:dyDescent="0.2">
      <c r="B31" s="2"/>
      <c r="E31" s="16"/>
      <c r="F31" s="2"/>
    </row>
    <row r="32" spans="1:16" x14ac:dyDescent="0.2">
      <c r="B32" s="2"/>
      <c r="E32" s="16"/>
      <c r="F32" s="2"/>
    </row>
    <row r="33" spans="2:6" x14ac:dyDescent="0.2">
      <c r="B33" s="2"/>
      <c r="E33" s="16"/>
      <c r="F33" s="2"/>
    </row>
    <row r="34" spans="2:6" x14ac:dyDescent="0.2">
      <c r="B34" s="2"/>
      <c r="E34" s="16"/>
      <c r="F34" s="2"/>
    </row>
    <row r="35" spans="2:6" x14ac:dyDescent="0.2">
      <c r="B35" s="2"/>
      <c r="E35" s="16"/>
      <c r="F35" s="2"/>
    </row>
    <row r="36" spans="2:6" x14ac:dyDescent="0.2">
      <c r="B36" s="2"/>
      <c r="E36" s="16"/>
      <c r="F36" s="2"/>
    </row>
    <row r="37" spans="2:6" x14ac:dyDescent="0.2">
      <c r="B37" s="2"/>
      <c r="E37" s="16"/>
      <c r="F37" s="2"/>
    </row>
    <row r="38" spans="2:6" x14ac:dyDescent="0.2">
      <c r="B38" s="2"/>
      <c r="E38" s="16"/>
      <c r="F38" s="2"/>
    </row>
    <row r="39" spans="2:6" x14ac:dyDescent="0.2">
      <c r="B39" s="2"/>
      <c r="E39" s="16"/>
      <c r="F39" s="2"/>
    </row>
    <row r="40" spans="2:6" x14ac:dyDescent="0.2">
      <c r="B40" s="2"/>
      <c r="E40" s="16"/>
      <c r="F40" s="2"/>
    </row>
    <row r="41" spans="2:6" x14ac:dyDescent="0.2">
      <c r="B41" s="2"/>
      <c r="E41" s="16"/>
      <c r="F41" s="2"/>
    </row>
    <row r="42" spans="2:6" x14ac:dyDescent="0.2">
      <c r="B42" s="2"/>
      <c r="E42" s="16"/>
      <c r="F42" s="2"/>
    </row>
    <row r="43" spans="2:6" x14ac:dyDescent="0.2">
      <c r="B43" s="2"/>
      <c r="E43" s="16"/>
      <c r="F43" s="2"/>
    </row>
    <row r="44" spans="2:6" x14ac:dyDescent="0.2">
      <c r="B44" s="2"/>
      <c r="E44" s="16"/>
      <c r="F44" s="2"/>
    </row>
    <row r="45" spans="2:6" x14ac:dyDescent="0.2">
      <c r="B45" s="2"/>
      <c r="E45" s="16"/>
      <c r="F45" s="2"/>
    </row>
    <row r="46" spans="2:6" x14ac:dyDescent="0.2">
      <c r="B46" s="2"/>
      <c r="E46" s="16"/>
      <c r="F46" s="2"/>
    </row>
    <row r="47" spans="2:6" x14ac:dyDescent="0.2">
      <c r="B47" s="2"/>
      <c r="E47" s="16"/>
      <c r="F47" s="2"/>
    </row>
    <row r="48" spans="2:6" x14ac:dyDescent="0.2">
      <c r="B48" s="2"/>
      <c r="E48" s="16"/>
      <c r="F48" s="2"/>
    </row>
    <row r="49" spans="2:6" x14ac:dyDescent="0.2">
      <c r="B49" s="2"/>
      <c r="E49" s="16"/>
      <c r="F49" s="2"/>
    </row>
    <row r="50" spans="2:6" x14ac:dyDescent="0.2">
      <c r="B50" s="2"/>
      <c r="E50" s="16"/>
      <c r="F50" s="2"/>
    </row>
    <row r="51" spans="2:6" x14ac:dyDescent="0.2">
      <c r="B51" s="2"/>
      <c r="E51" s="16"/>
      <c r="F51" s="2"/>
    </row>
    <row r="52" spans="2:6" x14ac:dyDescent="0.2">
      <c r="B52" s="2"/>
      <c r="E52" s="16"/>
      <c r="F52" s="2"/>
    </row>
    <row r="53" spans="2:6" x14ac:dyDescent="0.2">
      <c r="B53" s="2"/>
      <c r="E53" s="16"/>
      <c r="F53" s="2"/>
    </row>
    <row r="54" spans="2:6" x14ac:dyDescent="0.2">
      <c r="B54" s="2"/>
      <c r="E54" s="16"/>
      <c r="F54" s="2"/>
    </row>
    <row r="55" spans="2:6" x14ac:dyDescent="0.2">
      <c r="B55" s="2"/>
      <c r="E55" s="16"/>
      <c r="F55" s="2"/>
    </row>
    <row r="56" spans="2:6" x14ac:dyDescent="0.2">
      <c r="B56" s="2"/>
      <c r="E56" s="16"/>
      <c r="F56" s="2"/>
    </row>
    <row r="57" spans="2:6" x14ac:dyDescent="0.2">
      <c r="B57" s="2"/>
      <c r="E57" s="16"/>
      <c r="F57" s="2"/>
    </row>
    <row r="58" spans="2:6" x14ac:dyDescent="0.2">
      <c r="B58" s="2"/>
      <c r="E58" s="16"/>
      <c r="F58" s="2"/>
    </row>
    <row r="59" spans="2:6" x14ac:dyDescent="0.2">
      <c r="B59" s="2"/>
      <c r="E59" s="16"/>
      <c r="F59" s="2"/>
    </row>
    <row r="60" spans="2:6" x14ac:dyDescent="0.2">
      <c r="B60" s="2"/>
      <c r="E60" s="16"/>
      <c r="F60" s="2"/>
    </row>
    <row r="61" spans="2:6" x14ac:dyDescent="0.2">
      <c r="B61" s="2"/>
      <c r="E61" s="16"/>
      <c r="F61" s="2"/>
    </row>
    <row r="62" spans="2:6" x14ac:dyDescent="0.2">
      <c r="B62" s="2"/>
      <c r="E62" s="16"/>
      <c r="F62" s="2"/>
    </row>
    <row r="63" spans="2:6" x14ac:dyDescent="0.2">
      <c r="B63" s="2"/>
      <c r="E63" s="16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  <row r="846" spans="2:6" x14ac:dyDescent="0.2">
      <c r="B846" s="2"/>
      <c r="F846" s="2"/>
    </row>
    <row r="847" spans="2:6" x14ac:dyDescent="0.2">
      <c r="B847" s="2"/>
      <c r="F847" s="2"/>
    </row>
    <row r="848" spans="2:6" x14ac:dyDescent="0.2">
      <c r="B848" s="2"/>
      <c r="F848" s="2"/>
    </row>
    <row r="849" spans="2:6" x14ac:dyDescent="0.2">
      <c r="B849" s="2"/>
      <c r="F849" s="2"/>
    </row>
    <row r="850" spans="2:6" x14ac:dyDescent="0.2">
      <c r="B850" s="2"/>
      <c r="F850" s="2"/>
    </row>
    <row r="851" spans="2:6" x14ac:dyDescent="0.2">
      <c r="B851" s="2"/>
      <c r="F851" s="2"/>
    </row>
  </sheetData>
  <phoneticPr fontId="7" type="noConversion"/>
  <hyperlinks>
    <hyperlink ref="P11" r:id="rId1" display="http://var.astro.cz/oejv/issues/oejv0094.pdf" xr:uid="{00000000-0004-0000-0100-000000000000}"/>
    <hyperlink ref="P12" r:id="rId2" display="http://www.bav-astro.de/sfs/BAVM_link.php?BAVMnr=209" xr:uid="{00000000-0004-0000-0100-000001000000}"/>
    <hyperlink ref="P13" r:id="rId3" display="http://www.konkoly.hu/cgi-bin/IBVS?5894" xr:uid="{00000000-0004-0000-0100-000002000000}"/>
    <hyperlink ref="P14" r:id="rId4" display="http://www.bav-astro.de/sfs/BAVM_link.php?BAVMnr=214" xr:uid="{00000000-0004-0000-0100-000003000000}"/>
    <hyperlink ref="P21" r:id="rId5" display="http://var.astro.cz/oejv/issues/oejv0107.pdf" xr:uid="{00000000-0004-0000-0100-000004000000}"/>
    <hyperlink ref="P22" r:id="rId6" display="http://vsolj.cetus-net.org/vsoljno51.pdf" xr:uid="{00000000-0004-0000-0100-000005000000}"/>
    <hyperlink ref="P23" r:id="rId7" display="http://vsolj.cetus-net.org/vsoljno51.pdf" xr:uid="{00000000-0004-0000-0100-000006000000}"/>
    <hyperlink ref="P24" r:id="rId8" display="http://vsolj.cetus-net.org/vsoljno51.pdf" xr:uid="{00000000-0004-0000-0100-000007000000}"/>
    <hyperlink ref="P25" r:id="rId9" display="http://vsolj.cetus-net.org/vsoljno51.pdf" xr:uid="{00000000-0004-0000-0100-000008000000}"/>
    <hyperlink ref="P15" r:id="rId10" display="http://www.konkoly.hu/cgi-bin/IBVS?5945" xr:uid="{00000000-0004-0000-0100-000009000000}"/>
    <hyperlink ref="P16" r:id="rId11" display="http://www.konkoly.hu/cgi-bin/IBVS?5992" xr:uid="{00000000-0004-0000-0100-00000A000000}"/>
    <hyperlink ref="P26" r:id="rId12" display="http://var.astro.cz/oejv/issues/oejv0137.pdf" xr:uid="{00000000-0004-0000-0100-00000B000000}"/>
    <hyperlink ref="P17" r:id="rId13" display="http://www.konkoly.hu/cgi-bin/IBVS?5992" xr:uid="{00000000-0004-0000-0100-00000C000000}"/>
    <hyperlink ref="P18" r:id="rId14" display="http://www.konkoly.hu/cgi-bin/IBVS?6050" xr:uid="{00000000-0004-0000-0100-00000D000000}"/>
    <hyperlink ref="P19" r:id="rId15" display="http://www.konkoly.hu/cgi-bin/IBVS?6029" xr:uid="{00000000-0004-0000-0100-00000E000000}"/>
    <hyperlink ref="P20" r:id="rId16" display="http://www.konkoly.hu/cgi-bin/IBVS?6029" xr:uid="{00000000-0004-0000-0100-00000F000000}"/>
    <hyperlink ref="P27" r:id="rId17" display="http://vsolj.cetus-net.org/vsoljno56.pdf" xr:uid="{00000000-0004-0000-0100-000010000000}"/>
    <hyperlink ref="P28" r:id="rId18" display="http://vsolj.cetus-net.org/vsoljno56.pdf" xr:uid="{00000000-0004-0000-01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2023-12-30T05:38:43Z</dcterms:modified>
</cp:coreProperties>
</file>