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9EF5512-F9E7-41CD-A9DE-FC69B3708A3A}" xr6:coauthVersionLast="47" xr6:coauthVersionMax="47" xr10:uidLastSave="{00000000-0000-0000-0000-000000000000}"/>
  <bookViews>
    <workbookView xWindow="14415" yWindow="0" windowWidth="13995" windowHeight="14310" xr2:uid="{00000000-000D-0000-FFFF-FFFF00000000}"/>
  </bookViews>
  <sheets>
    <sheet name="Active" sheetId="1" r:id="rId1"/>
    <sheet name="A (old)" sheetId="2" r:id="rId2"/>
  </sheets>
  <calcPr calcId="181029"/>
</workbook>
</file>

<file path=xl/calcChain.xml><?xml version="1.0" encoding="utf-8"?>
<calcChain xmlns="http://schemas.openxmlformats.org/spreadsheetml/2006/main">
  <c r="E31" i="1" l="1"/>
  <c r="F31" i="1" s="1"/>
  <c r="G31" i="1" s="1"/>
  <c r="K31" i="1" s="1"/>
  <c r="Q31" i="1"/>
  <c r="Q29" i="1"/>
  <c r="Q30" i="1"/>
  <c r="Q28" i="1"/>
  <c r="D9" i="1"/>
  <c r="C9" i="1"/>
  <c r="C8" i="1"/>
  <c r="E29" i="1" s="1"/>
  <c r="F29" i="1" s="1"/>
  <c r="G29" i="1" s="1"/>
  <c r="K29" i="1" s="1"/>
  <c r="E21" i="1"/>
  <c r="F21" i="1" s="1"/>
  <c r="G21" i="1" s="1"/>
  <c r="K21" i="1" s="1"/>
  <c r="E22" i="1"/>
  <c r="F22" i="1"/>
  <c r="G22" i="1" s="1"/>
  <c r="K22" i="1" s="1"/>
  <c r="E23" i="1"/>
  <c r="F23" i="1" s="1"/>
  <c r="G23" i="1" s="1"/>
  <c r="K23" i="1" s="1"/>
  <c r="E24" i="1"/>
  <c r="F24" i="1" s="1"/>
  <c r="G24" i="1" s="1"/>
  <c r="K24" i="1" s="1"/>
  <c r="E26" i="1"/>
  <c r="F26" i="1" s="1"/>
  <c r="U26" i="1" s="1"/>
  <c r="Q27" i="1"/>
  <c r="F11" i="2"/>
  <c r="G11" i="2"/>
  <c r="E14" i="2"/>
  <c r="E15" i="2" s="1"/>
  <c r="C17" i="2"/>
  <c r="E21" i="2"/>
  <c r="F21" i="2"/>
  <c r="G21" i="2"/>
  <c r="H21" i="2"/>
  <c r="Q21" i="2"/>
  <c r="E22" i="2"/>
  <c r="F22" i="2"/>
  <c r="G22" i="2"/>
  <c r="H22" i="2"/>
  <c r="Q22" i="2"/>
  <c r="E23" i="2"/>
  <c r="F23" i="2"/>
  <c r="G23" i="2"/>
  <c r="H23" i="2"/>
  <c r="Q23" i="2"/>
  <c r="E24" i="2"/>
  <c r="F24" i="2"/>
  <c r="G24" i="2"/>
  <c r="H24" i="2"/>
  <c r="Q24" i="2"/>
  <c r="E25" i="2"/>
  <c r="F25" i="2"/>
  <c r="G25" i="2"/>
  <c r="H25" i="2"/>
  <c r="Q25" i="2"/>
  <c r="E26" i="2"/>
  <c r="F26" i="2"/>
  <c r="G26" i="2"/>
  <c r="H26" i="2"/>
  <c r="Q26" i="2"/>
  <c r="Q21" i="1"/>
  <c r="Q22" i="1"/>
  <c r="Q23" i="1"/>
  <c r="Q24" i="1"/>
  <c r="Q25" i="1"/>
  <c r="Q26" i="1"/>
  <c r="F16" i="1"/>
  <c r="F17" i="1" s="1"/>
  <c r="C17" i="1"/>
  <c r="E25" i="1"/>
  <c r="F25" i="1" s="1"/>
  <c r="G25" i="1" s="1"/>
  <c r="K25" i="1" s="1"/>
  <c r="C11" i="2"/>
  <c r="E27" i="1" l="1"/>
  <c r="F27" i="1" s="1"/>
  <c r="G27" i="1" s="1"/>
  <c r="E28" i="1"/>
  <c r="F28" i="1" s="1"/>
  <c r="G28" i="1" s="1"/>
  <c r="K28" i="1" s="1"/>
  <c r="E30" i="1"/>
  <c r="F30" i="1" s="1"/>
  <c r="G30" i="1" s="1"/>
  <c r="K30" i="1" s="1"/>
  <c r="C11" i="1"/>
  <c r="C12" i="1"/>
  <c r="C12" i="2"/>
  <c r="O31" i="1" l="1"/>
  <c r="C16" i="1"/>
  <c r="D18" i="1" s="1"/>
  <c r="O27" i="1"/>
  <c r="O21" i="1"/>
  <c r="O23" i="1"/>
  <c r="O30" i="1"/>
  <c r="O26" i="1"/>
  <c r="O29" i="1"/>
  <c r="O24" i="1"/>
  <c r="C15" i="1"/>
  <c r="C18" i="1" s="1"/>
  <c r="O28" i="1"/>
  <c r="O25" i="1"/>
  <c r="O22" i="1"/>
  <c r="K27" i="1"/>
  <c r="C16" i="2"/>
  <c r="D18" i="2" s="1"/>
  <c r="O24" i="2"/>
  <c r="O23" i="2"/>
  <c r="C15" i="2"/>
  <c r="O22" i="2"/>
  <c r="O21" i="2"/>
  <c r="O25" i="2"/>
  <c r="O26" i="2"/>
  <c r="F18" i="1" l="1"/>
  <c r="F19" i="1" s="1"/>
  <c r="C18" i="2"/>
  <c r="E16" i="2"/>
  <c r="E17" i="2" s="1"/>
</calcChain>
</file>

<file path=xl/sharedStrings.xml><?xml version="1.0" encoding="utf-8"?>
<sst xmlns="http://schemas.openxmlformats.org/spreadsheetml/2006/main" count="131" uniqueCount="66">
  <si>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</si>
  <si>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</si>
  <si>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</si>
  <si>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</si>
  <si>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</si>
  <si>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</si>
  <si>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</si>
  <si>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</si>
  <si>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</si>
  <si>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</si>
  <si>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</si>
  <si>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</si>
  <si>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</si>
  <si>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</si>
  <si>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</si>
  <si>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</si>
  <si>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</si>
  <si>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</si>
  <si>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</si>
  <si>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</si>
  <si>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</si>
  <si>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</si>
  <si>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</si>
  <si>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</si>
  <si>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</si>
  <si>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</si>
  <si>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</si>
  <si>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</si>
  <si>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</si>
  <si>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</si>
  <si>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</si>
  <si>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</si>
  <si>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</si>
  <si>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</si>
  <si>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Next ToM</t>
  </si>
  <si>
    <t>Local time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</si>
  <si>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</si>
  <si>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</si>
  <si>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</si>
  <si>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</si>
  <si>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</si>
  <si>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</si>
  <si>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G1434-1034</t>
  </si>
  <si>
    <t>IBVS 5945</t>
  </si>
  <si>
    <t>I</t>
  </si>
  <si>
    <t>IBVS 5992</t>
  </si>
  <si>
    <t>IBVS 6029</t>
  </si>
  <si>
    <t>IBVS 6063</t>
  </si>
  <si>
    <t>EA?</t>
  </si>
  <si>
    <t>ToMcat</t>
  </si>
  <si>
    <t>GSC 1434-1034</t>
  </si>
  <si>
    <t>BAD?</t>
  </si>
  <si>
    <t>pg</t>
  </si>
  <si>
    <t>vis</t>
  </si>
  <si>
    <t>PE</t>
  </si>
  <si>
    <t>CCD</t>
  </si>
  <si>
    <t>s5</t>
  </si>
  <si>
    <t>s6</t>
  </si>
  <si>
    <t>s7</t>
  </si>
  <si>
    <t>MW Leo / GSC 1434-1034</t>
  </si>
  <si>
    <t>IBVS 6262</t>
  </si>
  <si>
    <t>RHN 2020</t>
  </si>
  <si>
    <t>JBAV, 60</t>
  </si>
  <si>
    <t>JBAV, 63</t>
  </si>
  <si>
    <t>II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</si>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</sst>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1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8">
    <xf numFmtId="0" fontId="0" fillId="0" borderId="0">
      <alignment vertical="top"/>
    </xf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1" applyNumberFormat="0" applyFont="0" applyFill="0" applyAlignment="0" applyProtection="0"/>
  </cellStyleXfs>
  <cellXfs count="4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8" fillId="0" borderId="0" xfId="0" applyFont="1" applyAlignment="1">
      <alignment horizontal="right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vertical="center" wrapText="1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165" fontId="18" fillId="0" borderId="0" xfId="0" applyNumberFormat="1" applyFont="1" applyAlignment="1" applyProtection="1">
      <alignment vertical="center" wrapText="1"/>
      <protection locked="0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1434-1034 - O-C Diagr.</a:t>
            </a:r>
          </a:p>
        </c:rich>
      </c:tx>
      <c:layout>
        <c:manualLayout>
          <c:xMode val="edge"/>
          <c:yMode val="edge"/>
          <c:x val="0.3532684283727399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959666203059"/>
          <c:y val="0.14035127795846455"/>
          <c:w val="0.8261474269819193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Active!$D$21:$D$237</c:f>
                <c:numCache>
                  <c:formatCode>General</c:formatCode>
                  <c:ptCount val="217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4.0000000000000002E-4</c:v>
                  </c:pt>
                  <c:pt idx="9">
                    <c:v>2.0000000000000001E-4</c:v>
                  </c:pt>
                </c:numCache>
              </c:numRef>
            </c:plus>
            <c:minus>
              <c:numRef>
                <c:f>Active!$D$21:$D$237</c:f>
                <c:numCache>
                  <c:formatCode>General</c:formatCode>
                  <c:ptCount val="217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4.0000000000000002E-4</c:v>
                  </c:pt>
                  <c:pt idx="9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347</c:v>
                </c:pt>
                <c:pt idx="2">
                  <c:v>439</c:v>
                </c:pt>
                <c:pt idx="3">
                  <c:v>800</c:v>
                </c:pt>
                <c:pt idx="4">
                  <c:v>839</c:v>
                </c:pt>
                <c:pt idx="5">
                  <c:v>1177</c:v>
                </c:pt>
                <c:pt idx="6">
                  <c:v>3668</c:v>
                </c:pt>
                <c:pt idx="7">
                  <c:v>4198</c:v>
                </c:pt>
                <c:pt idx="8">
                  <c:v>4599</c:v>
                </c:pt>
                <c:pt idx="9">
                  <c:v>4870</c:v>
                </c:pt>
                <c:pt idx="10">
                  <c:v>5056</c:v>
                </c:pt>
              </c:numCache>
            </c:numRef>
          </c:xVal>
          <c:yVal>
            <c:numRef>
              <c:f>Active!$H$21:$H$997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FF-4827-883B-1AD89B46EFE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4.0000000000000002E-4</c:v>
                  </c:pt>
                  <c:pt idx="9">
                    <c:v>2.0000000000000001E-4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4.0000000000000002E-4</c:v>
                  </c:pt>
                  <c:pt idx="9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347</c:v>
                </c:pt>
                <c:pt idx="2">
                  <c:v>439</c:v>
                </c:pt>
                <c:pt idx="3">
                  <c:v>800</c:v>
                </c:pt>
                <c:pt idx="4">
                  <c:v>839</c:v>
                </c:pt>
                <c:pt idx="5">
                  <c:v>1177</c:v>
                </c:pt>
                <c:pt idx="6">
                  <c:v>3668</c:v>
                </c:pt>
                <c:pt idx="7">
                  <c:v>4198</c:v>
                </c:pt>
                <c:pt idx="8">
                  <c:v>4599</c:v>
                </c:pt>
                <c:pt idx="9">
                  <c:v>4870</c:v>
                </c:pt>
                <c:pt idx="10">
                  <c:v>5056</c:v>
                </c:pt>
              </c:numCache>
            </c:numRef>
          </c:xVal>
          <c:yVal>
            <c:numRef>
              <c:f>Active!$I$21:$I$997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FF-4827-883B-1AD89B46EFE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4.0000000000000002E-4</c:v>
                  </c:pt>
                  <c:pt idx="9">
                    <c:v>2.0000000000000001E-4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4.0000000000000002E-4</c:v>
                  </c:pt>
                  <c:pt idx="9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347</c:v>
                </c:pt>
                <c:pt idx="2">
                  <c:v>439</c:v>
                </c:pt>
                <c:pt idx="3">
                  <c:v>800</c:v>
                </c:pt>
                <c:pt idx="4">
                  <c:v>839</c:v>
                </c:pt>
                <c:pt idx="5">
                  <c:v>1177</c:v>
                </c:pt>
                <c:pt idx="6">
                  <c:v>3668</c:v>
                </c:pt>
                <c:pt idx="7">
                  <c:v>4198</c:v>
                </c:pt>
                <c:pt idx="8">
                  <c:v>4599</c:v>
                </c:pt>
                <c:pt idx="9">
                  <c:v>4870</c:v>
                </c:pt>
                <c:pt idx="10">
                  <c:v>5056</c:v>
                </c:pt>
              </c:numCache>
            </c:numRef>
          </c:xVal>
          <c:yVal>
            <c:numRef>
              <c:f>Active!$J$21:$J$997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FF-4827-883B-1AD89B46EFE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4.0000000000000002E-4</c:v>
                  </c:pt>
                  <c:pt idx="9">
                    <c:v>2.0000000000000001E-4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4.0000000000000002E-4</c:v>
                  </c:pt>
                  <c:pt idx="9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347</c:v>
                </c:pt>
                <c:pt idx="2">
                  <c:v>439</c:v>
                </c:pt>
                <c:pt idx="3">
                  <c:v>800</c:v>
                </c:pt>
                <c:pt idx="4">
                  <c:v>839</c:v>
                </c:pt>
                <c:pt idx="5">
                  <c:v>1177</c:v>
                </c:pt>
                <c:pt idx="6">
                  <c:v>3668</c:v>
                </c:pt>
                <c:pt idx="7">
                  <c:v>4198</c:v>
                </c:pt>
                <c:pt idx="8">
                  <c:v>4599</c:v>
                </c:pt>
                <c:pt idx="9">
                  <c:v>4870</c:v>
                </c:pt>
                <c:pt idx="10">
                  <c:v>5056</c:v>
                </c:pt>
              </c:numCache>
            </c:numRef>
          </c:xVal>
          <c:yVal>
            <c:numRef>
              <c:f>Active!$K$21:$K$997</c:f>
              <c:numCache>
                <c:formatCode>General</c:formatCode>
                <c:ptCount val="977"/>
                <c:pt idx="0">
                  <c:v>0</c:v>
                </c:pt>
                <c:pt idx="1">
                  <c:v>-1.0894999941228889E-3</c:v>
                </c:pt>
                <c:pt idx="2">
                  <c:v>-1.5114999987417832E-3</c:v>
                </c:pt>
                <c:pt idx="3">
                  <c:v>-3.7999999985913746E-3</c:v>
                </c:pt>
                <c:pt idx="4">
                  <c:v>-8.1149999459739774E-4</c:v>
                </c:pt>
                <c:pt idx="6">
                  <c:v>-1.103799999691546E-2</c:v>
                </c:pt>
                <c:pt idx="7">
                  <c:v>-1.3342999998712912E-2</c:v>
                </c:pt>
                <c:pt idx="8">
                  <c:v>-1.5071499998157378E-2</c:v>
                </c:pt>
                <c:pt idx="9">
                  <c:v>-1.209499999822583E-2</c:v>
                </c:pt>
                <c:pt idx="10">
                  <c:v>-1.6795999952591956E-2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FF-4827-883B-1AD89B46EFE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4.0000000000000002E-4</c:v>
                  </c:pt>
                  <c:pt idx="9">
                    <c:v>2.0000000000000001E-4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4.0000000000000002E-4</c:v>
                  </c:pt>
                  <c:pt idx="9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347</c:v>
                </c:pt>
                <c:pt idx="2">
                  <c:v>439</c:v>
                </c:pt>
                <c:pt idx="3">
                  <c:v>800</c:v>
                </c:pt>
                <c:pt idx="4">
                  <c:v>839</c:v>
                </c:pt>
                <c:pt idx="5">
                  <c:v>1177</c:v>
                </c:pt>
                <c:pt idx="6">
                  <c:v>3668</c:v>
                </c:pt>
                <c:pt idx="7">
                  <c:v>4198</c:v>
                </c:pt>
                <c:pt idx="8">
                  <c:v>4599</c:v>
                </c:pt>
                <c:pt idx="9">
                  <c:v>4870</c:v>
                </c:pt>
                <c:pt idx="10">
                  <c:v>5056</c:v>
                </c:pt>
              </c:numCache>
            </c:numRef>
          </c:xVal>
          <c:yVal>
            <c:numRef>
              <c:f>Active!$L$21:$L$997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5FF-4827-883B-1AD89B46EFE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4.0000000000000002E-4</c:v>
                  </c:pt>
                  <c:pt idx="9">
                    <c:v>2.0000000000000001E-4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4.0000000000000002E-4</c:v>
                  </c:pt>
                  <c:pt idx="9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347</c:v>
                </c:pt>
                <c:pt idx="2">
                  <c:v>439</c:v>
                </c:pt>
                <c:pt idx="3">
                  <c:v>800</c:v>
                </c:pt>
                <c:pt idx="4">
                  <c:v>839</c:v>
                </c:pt>
                <c:pt idx="5">
                  <c:v>1177</c:v>
                </c:pt>
                <c:pt idx="6">
                  <c:v>3668</c:v>
                </c:pt>
                <c:pt idx="7">
                  <c:v>4198</c:v>
                </c:pt>
                <c:pt idx="8">
                  <c:v>4599</c:v>
                </c:pt>
                <c:pt idx="9">
                  <c:v>4870</c:v>
                </c:pt>
                <c:pt idx="10">
                  <c:v>5056</c:v>
                </c:pt>
              </c:numCache>
            </c:numRef>
          </c:xVal>
          <c:yVal>
            <c:numRef>
              <c:f>Active!$M$21:$M$997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5FF-4827-883B-1AD89B46EFE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4.0000000000000002E-4</c:v>
                  </c:pt>
                  <c:pt idx="9">
                    <c:v>2.0000000000000001E-4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4.0000000000000002E-4</c:v>
                  </c:pt>
                  <c:pt idx="9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347</c:v>
                </c:pt>
                <c:pt idx="2">
                  <c:v>439</c:v>
                </c:pt>
                <c:pt idx="3">
                  <c:v>800</c:v>
                </c:pt>
                <c:pt idx="4">
                  <c:v>839</c:v>
                </c:pt>
                <c:pt idx="5">
                  <c:v>1177</c:v>
                </c:pt>
                <c:pt idx="6">
                  <c:v>3668</c:v>
                </c:pt>
                <c:pt idx="7">
                  <c:v>4198</c:v>
                </c:pt>
                <c:pt idx="8">
                  <c:v>4599</c:v>
                </c:pt>
                <c:pt idx="9">
                  <c:v>4870</c:v>
                </c:pt>
                <c:pt idx="10">
                  <c:v>5056</c:v>
                </c:pt>
              </c:numCache>
            </c:numRef>
          </c:xVal>
          <c:yVal>
            <c:numRef>
              <c:f>Active!$N$21:$N$997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5FF-4827-883B-1AD89B46EFE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347</c:v>
                </c:pt>
                <c:pt idx="2">
                  <c:v>439</c:v>
                </c:pt>
                <c:pt idx="3">
                  <c:v>800</c:v>
                </c:pt>
                <c:pt idx="4">
                  <c:v>839</c:v>
                </c:pt>
                <c:pt idx="5">
                  <c:v>1177</c:v>
                </c:pt>
                <c:pt idx="6">
                  <c:v>3668</c:v>
                </c:pt>
                <c:pt idx="7">
                  <c:v>4198</c:v>
                </c:pt>
                <c:pt idx="8">
                  <c:v>4599</c:v>
                </c:pt>
                <c:pt idx="9">
                  <c:v>4870</c:v>
                </c:pt>
                <c:pt idx="10">
                  <c:v>5056</c:v>
                </c:pt>
              </c:numCache>
            </c:numRef>
          </c:xVal>
          <c:yVal>
            <c:numRef>
              <c:f>Active!$O$21:$O$997</c:f>
              <c:numCache>
                <c:formatCode>General</c:formatCode>
                <c:ptCount val="977"/>
                <c:pt idx="0">
                  <c:v>1.7824536018142684E-5</c:v>
                </c:pt>
                <c:pt idx="1">
                  <c:v>-1.0411609215866659E-3</c:v>
                </c:pt>
                <c:pt idx="2">
                  <c:v>-1.3219294002599867E-3</c:v>
                </c:pt>
                <c:pt idx="3">
                  <c:v>-2.4236404959237789E-3</c:v>
                </c:pt>
                <c:pt idx="4">
                  <c:v>-2.5426619162309478E-3</c:v>
                </c:pt>
                <c:pt idx="5">
                  <c:v>-3.5741808922264097E-3</c:v>
                </c:pt>
                <c:pt idx="6">
                  <c:v>-1.1176292635435568E-2</c:v>
                </c:pt>
                <c:pt idx="7">
                  <c:v>-1.2793763219097091E-2</c:v>
                </c:pt>
                <c:pt idx="8">
                  <c:v>-1.401754756635798E-2</c:v>
                </c:pt>
                <c:pt idx="9">
                  <c:v>-1.4844593845928305E-2</c:v>
                </c:pt>
                <c:pt idx="10">
                  <c:v>-1.5412234465854801E-2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5FF-4827-883B-1AD89B46EFE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347</c:v>
                </c:pt>
                <c:pt idx="2">
                  <c:v>439</c:v>
                </c:pt>
                <c:pt idx="3">
                  <c:v>800</c:v>
                </c:pt>
                <c:pt idx="4">
                  <c:v>839</c:v>
                </c:pt>
                <c:pt idx="5">
                  <c:v>1177</c:v>
                </c:pt>
                <c:pt idx="6">
                  <c:v>3668</c:v>
                </c:pt>
                <c:pt idx="7">
                  <c:v>4198</c:v>
                </c:pt>
                <c:pt idx="8">
                  <c:v>4599</c:v>
                </c:pt>
                <c:pt idx="9">
                  <c:v>4870</c:v>
                </c:pt>
                <c:pt idx="10">
                  <c:v>5056</c:v>
                </c:pt>
              </c:numCache>
            </c:numRef>
          </c:xVal>
          <c:yVal>
            <c:numRef>
              <c:f>Active!$U$21:$U$997</c:f>
              <c:numCache>
                <c:formatCode>General</c:formatCode>
                <c:ptCount val="977"/>
                <c:pt idx="5">
                  <c:v>1.4555000016116537E-3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5FF-4827-883B-1AD89B46E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475128"/>
        <c:axId val="1"/>
      </c:scatterChart>
      <c:valAx>
        <c:axId val="867475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129346314325454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78720445062586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4751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756606397774686"/>
          <c:y val="0.92397937099967764"/>
          <c:w val="0.6522948539638386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1434-1034 - O-C Diagr.</a:t>
            </a:r>
          </a:p>
        </c:rich>
      </c:tx>
      <c:layout>
        <c:manualLayout>
          <c:xMode val="edge"/>
          <c:yMode val="edge"/>
          <c:x val="0.34135338345864663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76246334310852"/>
          <c:w val="0.81954887218045114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(old)'!$D$21:$D$238</c:f>
                <c:numCache>
                  <c:formatCode>General</c:formatCode>
                  <c:ptCount val="218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</c:numCache>
              </c:numRef>
            </c:plus>
            <c:minus>
              <c:numRef>
                <c:f>'A (old)'!$D$21:$D$238</c:f>
                <c:numCache>
                  <c:formatCode>General</c:formatCode>
                  <c:ptCount val="218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173.5</c:v>
                </c:pt>
                <c:pt idx="2">
                  <c:v>219.5</c:v>
                </c:pt>
                <c:pt idx="3">
                  <c:v>400</c:v>
                </c:pt>
                <c:pt idx="4">
                  <c:v>419.5</c:v>
                </c:pt>
                <c:pt idx="5">
                  <c:v>588.5</c:v>
                </c:pt>
              </c:numCache>
            </c:numRef>
          </c:xVal>
          <c:yVal>
            <c:numRef>
              <c:f>'A (old)'!$H$21:$H$998</c:f>
              <c:numCache>
                <c:formatCode>General</c:formatCode>
                <c:ptCount val="978"/>
                <c:pt idx="0">
                  <c:v>0</c:v>
                </c:pt>
                <c:pt idx="1">
                  <c:v>-1.0894999941228889E-3</c:v>
                </c:pt>
                <c:pt idx="2">
                  <c:v>-1.5114999987417832E-3</c:v>
                </c:pt>
                <c:pt idx="3">
                  <c:v>-3.7999999985913746E-3</c:v>
                </c:pt>
                <c:pt idx="4">
                  <c:v>-8.1149999459739774E-4</c:v>
                </c:pt>
                <c:pt idx="5">
                  <c:v>1.4555000016116537E-3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CA-48B6-9013-287C6F3DACA1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</c:numCache>
              </c:numRef>
            </c:plus>
            <c:minus>
              <c:numRef>
                <c:f>'A (old)'!$D$21:$D$998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173.5</c:v>
                </c:pt>
                <c:pt idx="2">
                  <c:v>219.5</c:v>
                </c:pt>
                <c:pt idx="3">
                  <c:v>400</c:v>
                </c:pt>
                <c:pt idx="4">
                  <c:v>419.5</c:v>
                </c:pt>
                <c:pt idx="5">
                  <c:v>588.5</c:v>
                </c:pt>
              </c:numCache>
            </c:numRef>
          </c:xVal>
          <c:yVal>
            <c:numRef>
              <c:f>'A (old)'!$I$21:$I$998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CA-48B6-9013-287C6F3DACA1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</c:numCache>
              </c:numRef>
            </c:plus>
            <c:minus>
              <c:numRef>
                <c:f>'A (old)'!$D$21:$D$998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173.5</c:v>
                </c:pt>
                <c:pt idx="2">
                  <c:v>219.5</c:v>
                </c:pt>
                <c:pt idx="3">
                  <c:v>400</c:v>
                </c:pt>
                <c:pt idx="4">
                  <c:v>419.5</c:v>
                </c:pt>
                <c:pt idx="5">
                  <c:v>588.5</c:v>
                </c:pt>
              </c:numCache>
            </c:numRef>
          </c:xVal>
          <c:yVal>
            <c:numRef>
              <c:f>'A (old)'!$J$21:$J$998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CA-48B6-9013-287C6F3DACA1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</c:numCache>
              </c:numRef>
            </c:plus>
            <c:minus>
              <c:numRef>
                <c:f>'A (old)'!$D$21:$D$998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173.5</c:v>
                </c:pt>
                <c:pt idx="2">
                  <c:v>219.5</c:v>
                </c:pt>
                <c:pt idx="3">
                  <c:v>400</c:v>
                </c:pt>
                <c:pt idx="4">
                  <c:v>419.5</c:v>
                </c:pt>
                <c:pt idx="5">
                  <c:v>588.5</c:v>
                </c:pt>
              </c:numCache>
            </c:numRef>
          </c:xVal>
          <c:yVal>
            <c:numRef>
              <c:f>'A (old)'!$K$21:$K$998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CA-48B6-9013-287C6F3DACA1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</c:numCache>
              </c:numRef>
            </c:plus>
            <c:minus>
              <c:numRef>
                <c:f>'A (old)'!$D$21:$D$998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173.5</c:v>
                </c:pt>
                <c:pt idx="2">
                  <c:v>219.5</c:v>
                </c:pt>
                <c:pt idx="3">
                  <c:v>400</c:v>
                </c:pt>
                <c:pt idx="4">
                  <c:v>419.5</c:v>
                </c:pt>
                <c:pt idx="5">
                  <c:v>588.5</c:v>
                </c:pt>
              </c:numCache>
            </c:numRef>
          </c:xVal>
          <c:yVal>
            <c:numRef>
              <c:f>'A (old)'!$L$21:$L$998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CA-48B6-9013-287C6F3DACA1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</c:numCache>
              </c:numRef>
            </c:plus>
            <c:minus>
              <c:numRef>
                <c:f>'A (old)'!$D$21:$D$998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173.5</c:v>
                </c:pt>
                <c:pt idx="2">
                  <c:v>219.5</c:v>
                </c:pt>
                <c:pt idx="3">
                  <c:v>400</c:v>
                </c:pt>
                <c:pt idx="4">
                  <c:v>419.5</c:v>
                </c:pt>
                <c:pt idx="5">
                  <c:v>588.5</c:v>
                </c:pt>
              </c:numCache>
            </c:numRef>
          </c:xVal>
          <c:yVal>
            <c:numRef>
              <c:f>'A (old)'!$M$21:$M$998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4CA-48B6-9013-287C6F3DACA1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</c:numCache>
              </c:numRef>
            </c:plus>
            <c:minus>
              <c:numRef>
                <c:f>'A (old)'!$D$21:$D$998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173.5</c:v>
                </c:pt>
                <c:pt idx="2">
                  <c:v>219.5</c:v>
                </c:pt>
                <c:pt idx="3">
                  <c:v>400</c:v>
                </c:pt>
                <c:pt idx="4">
                  <c:v>419.5</c:v>
                </c:pt>
                <c:pt idx="5">
                  <c:v>588.5</c:v>
                </c:pt>
              </c:numCache>
            </c:numRef>
          </c:xVal>
          <c:yVal>
            <c:numRef>
              <c:f>'A (old)'!$N$21:$N$998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4CA-48B6-9013-287C6F3DACA1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173.5</c:v>
                </c:pt>
                <c:pt idx="2">
                  <c:v>219.5</c:v>
                </c:pt>
                <c:pt idx="3">
                  <c:v>400</c:v>
                </c:pt>
                <c:pt idx="4">
                  <c:v>419.5</c:v>
                </c:pt>
                <c:pt idx="5">
                  <c:v>588.5</c:v>
                </c:pt>
              </c:numCache>
            </c:numRef>
          </c:xVal>
          <c:yVal>
            <c:numRef>
              <c:f>'A (old)'!$O$21:$O$998</c:f>
              <c:numCache>
                <c:formatCode>General</c:formatCode>
                <c:ptCount val="978"/>
                <c:pt idx="0">
                  <c:v>-1.2370167385029962E-3</c:v>
                </c:pt>
                <c:pt idx="1">
                  <c:v>-1.0766086721615369E-3</c:v>
                </c:pt>
                <c:pt idx="2">
                  <c:v>-1.0340797323822449E-3</c:v>
                </c:pt>
                <c:pt idx="3">
                  <c:v>-8.6719987085698042E-4</c:v>
                </c:pt>
                <c:pt idx="4">
                  <c:v>-8.4917129855923714E-4</c:v>
                </c:pt>
                <c:pt idx="5">
                  <c:v>-6.9292367197879544E-4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4CA-48B6-9013-287C6F3DACA1}"/>
            </c:ext>
          </c:extLst>
        </c:ser>
        <c:ser>
          <c:idx val="8"/>
          <c:order val="8"/>
          <c:tx>
            <c:strRef>
              <c:f>'A (old)'!$R$20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173.5</c:v>
                </c:pt>
                <c:pt idx="2">
                  <c:v>219.5</c:v>
                </c:pt>
                <c:pt idx="3">
                  <c:v>400</c:v>
                </c:pt>
                <c:pt idx="4">
                  <c:v>419.5</c:v>
                </c:pt>
                <c:pt idx="5">
                  <c:v>588.5</c:v>
                </c:pt>
              </c:numCache>
            </c:numRef>
          </c:xVal>
          <c:yVal>
            <c:numRef>
              <c:f>'A (old)'!$R$21:$R$998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4CA-48B6-9013-287C6F3DA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471848"/>
        <c:axId val="1"/>
      </c:scatterChart>
      <c:valAx>
        <c:axId val="867471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233082706766921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4718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0902255639097744"/>
          <c:y val="0.92375366568914952"/>
          <c:w val="0.9458646616541353"/>
          <c:h val="0.982404692082111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18</xdr:col>
      <xdr:colOff>57150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E8483AB6-0C8E-2D1A-E889-18218DD10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0</xdr:rowOff>
    </xdr:from>
    <xdr:to>
      <xdr:col>16</xdr:col>
      <xdr:colOff>161925</xdr:colOff>
      <xdr:row>19</xdr:row>
      <xdr:rowOff>0</xdr:rowOff>
    </xdr:to>
    <xdr:graphicFrame macro="">
      <xdr:nvGraphicFramePr>
        <xdr:cNvPr id="50178" name="Chart 1">
          <a:extLst>
            <a:ext uri="{FF2B5EF4-FFF2-40B4-BE49-F238E27FC236}">
              <a16:creationId xmlns:a16="http://schemas.microsoft.com/office/drawing/2014/main" id="{B2191AC9-BAA0-8FD3-00F9-77D41B774A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U6938"/>
  <sheetViews>
    <sheetView tabSelected="1" workbookViewId="0">
      <selection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59</v>
      </c>
    </row>
    <row r="2" spans="1:6" x14ac:dyDescent="0.2">
      <c r="A2" t="s">
        <v>24</v>
      </c>
      <c r="B2" t="s">
        <v>48</v>
      </c>
      <c r="C2" s="3"/>
      <c r="D2" s="3"/>
      <c r="E2" s="31" t="s">
        <v>42</v>
      </c>
      <c r="F2" t="s">
        <v>42</v>
      </c>
    </row>
    <row r="3" spans="1:6" ht="13.5" thickBot="1" x14ac:dyDescent="0.25"/>
    <row r="4" spans="1:6" ht="14.25" thickTop="1" thickBot="1" x14ac:dyDescent="0.25">
      <c r="A4" s="5" t="s">
        <v>0</v>
      </c>
      <c r="C4" s="28" t="s">
        <v>41</v>
      </c>
      <c r="D4" s="29" t="s">
        <v>41</v>
      </c>
    </row>
    <row r="5" spans="1:6" ht="13.5" thickTop="1" x14ac:dyDescent="0.2">
      <c r="A5" s="9" t="s">
        <v>31</v>
      </c>
      <c r="B5" s="10"/>
      <c r="C5" s="11">
        <v>-9.5</v>
      </c>
      <c r="D5" s="10" t="s">
        <v>32</v>
      </c>
    </row>
    <row r="6" spans="1:6" x14ac:dyDescent="0.2">
      <c r="A6" s="5" t="s">
        <v>1</v>
      </c>
    </row>
    <row r="7" spans="1:6" x14ac:dyDescent="0.2">
      <c r="A7" t="s">
        <v>2</v>
      </c>
      <c r="C7" s="8">
        <v>55290.831599999998</v>
      </c>
      <c r="D7" s="30" t="s">
        <v>49</v>
      </c>
    </row>
    <row r="8" spans="1:6" x14ac:dyDescent="0.2">
      <c r="A8" t="s">
        <v>3</v>
      </c>
      <c r="C8" s="8">
        <f>E8/2</f>
        <v>0.86752850000000004</v>
      </c>
      <c r="D8" s="30" t="s">
        <v>49</v>
      </c>
      <c r="E8" s="8">
        <v>1.7350570000000001</v>
      </c>
    </row>
    <row r="9" spans="1:6" x14ac:dyDescent="0.2">
      <c r="A9" s="25" t="s">
        <v>36</v>
      </c>
      <c r="B9" s="26">
        <v>21</v>
      </c>
      <c r="C9" s="23" t="str">
        <f>"F"&amp;B9</f>
        <v>F21</v>
      </c>
      <c r="D9" s="24" t="str">
        <f>"G"&amp;B9</f>
        <v>G21</v>
      </c>
    </row>
    <row r="10" spans="1:6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6" x14ac:dyDescent="0.2">
      <c r="A11" s="10" t="s">
        <v>15</v>
      </c>
      <c r="B11" s="10"/>
      <c r="C11" s="22">
        <f ca="1">INTERCEPT(INDIRECT($D$9):G990,INDIRECT($C$9):F990)</f>
        <v>1.7824536018142684E-5</v>
      </c>
      <c r="D11" s="3"/>
      <c r="E11" s="10"/>
    </row>
    <row r="12" spans="1:6" x14ac:dyDescent="0.2">
      <c r="A12" s="10" t="s">
        <v>16</v>
      </c>
      <c r="B12" s="10"/>
      <c r="C12" s="22">
        <f ca="1">SLOPE(INDIRECT($D$9):G990,INDIRECT($C$9):F990)</f>
        <v>-3.051831289927402E-6</v>
      </c>
      <c r="D12" s="3"/>
      <c r="E12" s="10"/>
    </row>
    <row r="13" spans="1:6" x14ac:dyDescent="0.2">
      <c r="A13" s="10" t="s">
        <v>19</v>
      </c>
      <c r="B13" s="10"/>
      <c r="C13" s="3" t="s">
        <v>13</v>
      </c>
    </row>
    <row r="14" spans="1:6" x14ac:dyDescent="0.2">
      <c r="A14" s="10"/>
      <c r="B14" s="10"/>
      <c r="C14" s="10"/>
    </row>
    <row r="15" spans="1:6" x14ac:dyDescent="0.2">
      <c r="A15" s="12" t="s">
        <v>17</v>
      </c>
      <c r="B15" s="10"/>
      <c r="C15" s="13">
        <f ca="1">(C7+C11)+(C8+C12)*INT(MAX(F21:F3531))</f>
        <v>59677.040283765535</v>
      </c>
      <c r="E15" s="14" t="s">
        <v>38</v>
      </c>
      <c r="F15" s="11">
        <v>1</v>
      </c>
    </row>
    <row r="16" spans="1:6" x14ac:dyDescent="0.2">
      <c r="A16" s="16" t="s">
        <v>4</v>
      </c>
      <c r="B16" s="10"/>
      <c r="C16" s="17">
        <f ca="1">+C8+C12</f>
        <v>0.86752544816871013</v>
      </c>
      <c r="E16" s="14" t="s">
        <v>33</v>
      </c>
      <c r="F16" s="15">
        <f ca="1">NOW()+15018.5+$C$5/24</f>
        <v>60177.823313078705</v>
      </c>
    </row>
    <row r="17" spans="1:21" ht="13.5" thickBot="1" x14ac:dyDescent="0.25">
      <c r="A17" s="14" t="s">
        <v>30</v>
      </c>
      <c r="B17" s="10"/>
      <c r="C17" s="10">
        <f>COUNT(C21:C2189)</f>
        <v>11</v>
      </c>
      <c r="E17" s="14" t="s">
        <v>39</v>
      </c>
      <c r="F17" s="15">
        <f ca="1">ROUND(2*(F16-$C$7)/$C$8,0)/2+F15</f>
        <v>5634</v>
      </c>
    </row>
    <row r="18" spans="1:21" ht="14.25" thickTop="1" thickBot="1" x14ac:dyDescent="0.25">
      <c r="A18" s="16" t="s">
        <v>5</v>
      </c>
      <c r="B18" s="10"/>
      <c r="C18" s="19">
        <f ca="1">+C15</f>
        <v>59677.040283765535</v>
      </c>
      <c r="D18" s="20">
        <f ca="1">+C16</f>
        <v>0.86752544816871013</v>
      </c>
      <c r="E18" s="14" t="s">
        <v>40</v>
      </c>
      <c r="F18" s="24">
        <f ca="1">ROUND(2*(F16-$C$15)/$C$16,0)/2+F15</f>
        <v>578.5</v>
      </c>
    </row>
    <row r="19" spans="1:21" ht="13.5" thickTop="1" x14ac:dyDescent="0.2">
      <c r="E19" s="14" t="s">
        <v>34</v>
      </c>
      <c r="F19" s="18">
        <f ca="1">+$C$15+$C$16*F18-15018.5-$C$5/24</f>
        <v>45160.799588864473</v>
      </c>
    </row>
    <row r="20" spans="1:21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52</v>
      </c>
      <c r="I20" s="7" t="s">
        <v>53</v>
      </c>
      <c r="J20" s="7" t="s">
        <v>54</v>
      </c>
      <c r="K20" s="7" t="s">
        <v>55</v>
      </c>
      <c r="L20" s="7" t="s">
        <v>56</v>
      </c>
      <c r="M20" s="7" t="s">
        <v>57</v>
      </c>
      <c r="N20" s="7" t="s">
        <v>58</v>
      </c>
      <c r="O20" s="7" t="s">
        <v>23</v>
      </c>
      <c r="P20" s="6" t="s">
        <v>22</v>
      </c>
      <c r="Q20" s="4" t="s">
        <v>14</v>
      </c>
      <c r="U20" s="27" t="s">
        <v>51</v>
      </c>
    </row>
    <row r="21" spans="1:21" x14ac:dyDescent="0.2">
      <c r="A21" s="32" t="s">
        <v>43</v>
      </c>
      <c r="B21" s="33" t="s">
        <v>44</v>
      </c>
      <c r="C21" s="32">
        <v>55290.831599999998</v>
      </c>
      <c r="D21" s="32">
        <v>2.9999999999999997E-4</v>
      </c>
      <c r="E21">
        <f t="shared" ref="E21:E30" si="0">+(C21-C$7)/C$8</f>
        <v>0</v>
      </c>
      <c r="F21">
        <f t="shared" ref="F21:F31" si="1">ROUND(2*E21,0)/2</f>
        <v>0</v>
      </c>
      <c r="G21">
        <f>+C21-(C$7+F21*C$8)</f>
        <v>0</v>
      </c>
      <c r="K21">
        <f>+G21</f>
        <v>0</v>
      </c>
      <c r="O21">
        <f t="shared" ref="O21:O30" ca="1" si="2">+C$11+C$12*$F21</f>
        <v>1.7824536018142684E-5</v>
      </c>
      <c r="Q21" s="2">
        <f t="shared" ref="Q21:Q30" si="3">+C21-15018.5</f>
        <v>40272.331599999998</v>
      </c>
    </row>
    <row r="22" spans="1:21" x14ac:dyDescent="0.2">
      <c r="A22" s="32" t="s">
        <v>45</v>
      </c>
      <c r="B22" s="33" t="s">
        <v>44</v>
      </c>
      <c r="C22" s="32">
        <v>55591.8629</v>
      </c>
      <c r="D22" s="32">
        <v>2.0000000000000001E-4</v>
      </c>
      <c r="E22">
        <f t="shared" si="0"/>
        <v>346.99874413348078</v>
      </c>
      <c r="F22">
        <f t="shared" si="1"/>
        <v>347</v>
      </c>
      <c r="G22">
        <f>+C22-(C$7+F22*C$8)</f>
        <v>-1.0894999941228889E-3</v>
      </c>
      <c r="K22">
        <f>+G22</f>
        <v>-1.0894999941228889E-3</v>
      </c>
      <c r="O22">
        <f t="shared" ca="1" si="2"/>
        <v>-1.0411609215866659E-3</v>
      </c>
      <c r="Q22" s="2">
        <f t="shared" si="3"/>
        <v>40573.3629</v>
      </c>
    </row>
    <row r="23" spans="1:21" x14ac:dyDescent="0.2">
      <c r="A23" s="32" t="s">
        <v>45</v>
      </c>
      <c r="B23" s="33" t="s">
        <v>44</v>
      </c>
      <c r="C23" s="32">
        <v>55671.6751</v>
      </c>
      <c r="D23" s="32">
        <v>5.0000000000000001E-4</v>
      </c>
      <c r="E23">
        <f t="shared" si="0"/>
        <v>438.9982576941307</v>
      </c>
      <c r="F23">
        <f t="shared" si="1"/>
        <v>439</v>
      </c>
      <c r="G23">
        <f>+C23-(C$7+F23*C$8)</f>
        <v>-1.5114999987417832E-3</v>
      </c>
      <c r="K23">
        <f>+G23</f>
        <v>-1.5114999987417832E-3</v>
      </c>
      <c r="O23">
        <f t="shared" ca="1" si="2"/>
        <v>-1.3219294002599867E-3</v>
      </c>
      <c r="Q23" s="2">
        <f t="shared" si="3"/>
        <v>40653.1751</v>
      </c>
    </row>
    <row r="24" spans="1:21" x14ac:dyDescent="0.2">
      <c r="A24" s="34" t="s">
        <v>46</v>
      </c>
      <c r="B24" s="35" t="s">
        <v>44</v>
      </c>
      <c r="C24" s="34">
        <v>55984.850599999998</v>
      </c>
      <c r="D24" s="34">
        <v>2.9999999999999997E-4</v>
      </c>
      <c r="E24">
        <f t="shared" si="0"/>
        <v>799.99561974044684</v>
      </c>
      <c r="F24">
        <f t="shared" si="1"/>
        <v>800</v>
      </c>
      <c r="G24">
        <f>+C24-(C$7+F24*C$8)</f>
        <v>-3.7999999985913746E-3</v>
      </c>
      <c r="K24">
        <f>+G24</f>
        <v>-3.7999999985913746E-3</v>
      </c>
      <c r="O24">
        <f t="shared" ca="1" si="2"/>
        <v>-2.4236404959237789E-3</v>
      </c>
      <c r="Q24" s="2">
        <f t="shared" si="3"/>
        <v>40966.350599999998</v>
      </c>
    </row>
    <row r="25" spans="1:21" x14ac:dyDescent="0.2">
      <c r="A25" s="34" t="s">
        <v>46</v>
      </c>
      <c r="B25" s="35" t="s">
        <v>44</v>
      </c>
      <c r="C25" s="34">
        <v>56018.6872</v>
      </c>
      <c r="D25" s="34">
        <v>4.0000000000000002E-4</v>
      </c>
      <c r="E25">
        <f t="shared" si="0"/>
        <v>838.99906458404837</v>
      </c>
      <c r="F25">
        <f t="shared" si="1"/>
        <v>839</v>
      </c>
      <c r="G25">
        <f>+C25-(C$7+F25*C$8)</f>
        <v>-8.1149999459739774E-4</v>
      </c>
      <c r="K25">
        <f>+G25</f>
        <v>-8.1149999459739774E-4</v>
      </c>
      <c r="O25">
        <f t="shared" ca="1" si="2"/>
        <v>-2.5426619162309478E-3</v>
      </c>
      <c r="Q25" s="2">
        <f t="shared" si="3"/>
        <v>41000.1872</v>
      </c>
    </row>
    <row r="26" spans="1:21" x14ac:dyDescent="0.2">
      <c r="A26" s="36" t="s">
        <v>47</v>
      </c>
      <c r="B26" s="37" t="s">
        <v>44</v>
      </c>
      <c r="C26" s="38">
        <v>56311.914100000002</v>
      </c>
      <c r="D26" s="38">
        <v>5.0000000000000001E-4</v>
      </c>
      <c r="E26">
        <f t="shared" si="0"/>
        <v>1177.0016777546837</v>
      </c>
      <c r="F26">
        <f t="shared" si="1"/>
        <v>1177</v>
      </c>
      <c r="O26">
        <f t="shared" ca="1" si="2"/>
        <v>-3.5741808922264097E-3</v>
      </c>
      <c r="Q26" s="2">
        <f t="shared" si="3"/>
        <v>41293.414100000002</v>
      </c>
      <c r="U26">
        <f>+C26-(C$7+F26*C$8)</f>
        <v>1.4555000016116537E-3</v>
      </c>
    </row>
    <row r="27" spans="1:21" x14ac:dyDescent="0.2">
      <c r="A27" s="5" t="s">
        <v>60</v>
      </c>
      <c r="C27" s="8">
        <v>58472.915099999998</v>
      </c>
      <c r="D27" s="8">
        <v>2.9999999999999997E-4</v>
      </c>
      <c r="E27">
        <f t="shared" si="0"/>
        <v>3667.9872764986976</v>
      </c>
      <c r="F27">
        <f t="shared" si="1"/>
        <v>3668</v>
      </c>
      <c r="G27">
        <f>+C27-(C$7+F27*C$8)</f>
        <v>-1.103799999691546E-2</v>
      </c>
      <c r="K27">
        <f>+G27</f>
        <v>-1.103799999691546E-2</v>
      </c>
      <c r="O27">
        <f t="shared" ca="1" si="2"/>
        <v>-1.1176292635435568E-2</v>
      </c>
      <c r="Q27" s="2">
        <f t="shared" si="3"/>
        <v>43454.415099999998</v>
      </c>
    </row>
    <row r="28" spans="1:21" x14ac:dyDescent="0.2">
      <c r="A28" s="5" t="s">
        <v>61</v>
      </c>
      <c r="C28" s="8">
        <v>58932.702899999997</v>
      </c>
      <c r="D28" s="8">
        <v>2.0000000000000001E-4</v>
      </c>
      <c r="E28">
        <f t="shared" si="0"/>
        <v>4197.9846195254668</v>
      </c>
      <c r="F28">
        <f t="shared" si="1"/>
        <v>4198</v>
      </c>
      <c r="G28">
        <f>+C28-(C$7+F28*C$8)</f>
        <v>-1.3342999998712912E-2</v>
      </c>
      <c r="K28">
        <f>+G28</f>
        <v>-1.3342999998712912E-2</v>
      </c>
      <c r="O28">
        <f t="shared" ca="1" si="2"/>
        <v>-1.2793763219097091E-2</v>
      </c>
      <c r="Q28" s="2">
        <f t="shared" si="3"/>
        <v>43914.202899999997</v>
      </c>
    </row>
    <row r="29" spans="1:21" x14ac:dyDescent="0.2">
      <c r="A29" s="39" t="s">
        <v>62</v>
      </c>
      <c r="B29" s="40" t="s">
        <v>44</v>
      </c>
      <c r="C29" s="41">
        <v>59280.580099999999</v>
      </c>
      <c r="D29" s="39">
        <v>4.0000000000000002E-4</v>
      </c>
      <c r="E29">
        <f t="shared" si="0"/>
        <v>4598.9826270837229</v>
      </c>
      <c r="F29">
        <f t="shared" si="1"/>
        <v>4599</v>
      </c>
      <c r="G29">
        <f>+C29-(C$7+F29*C$8)</f>
        <v>-1.5071499998157378E-2</v>
      </c>
      <c r="K29">
        <f>+G29</f>
        <v>-1.5071499998157378E-2</v>
      </c>
      <c r="O29">
        <f t="shared" ca="1" si="2"/>
        <v>-1.401754756635798E-2</v>
      </c>
      <c r="Q29" s="2">
        <f t="shared" si="3"/>
        <v>44262.080099999999</v>
      </c>
    </row>
    <row r="30" spans="1:21" x14ac:dyDescent="0.2">
      <c r="A30" s="39" t="s">
        <v>63</v>
      </c>
      <c r="B30" s="40" t="s">
        <v>64</v>
      </c>
      <c r="C30" s="41">
        <v>59515.683299999997</v>
      </c>
      <c r="D30" s="39">
        <v>2.0000000000000001E-4</v>
      </c>
      <c r="E30">
        <f t="shared" si="0"/>
        <v>4869.9860580949207</v>
      </c>
      <c r="F30">
        <f t="shared" si="1"/>
        <v>4870</v>
      </c>
      <c r="G30">
        <f>+C30-(C$7+F30*C$8)</f>
        <v>-1.209499999822583E-2</v>
      </c>
      <c r="K30">
        <f>+G30</f>
        <v>-1.209499999822583E-2</v>
      </c>
      <c r="O30">
        <f t="shared" ca="1" si="2"/>
        <v>-1.4844593845928305E-2</v>
      </c>
      <c r="Q30" s="2">
        <f t="shared" si="3"/>
        <v>44497.183299999997</v>
      </c>
    </row>
    <row r="31" spans="1:21" x14ac:dyDescent="0.2">
      <c r="A31" s="42" t="s">
        <v>65</v>
      </c>
      <c r="B31" s="43" t="s">
        <v>44</v>
      </c>
      <c r="C31" s="44">
        <v>59677.038900000043</v>
      </c>
      <c r="D31" s="8"/>
      <c r="E31">
        <f t="shared" ref="E31" si="4">+(C31-C$7)/C$8</f>
        <v>5055.9806392528262</v>
      </c>
      <c r="F31">
        <f t="shared" si="1"/>
        <v>5056</v>
      </c>
      <c r="G31">
        <f>+C31-(C$7+F31*C$8)</f>
        <v>-1.6795999952591956E-2</v>
      </c>
      <c r="K31">
        <f>+G31</f>
        <v>-1.6795999952591956E-2</v>
      </c>
      <c r="O31">
        <f t="shared" ref="O31" ca="1" si="5">+C$11+C$12*$F31</f>
        <v>-1.5412234465854801E-2</v>
      </c>
      <c r="Q31" s="2">
        <f t="shared" ref="Q31" si="6">+C31-15018.5</f>
        <v>44658.538900000043</v>
      </c>
    </row>
    <row r="32" spans="1:21" x14ac:dyDescent="0.2">
      <c r="C32" s="8"/>
      <c r="D32" s="8"/>
    </row>
    <row r="33" spans="3:4" x14ac:dyDescent="0.2">
      <c r="C33" s="8"/>
      <c r="D33" s="8"/>
    </row>
    <row r="34" spans="3:4" x14ac:dyDescent="0.2">
      <c r="C34" s="8"/>
      <c r="D34" s="8"/>
    </row>
    <row r="35" spans="3:4" x14ac:dyDescent="0.2">
      <c r="C35" s="8"/>
      <c r="D35" s="8"/>
    </row>
    <row r="36" spans="3:4" x14ac:dyDescent="0.2">
      <c r="C36" s="8"/>
      <c r="D36" s="8"/>
    </row>
    <row r="37" spans="3:4" x14ac:dyDescent="0.2">
      <c r="C37" s="8"/>
      <c r="D37" s="8"/>
    </row>
    <row r="38" spans="3:4" x14ac:dyDescent="0.2">
      <c r="C38" s="8"/>
      <c r="D38" s="8"/>
    </row>
    <row r="39" spans="3:4" x14ac:dyDescent="0.2">
      <c r="C39" s="8"/>
      <c r="D39" s="8"/>
    </row>
    <row r="40" spans="3:4" x14ac:dyDescent="0.2">
      <c r="C40" s="8"/>
      <c r="D40" s="8"/>
    </row>
    <row r="41" spans="3:4" x14ac:dyDescent="0.2">
      <c r="C41" s="8"/>
      <c r="D41" s="8"/>
    </row>
    <row r="42" spans="3:4" x14ac:dyDescent="0.2">
      <c r="C42" s="8"/>
      <c r="D42" s="8"/>
    </row>
    <row r="43" spans="3:4" x14ac:dyDescent="0.2">
      <c r="C43" s="8"/>
      <c r="D43" s="8"/>
    </row>
    <row r="44" spans="3:4" x14ac:dyDescent="0.2">
      <c r="C44" s="8"/>
      <c r="D44" s="8"/>
    </row>
    <row r="45" spans="3:4" x14ac:dyDescent="0.2">
      <c r="C45" s="8"/>
      <c r="D45" s="8"/>
    </row>
    <row r="46" spans="3:4" x14ac:dyDescent="0.2">
      <c r="C46" s="8"/>
      <c r="D46" s="8"/>
    </row>
    <row r="47" spans="3:4" x14ac:dyDescent="0.2">
      <c r="C47" s="8"/>
      <c r="D47" s="8"/>
    </row>
    <row r="48" spans="3:4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</sheetData>
  <sortState xmlns:xlrd2="http://schemas.microsoft.com/office/spreadsheetml/2017/richdata2" ref="A21:U30">
    <sortCondition ref="C21:C30"/>
  </sortState>
  <phoneticPr fontId="7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939"/>
  <sheetViews>
    <sheetView workbookViewId="0">
      <selection activeCell="C18" sqref="C18:D18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50</v>
      </c>
    </row>
    <row r="2" spans="1:7" x14ac:dyDescent="0.2">
      <c r="A2" t="s">
        <v>24</v>
      </c>
      <c r="B2" t="s">
        <v>48</v>
      </c>
      <c r="C2" s="3"/>
      <c r="D2" s="3"/>
      <c r="E2" s="31" t="s">
        <v>42</v>
      </c>
      <c r="F2" t="s">
        <v>42</v>
      </c>
    </row>
    <row r="3" spans="1:7" ht="13.5" thickBot="1" x14ac:dyDescent="0.25"/>
    <row r="4" spans="1:7" ht="14.25" thickTop="1" thickBot="1" x14ac:dyDescent="0.25">
      <c r="A4" s="5" t="s">
        <v>0</v>
      </c>
      <c r="C4" s="28" t="s">
        <v>41</v>
      </c>
      <c r="D4" s="29" t="s">
        <v>41</v>
      </c>
    </row>
    <row r="6" spans="1:7" x14ac:dyDescent="0.2">
      <c r="A6" s="5" t="s">
        <v>1</v>
      </c>
    </row>
    <row r="7" spans="1:7" x14ac:dyDescent="0.2">
      <c r="A7" t="s">
        <v>2</v>
      </c>
      <c r="C7" s="8">
        <v>55290.831599999998</v>
      </c>
      <c r="D7" s="30" t="s">
        <v>49</v>
      </c>
    </row>
    <row r="8" spans="1:7" x14ac:dyDescent="0.2">
      <c r="A8" t="s">
        <v>3</v>
      </c>
      <c r="C8" s="8">
        <v>1.7350570000000001</v>
      </c>
      <c r="D8" s="30" t="s">
        <v>49</v>
      </c>
    </row>
    <row r="9" spans="1:7" x14ac:dyDescent="0.2">
      <c r="A9" s="9" t="s">
        <v>31</v>
      </c>
      <c r="B9" s="10"/>
      <c r="C9" s="11">
        <v>8</v>
      </c>
      <c r="D9" s="10" t="s">
        <v>32</v>
      </c>
      <c r="E9" s="10"/>
    </row>
    <row r="10" spans="1:7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7" x14ac:dyDescent="0.2">
      <c r="A11" s="10" t="s">
        <v>15</v>
      </c>
      <c r="B11" s="10"/>
      <c r="C11" s="22">
        <f ca="1">INTERCEPT(INDIRECT($G$11):G991,INDIRECT($F$11):F991)</f>
        <v>-1.2370167385029962E-3</v>
      </c>
      <c r="D11" s="3"/>
      <c r="E11" s="10"/>
      <c r="F11" s="23" t="str">
        <f>"F"&amp;E19</f>
        <v>F21</v>
      </c>
      <c r="G11" s="24" t="str">
        <f>"G"&amp;E19</f>
        <v>G21</v>
      </c>
    </row>
    <row r="12" spans="1:7" x14ac:dyDescent="0.2">
      <c r="A12" s="10" t="s">
        <v>16</v>
      </c>
      <c r="B12" s="10"/>
      <c r="C12" s="22">
        <f ca="1">SLOPE(INDIRECT($G$11):G991,INDIRECT($F$11):F991)</f>
        <v>9.2454216911503954E-7</v>
      </c>
      <c r="D12" s="3"/>
      <c r="E12" s="10"/>
    </row>
    <row r="13" spans="1:7" x14ac:dyDescent="0.2">
      <c r="A13" s="10" t="s">
        <v>19</v>
      </c>
      <c r="B13" s="10"/>
      <c r="C13" s="3" t="s">
        <v>13</v>
      </c>
      <c r="D13" s="14" t="s">
        <v>38</v>
      </c>
      <c r="E13" s="11">
        <v>1</v>
      </c>
    </row>
    <row r="14" spans="1:7" x14ac:dyDescent="0.2">
      <c r="A14" s="10"/>
      <c r="B14" s="10"/>
      <c r="C14" s="10"/>
      <c r="D14" s="14" t="s">
        <v>33</v>
      </c>
      <c r="E14" s="15">
        <f ca="1">NOW()+15018.5+$C$9/24</f>
        <v>60178.552479745376</v>
      </c>
    </row>
    <row r="15" spans="1:7" x14ac:dyDescent="0.2">
      <c r="A15" s="12" t="s">
        <v>17</v>
      </c>
      <c r="B15" s="10"/>
      <c r="C15" s="13">
        <f ca="1">(C7+C11)+(C8+C12)*INT(MAX(F21:F3532))</f>
        <v>56311.044422614053</v>
      </c>
      <c r="D15" s="14" t="s">
        <v>39</v>
      </c>
      <c r="E15" s="15">
        <f ca="1">ROUND(2*(E14-$C$7)/$C$8,0)/2+E13</f>
        <v>2818</v>
      </c>
    </row>
    <row r="16" spans="1:7" x14ac:dyDescent="0.2">
      <c r="A16" s="16" t="s">
        <v>4</v>
      </c>
      <c r="B16" s="10"/>
      <c r="C16" s="17">
        <f ca="1">+C8+C12</f>
        <v>1.7350579245421691</v>
      </c>
      <c r="D16" s="14" t="s">
        <v>40</v>
      </c>
      <c r="E16" s="24">
        <f ca="1">ROUND(2*(E14-$C$15)/$C$16,0)/2+E13</f>
        <v>2230</v>
      </c>
    </row>
    <row r="17" spans="1:18" ht="13.5" thickBot="1" x14ac:dyDescent="0.25">
      <c r="A17" s="14" t="s">
        <v>30</v>
      </c>
      <c r="B17" s="10"/>
      <c r="C17" s="10">
        <f>COUNT(C21:C2190)</f>
        <v>6</v>
      </c>
      <c r="D17" s="14" t="s">
        <v>34</v>
      </c>
      <c r="E17" s="18">
        <f ca="1">+$C$15+$C$16*E16-15018.5-$C$9/24</f>
        <v>45161.390261009758</v>
      </c>
    </row>
    <row r="18" spans="1:18" ht="14.25" thickTop="1" thickBot="1" x14ac:dyDescent="0.25">
      <c r="A18" s="16" t="s">
        <v>5</v>
      </c>
      <c r="B18" s="10"/>
      <c r="C18" s="19">
        <f ca="1">+C15</f>
        <v>56311.044422614053</v>
      </c>
      <c r="D18" s="20">
        <f ca="1">+C16</f>
        <v>1.7350579245421691</v>
      </c>
      <c r="E18" s="21" t="s">
        <v>35</v>
      </c>
    </row>
    <row r="19" spans="1:18" ht="13.5" thickTop="1" x14ac:dyDescent="0.2">
      <c r="A19" s="25" t="s">
        <v>36</v>
      </c>
      <c r="E19" s="26">
        <v>21</v>
      </c>
    </row>
    <row r="20" spans="1:18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29</v>
      </c>
      <c r="I20" s="7" t="s">
        <v>29</v>
      </c>
      <c r="J20" s="7" t="s">
        <v>18</v>
      </c>
      <c r="K20" s="7" t="s">
        <v>25</v>
      </c>
      <c r="L20" s="7" t="s">
        <v>26</v>
      </c>
      <c r="M20" s="7" t="s">
        <v>27</v>
      </c>
      <c r="N20" s="7" t="s">
        <v>28</v>
      </c>
      <c r="O20" s="7" t="s">
        <v>23</v>
      </c>
      <c r="P20" s="6" t="s">
        <v>22</v>
      </c>
      <c r="Q20" s="4" t="s">
        <v>14</v>
      </c>
      <c r="R20" s="27" t="s">
        <v>37</v>
      </c>
    </row>
    <row r="21" spans="1:18" x14ac:dyDescent="0.2">
      <c r="A21" s="32" t="s">
        <v>43</v>
      </c>
      <c r="B21" s="33" t="s">
        <v>44</v>
      </c>
      <c r="C21" s="32">
        <v>55290.831599999998</v>
      </c>
      <c r="D21" s="32">
        <v>2.9999999999999997E-4</v>
      </c>
      <c r="E21">
        <f t="shared" ref="E21:E26" si="0">+(C21-C$7)/C$8</f>
        <v>0</v>
      </c>
      <c r="F21">
        <f t="shared" ref="F21:F26" si="1">ROUND(2*E21,0)/2</f>
        <v>0</v>
      </c>
      <c r="G21">
        <f t="shared" ref="G21:G26" si="2">+C21-(C$7+F21*C$8)</f>
        <v>0</v>
      </c>
      <c r="H21">
        <f t="shared" ref="H21:H26" si="3">+G21</f>
        <v>0</v>
      </c>
      <c r="O21">
        <f t="shared" ref="O21:O26" ca="1" si="4">+C$11+C$12*$F21</f>
        <v>-1.2370167385029962E-3</v>
      </c>
      <c r="Q21" s="2">
        <f t="shared" ref="Q21:Q26" si="5">+C21-15018.5</f>
        <v>40272.331599999998</v>
      </c>
    </row>
    <row r="22" spans="1:18" x14ac:dyDescent="0.2">
      <c r="A22" s="32" t="s">
        <v>45</v>
      </c>
      <c r="B22" s="33" t="s">
        <v>44</v>
      </c>
      <c r="C22" s="32">
        <v>55591.8629</v>
      </c>
      <c r="D22" s="32">
        <v>2.0000000000000001E-4</v>
      </c>
      <c r="E22">
        <f t="shared" si="0"/>
        <v>173.49937206674039</v>
      </c>
      <c r="F22">
        <f t="shared" si="1"/>
        <v>173.5</v>
      </c>
      <c r="G22">
        <f t="shared" si="2"/>
        <v>-1.0894999941228889E-3</v>
      </c>
      <c r="H22">
        <f t="shared" si="3"/>
        <v>-1.0894999941228889E-3</v>
      </c>
      <c r="O22">
        <f t="shared" ca="1" si="4"/>
        <v>-1.0766086721615369E-3</v>
      </c>
      <c r="Q22" s="2">
        <f t="shared" si="5"/>
        <v>40573.3629</v>
      </c>
    </row>
    <row r="23" spans="1:18" x14ac:dyDescent="0.2">
      <c r="A23" s="32" t="s">
        <v>45</v>
      </c>
      <c r="B23" s="33" t="s">
        <v>44</v>
      </c>
      <c r="C23" s="32">
        <v>55671.6751</v>
      </c>
      <c r="D23" s="32">
        <v>5.0000000000000001E-4</v>
      </c>
      <c r="E23">
        <f t="shared" si="0"/>
        <v>219.49912884706535</v>
      </c>
      <c r="F23">
        <f t="shared" si="1"/>
        <v>219.5</v>
      </c>
      <c r="G23">
        <f t="shared" si="2"/>
        <v>-1.5114999987417832E-3</v>
      </c>
      <c r="H23">
        <f t="shared" si="3"/>
        <v>-1.5114999987417832E-3</v>
      </c>
      <c r="O23">
        <f t="shared" ca="1" si="4"/>
        <v>-1.0340797323822449E-3</v>
      </c>
      <c r="Q23" s="2">
        <f t="shared" si="5"/>
        <v>40653.1751</v>
      </c>
    </row>
    <row r="24" spans="1:18" x14ac:dyDescent="0.2">
      <c r="A24" s="34" t="s">
        <v>46</v>
      </c>
      <c r="B24" s="35" t="s">
        <v>44</v>
      </c>
      <c r="C24" s="34">
        <v>55984.850599999998</v>
      </c>
      <c r="D24" s="34">
        <v>2.9999999999999997E-4</v>
      </c>
      <c r="E24">
        <f t="shared" si="0"/>
        <v>399.99780987022342</v>
      </c>
      <c r="F24">
        <f t="shared" si="1"/>
        <v>400</v>
      </c>
      <c r="G24">
        <f t="shared" si="2"/>
        <v>-3.7999999985913746E-3</v>
      </c>
      <c r="H24">
        <f t="shared" si="3"/>
        <v>-3.7999999985913746E-3</v>
      </c>
      <c r="O24">
        <f t="shared" ca="1" si="4"/>
        <v>-8.6719987085698042E-4</v>
      </c>
      <c r="Q24" s="2">
        <f t="shared" si="5"/>
        <v>40966.350599999998</v>
      </c>
    </row>
    <row r="25" spans="1:18" x14ac:dyDescent="0.2">
      <c r="A25" s="34" t="s">
        <v>46</v>
      </c>
      <c r="B25" s="35" t="s">
        <v>44</v>
      </c>
      <c r="C25" s="34">
        <v>56018.6872</v>
      </c>
      <c r="D25" s="34">
        <v>4.0000000000000002E-4</v>
      </c>
      <c r="E25">
        <f t="shared" si="0"/>
        <v>419.49953229202418</v>
      </c>
      <c r="F25">
        <f t="shared" si="1"/>
        <v>419.5</v>
      </c>
      <c r="G25">
        <f t="shared" si="2"/>
        <v>-8.1149999459739774E-4</v>
      </c>
      <c r="H25">
        <f t="shared" si="3"/>
        <v>-8.1149999459739774E-4</v>
      </c>
      <c r="O25">
        <f t="shared" ca="1" si="4"/>
        <v>-8.4917129855923714E-4</v>
      </c>
      <c r="Q25" s="2">
        <f t="shared" si="5"/>
        <v>41000.1872</v>
      </c>
    </row>
    <row r="26" spans="1:18" x14ac:dyDescent="0.2">
      <c r="A26" s="36" t="s">
        <v>47</v>
      </c>
      <c r="B26" s="37" t="s">
        <v>44</v>
      </c>
      <c r="C26" s="38">
        <v>56311.914100000002</v>
      </c>
      <c r="D26" s="38">
        <v>5.0000000000000001E-4</v>
      </c>
      <c r="E26">
        <f t="shared" si="0"/>
        <v>588.50083887734183</v>
      </c>
      <c r="F26">
        <f t="shared" si="1"/>
        <v>588.5</v>
      </c>
      <c r="G26">
        <f t="shared" si="2"/>
        <v>1.4555000016116537E-3</v>
      </c>
      <c r="H26">
        <f t="shared" si="3"/>
        <v>1.4555000016116537E-3</v>
      </c>
      <c r="O26">
        <f t="shared" ca="1" si="4"/>
        <v>-6.9292367197879544E-4</v>
      </c>
      <c r="Q26" s="2">
        <f t="shared" si="5"/>
        <v>41293.414100000002</v>
      </c>
    </row>
    <row r="27" spans="1:18" x14ac:dyDescent="0.2">
      <c r="C27" s="8"/>
      <c r="D27" s="8"/>
      <c r="Q27" s="2"/>
    </row>
    <row r="28" spans="1:18" x14ac:dyDescent="0.2">
      <c r="C28" s="8"/>
      <c r="D28" s="8"/>
      <c r="Q28" s="2"/>
    </row>
    <row r="29" spans="1:18" x14ac:dyDescent="0.2">
      <c r="C29" s="8"/>
      <c r="D29" s="8"/>
      <c r="Q29" s="2"/>
    </row>
    <row r="30" spans="1:18" x14ac:dyDescent="0.2">
      <c r="C30" s="8"/>
      <c r="D30" s="8"/>
      <c r="Q30" s="2"/>
    </row>
    <row r="31" spans="1:18" x14ac:dyDescent="0.2">
      <c r="C31" s="8"/>
      <c r="D31" s="8"/>
      <c r="Q31" s="2"/>
    </row>
    <row r="32" spans="1:18" x14ac:dyDescent="0.2">
      <c r="C32" s="8"/>
      <c r="D32" s="8"/>
      <c r="Q32" s="2"/>
    </row>
    <row r="33" spans="3:4" x14ac:dyDescent="0.2">
      <c r="C33" s="8"/>
      <c r="D33" s="8"/>
    </row>
    <row r="34" spans="3:4" x14ac:dyDescent="0.2">
      <c r="C34" s="8"/>
      <c r="D34" s="8"/>
    </row>
    <row r="35" spans="3:4" x14ac:dyDescent="0.2">
      <c r="C35" s="8"/>
      <c r="D35" s="8"/>
    </row>
    <row r="36" spans="3:4" x14ac:dyDescent="0.2">
      <c r="C36" s="8"/>
      <c r="D36" s="8"/>
    </row>
    <row r="37" spans="3:4" x14ac:dyDescent="0.2">
      <c r="C37" s="8"/>
      <c r="D37" s="8"/>
    </row>
    <row r="38" spans="3:4" x14ac:dyDescent="0.2">
      <c r="C38" s="8"/>
      <c r="D38" s="8"/>
    </row>
    <row r="39" spans="3:4" x14ac:dyDescent="0.2">
      <c r="C39" s="8"/>
      <c r="D39" s="8"/>
    </row>
    <row r="40" spans="3:4" x14ac:dyDescent="0.2">
      <c r="C40" s="8"/>
      <c r="D40" s="8"/>
    </row>
    <row r="41" spans="3:4" x14ac:dyDescent="0.2">
      <c r="C41" s="8"/>
      <c r="D41" s="8"/>
    </row>
    <row r="42" spans="3:4" x14ac:dyDescent="0.2">
      <c r="C42" s="8"/>
      <c r="D42" s="8"/>
    </row>
    <row r="43" spans="3:4" x14ac:dyDescent="0.2">
      <c r="C43" s="8"/>
      <c r="D43" s="8"/>
    </row>
    <row r="44" spans="3:4" x14ac:dyDescent="0.2">
      <c r="C44" s="8"/>
      <c r="D44" s="8"/>
    </row>
    <row r="45" spans="3:4" x14ac:dyDescent="0.2">
      <c r="C45" s="8"/>
      <c r="D45" s="8"/>
    </row>
    <row r="46" spans="3:4" x14ac:dyDescent="0.2">
      <c r="C46" s="8"/>
      <c r="D46" s="8"/>
    </row>
    <row r="47" spans="3:4" x14ac:dyDescent="0.2">
      <c r="C47" s="8"/>
      <c r="D47" s="8"/>
    </row>
    <row r="48" spans="3:4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sheetProtection sheet="1" objects="1" scenarios="1"/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A (old)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2023-08-21T07:45:34Z</dcterms:modified>
</cp:coreProperties>
</file>