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715" windowHeight="1365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<sst xmlns="http://schemas.openxmlformats.org/spreadsheetml/2006/main" count="235" uniqueCount="159">
  <si>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</si>
  <si>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</si>
  <si>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</si>
  <si>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</si>
  <si>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</si>
  <si>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</si>
  <si>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</si>
  <si>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</si>
  <si>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</si>
  <si>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</si>
  <si>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</si>
  <si>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</si>
  <si>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</si>
  <si>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</si>
  <si>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</si>
  <si>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</si>
  <si>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</si>
  <si>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</si>
  <si>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</si>
  <si>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</si>
  <si>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</si>
  <si>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</si>
  <si>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</si>
  <si>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</si>
  <si>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</si>
  <si>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</si>
  <si>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</si>
  <si>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</si>
  <si>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</si>
  <si>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</si>
  <si>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</si>
  <si>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</si>
  <si>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</si>
  <si>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</si>
  <si>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</si>
  <si>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</si>
  <si>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</si>
  <si>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</si>
  <si>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</si>
  <si>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</si>
  <si>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AH Lyn / GSC 2490-0798               </t>
  </si>
  <si>
    <t xml:space="preserve">EA        </t>
  </si>
  <si>
    <t>IBVS 4887</t>
  </si>
  <si>
    <t>IBVS 4888</t>
  </si>
  <si>
    <t>IBVS 5263</t>
  </si>
  <si>
    <t>IBVS 5287</t>
  </si>
  <si>
    <t>IBVS 5438</t>
  </si>
  <si>
    <t>IBVS 5657</t>
  </si>
  <si>
    <t>OEJV 0074</t>
  </si>
  <si>
    <t>OEJV 0107</t>
  </si>
  <si>
    <t>OEJV</t>
  </si>
  <si>
    <t>Add cycle</t>
  </si>
  <si>
    <t>Old Cycle</t>
  </si>
  <si>
    <t>IBVS 5918</t>
  </si>
  <si>
    <t>IBVS 5992</t>
  </si>
  <si>
    <t>IBVS 6010</t>
  </si>
  <si>
    <t>IBVS 6029</t>
  </si>
  <si>
    <t>OEJV 0160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</si>
  <si>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</si>
  <si>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</si>
  <si>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</si>
  <si>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</si>
  <si>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</si>
  <si>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</si>
  <si>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</si>
  <si>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</si>
  <si>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</si>
  <si>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</si>
  <si>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</si>
  <si>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2450184.4602 </t>
  </si>
  <si>
    <t> 10.04.1996 23:02 </t>
  </si>
  <si>
    <t> -0.0035 </t>
  </si>
  <si>
    <t>E </t>
  </si>
  <si>
    <t>?</t>
  </si>
  <si>
    <t> J.Safar </t>
  </si>
  <si>
    <t>IBVS 4887 </t>
  </si>
  <si>
    <t>2450925.4266 </t>
  </si>
  <si>
    <t> 21.04.1998 22:14 </t>
  </si>
  <si>
    <t> -0.0002 </t>
  </si>
  <si>
    <t>IBVS 4888 </t>
  </si>
  <si>
    <t>2451237.4575 </t>
  </si>
  <si>
    <t> 27.02.1999 22:58 </t>
  </si>
  <si>
    <t> -0.0073 </t>
  </si>
  <si>
    <t> M.Zejda </t>
  </si>
  <si>
    <t>IBVS 5263 </t>
  </si>
  <si>
    <t>2451241.5290 </t>
  </si>
  <si>
    <t> 04.03.1999 00:41 </t>
  </si>
  <si>
    <t> -0.0014 </t>
  </si>
  <si>
    <t>2451555.5976 </t>
  </si>
  <si>
    <t> 12.01.2000 02:20 </t>
  </si>
  <si>
    <t> -0.0036 </t>
  </si>
  <si>
    <t> BRNO 32 </t>
  </si>
  <si>
    <t>2451608.4526 </t>
  </si>
  <si>
    <t> 04.03.2000 22:51 </t>
  </si>
  <si>
    <t> -0.0020 </t>
  </si>
  <si>
    <t>IBVS 5287 </t>
  </si>
  <si>
    <t>2451924.55782 </t>
  </si>
  <si>
    <t> 15.01.2001 01:23 </t>
  </si>
  <si>
    <t> -0.00034 </t>
  </si>
  <si>
    <t>C </t>
  </si>
  <si>
    <t>o</t>
  </si>
  <si>
    <t> J.Šafár </t>
  </si>
  <si>
    <t>OEJV 0074 </t>
  </si>
  <si>
    <t>2452717.3591 </t>
  </si>
  <si>
    <t> 18.03.2003 20:37 </t>
  </si>
  <si>
    <t> 0.0009 </t>
  </si>
  <si>
    <t> R.Diethelm </t>
  </si>
  <si>
    <t> BBS 129 </t>
  </si>
  <si>
    <t>2453463.4023 </t>
  </si>
  <si>
    <t> 02.04.2005 21:39 </t>
  </si>
  <si>
    <t> -0.0011 </t>
  </si>
  <si>
    <t>-I</t>
  </si>
  <si>
    <t> F.Agerer </t>
  </si>
  <si>
    <t>BAVM 173 </t>
  </si>
  <si>
    <t>2454205.3836 </t>
  </si>
  <si>
    <t> 14.04.2007 21:12 </t>
  </si>
  <si>
    <t>1677</t>
  </si>
  <si>
    <t> 0.0007 </t>
  </si>
  <si>
    <t>R</t>
  </si>
  <si>
    <t> M.Lehky </t>
  </si>
  <si>
    <t>OEJV 0107 </t>
  </si>
  <si>
    <t>2454455.4200 </t>
  </si>
  <si>
    <t> 20.12.2007 22:04 </t>
  </si>
  <si>
    <t>1923</t>
  </si>
  <si>
    <t> 0.0002 </t>
  </si>
  <si>
    <t> Moschner &amp; Frank </t>
  </si>
  <si>
    <t>BAVM 203 </t>
  </si>
  <si>
    <t>2454509.2891 </t>
  </si>
  <si>
    <t> 12.02.2008 18:56 </t>
  </si>
  <si>
    <t>1976</t>
  </si>
  <si>
    <t> -0.0005 </t>
  </si>
  <si>
    <t> W.Moschner &amp; P.Frank </t>
  </si>
  <si>
    <t>BAVM 209 </t>
  </si>
  <si>
    <t>2455624.2950 </t>
  </si>
  <si>
    <t> 03.03.2011 19:04 </t>
  </si>
  <si>
    <t>3073</t>
  </si>
  <si>
    <t> 0.0033 </t>
  </si>
  <si>
    <t> U.Schmidt </t>
  </si>
  <si>
    <t>BAVM 220 </t>
  </si>
  <si>
    <t>2455628.3576 </t>
  </si>
  <si>
    <t> 07.03.2011 20:34 </t>
  </si>
  <si>
    <t>3077</t>
  </si>
  <si>
    <t> 0.0003 </t>
  </si>
  <si>
    <t>2455648.6848 </t>
  </si>
  <si>
    <t> 28.03.2011 04:26 </t>
  </si>
  <si>
    <t>3097</t>
  </si>
  <si>
    <t> -0.0007 </t>
  </si>
  <si>
    <t>IBVS 5992 </t>
  </si>
  <si>
    <t>2456003.41271 </t>
  </si>
  <si>
    <t> 16.03.2012 21:54 </t>
  </si>
  <si>
    <t>3446</t>
  </si>
  <si>
    <t> 0.00002 </t>
  </si>
  <si>
    <t> J.Trnka </t>
  </si>
  <si>
    <t>OEJV 0160 </t>
  </si>
  <si>
    <t>2456021.7065 </t>
  </si>
  <si>
    <t> 04.04.2012 04:57 </t>
  </si>
  <si>
    <t>3464</t>
  </si>
  <si>
    <t> -0.0016 </t>
  </si>
  <si>
    <t>IBVS 6029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</si>
</sst>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AH Lyn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0.0025</c:v>
                  </c:pt>
                  <c:pt idx="1">
                    <c:v>0.0023</c:v>
                  </c:pt>
                  <c:pt idx="2">
                    <c:v>0.0048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0.0017</c:v>
                  </c:pt>
                  <c:pt idx="6">
                    <c:v>0.0021</c:v>
                  </c:pt>
                  <c:pt idx="7">
                    <c:v>NaN</c:v>
                  </c:pt>
                  <c:pt idx="8">
                    <c:v>0.0019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0.0001</c:v>
                  </c:pt>
                  <c:pt idx="14">
                    <c:v>0.0013</c:v>
                  </c:pt>
                  <c:pt idx="15">
                    <c:v>0.0009</c:v>
                  </c:pt>
                  <c:pt idx="16">
                    <c:v>0.0004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0.0025</c:v>
                  </c:pt>
                  <c:pt idx="1">
                    <c:v>0.0023</c:v>
                  </c:pt>
                  <c:pt idx="2">
                    <c:v>0.0048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0.0017</c:v>
                  </c:pt>
                  <c:pt idx="6">
                    <c:v>0.0021</c:v>
                  </c:pt>
                  <c:pt idx="7">
                    <c:v>NaN</c:v>
                  </c:pt>
                  <c:pt idx="8">
                    <c:v>0.0019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0.0001</c:v>
                  </c:pt>
                  <c:pt idx="14">
                    <c:v>0.0013</c:v>
                  </c:pt>
                  <c:pt idx="15">
                    <c:v>0.0009</c:v>
                  </c:pt>
                  <c:pt idx="16">
                    <c:v>0.0004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0.0025</c:v>
                  </c:pt>
                  <c:pt idx="1">
                    <c:v>0.0023</c:v>
                  </c:pt>
                  <c:pt idx="2">
                    <c:v>0.0048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0.0017</c:v>
                  </c:pt>
                  <c:pt idx="6">
                    <c:v>0.0021</c:v>
                  </c:pt>
                  <c:pt idx="7">
                    <c:v>NaN</c:v>
                  </c:pt>
                  <c:pt idx="8">
                    <c:v>0.0019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0.0001</c:v>
                  </c:pt>
                  <c:pt idx="14">
                    <c:v>0.0013</c:v>
                  </c:pt>
                  <c:pt idx="15">
                    <c:v>0.0009</c:v>
                  </c:pt>
                  <c:pt idx="16">
                    <c:v>0.0004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0.0025</c:v>
                  </c:pt>
                  <c:pt idx="1">
                    <c:v>0.0023</c:v>
                  </c:pt>
                  <c:pt idx="2">
                    <c:v>0.0048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0.0017</c:v>
                  </c:pt>
                  <c:pt idx="6">
                    <c:v>0.0021</c:v>
                  </c:pt>
                  <c:pt idx="7">
                    <c:v>NaN</c:v>
                  </c:pt>
                  <c:pt idx="8">
                    <c:v>0.0019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0.0001</c:v>
                  </c:pt>
                  <c:pt idx="14">
                    <c:v>0.0013</c:v>
                  </c:pt>
                  <c:pt idx="15">
                    <c:v>0.0009</c:v>
                  </c:pt>
                  <c:pt idx="16">
                    <c:v>0.0004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0.0025</c:v>
                  </c:pt>
                  <c:pt idx="1">
                    <c:v>0.0023</c:v>
                  </c:pt>
                  <c:pt idx="2">
                    <c:v>0.0048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0.0017</c:v>
                  </c:pt>
                  <c:pt idx="6">
                    <c:v>0.0021</c:v>
                  </c:pt>
                  <c:pt idx="7">
                    <c:v>NaN</c:v>
                  </c:pt>
                  <c:pt idx="8">
                    <c:v>0.0019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0.0001</c:v>
                  </c:pt>
                  <c:pt idx="14">
                    <c:v>0.0013</c:v>
                  </c:pt>
                  <c:pt idx="15">
                    <c:v>0.0009</c:v>
                  </c:pt>
                  <c:pt idx="16">
                    <c:v>0.0004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0.0025</c:v>
                  </c:pt>
                  <c:pt idx="1">
                    <c:v>0.0023</c:v>
                  </c:pt>
                  <c:pt idx="2">
                    <c:v>0.0048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0.0017</c:v>
                  </c:pt>
                  <c:pt idx="6">
                    <c:v>0.0021</c:v>
                  </c:pt>
                  <c:pt idx="7">
                    <c:v>NaN</c:v>
                  </c:pt>
                  <c:pt idx="8">
                    <c:v>0.0019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0.0001</c:v>
                  </c:pt>
                  <c:pt idx="14">
                    <c:v>0.0013</c:v>
                  </c:pt>
                  <c:pt idx="15">
                    <c:v>0.0009</c:v>
                  </c:pt>
                  <c:pt idx="16">
                    <c:v>0.0004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0.0025</c:v>
                  </c:pt>
                  <c:pt idx="1">
                    <c:v>0.0023</c:v>
                  </c:pt>
                  <c:pt idx="2">
                    <c:v>0.0048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0.0017</c:v>
                  </c:pt>
                  <c:pt idx="6">
                    <c:v>0.0021</c:v>
                  </c:pt>
                  <c:pt idx="7">
                    <c:v>NaN</c:v>
                  </c:pt>
                  <c:pt idx="8">
                    <c:v>0.0019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0.0001</c:v>
                  </c:pt>
                  <c:pt idx="14">
                    <c:v>0.0013</c:v>
                  </c:pt>
                  <c:pt idx="15">
                    <c:v>0.0009</c:v>
                  </c:pt>
                  <c:pt idx="16">
                    <c:v>0.0004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0.0025</c:v>
                  </c:pt>
                  <c:pt idx="1">
                    <c:v>0.0023</c:v>
                  </c:pt>
                  <c:pt idx="2">
                    <c:v>0.0048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0.0017</c:v>
                  </c:pt>
                  <c:pt idx="6">
                    <c:v>0.0021</c:v>
                  </c:pt>
                  <c:pt idx="7">
                    <c:v>NaN</c:v>
                  </c:pt>
                  <c:pt idx="8">
                    <c:v>0.0019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0.0001</c:v>
                  </c:pt>
                  <c:pt idx="14">
                    <c:v>0.0013</c:v>
                  </c:pt>
                  <c:pt idx="15">
                    <c:v>0.0009</c:v>
                  </c:pt>
                  <c:pt idx="16">
                    <c:v>0.0004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0.0025</c:v>
                  </c:pt>
                  <c:pt idx="1">
                    <c:v>0.0023</c:v>
                  </c:pt>
                  <c:pt idx="2">
                    <c:v>0.0048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0.0017</c:v>
                  </c:pt>
                  <c:pt idx="6">
                    <c:v>0.0021</c:v>
                  </c:pt>
                  <c:pt idx="7">
                    <c:v>NaN</c:v>
                  </c:pt>
                  <c:pt idx="8">
                    <c:v>0.0019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0.0001</c:v>
                  </c:pt>
                  <c:pt idx="14">
                    <c:v>0.0013</c:v>
                  </c:pt>
                  <c:pt idx="15">
                    <c:v>0.0009</c:v>
                  </c:pt>
                  <c:pt idx="16">
                    <c:v>0.0004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0.0025</c:v>
                  </c:pt>
                  <c:pt idx="1">
                    <c:v>0.0023</c:v>
                  </c:pt>
                  <c:pt idx="2">
                    <c:v>0.0048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0.0017</c:v>
                  </c:pt>
                  <c:pt idx="6">
                    <c:v>0.0021</c:v>
                  </c:pt>
                  <c:pt idx="7">
                    <c:v>NaN</c:v>
                  </c:pt>
                  <c:pt idx="8">
                    <c:v>0.0019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0.0001</c:v>
                  </c:pt>
                  <c:pt idx="14">
                    <c:v>0.0013</c:v>
                  </c:pt>
                  <c:pt idx="15">
                    <c:v>0.0009</c:v>
                  </c:pt>
                  <c:pt idx="16">
                    <c:v>0.0004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0.0025</c:v>
                  </c:pt>
                  <c:pt idx="1">
                    <c:v>0.0023</c:v>
                  </c:pt>
                  <c:pt idx="2">
                    <c:v>0.0048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0.0017</c:v>
                  </c:pt>
                  <c:pt idx="6">
                    <c:v>0.0021</c:v>
                  </c:pt>
                  <c:pt idx="7">
                    <c:v>NaN</c:v>
                  </c:pt>
                  <c:pt idx="8">
                    <c:v>0.0019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0.0001</c:v>
                  </c:pt>
                  <c:pt idx="14">
                    <c:v>0.0013</c:v>
                  </c:pt>
                  <c:pt idx="15">
                    <c:v>0.0009</c:v>
                  </c:pt>
                  <c:pt idx="16">
                    <c:v>0.0004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0.0025</c:v>
                  </c:pt>
                  <c:pt idx="1">
                    <c:v>0.0023</c:v>
                  </c:pt>
                  <c:pt idx="2">
                    <c:v>0.0048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0.0017</c:v>
                  </c:pt>
                  <c:pt idx="6">
                    <c:v>0.0021</c:v>
                  </c:pt>
                  <c:pt idx="7">
                    <c:v>NaN</c:v>
                  </c:pt>
                  <c:pt idx="8">
                    <c:v>0.0019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0.0001</c:v>
                  </c:pt>
                  <c:pt idx="14">
                    <c:v>0.0013</c:v>
                  </c:pt>
                  <c:pt idx="15">
                    <c:v>0.0009</c:v>
                  </c:pt>
                  <c:pt idx="16">
                    <c:v>0.0004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0.0025</c:v>
                  </c:pt>
                  <c:pt idx="1">
                    <c:v>0.0023</c:v>
                  </c:pt>
                  <c:pt idx="2">
                    <c:v>0.0048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0.0017</c:v>
                  </c:pt>
                  <c:pt idx="6">
                    <c:v>0.0021</c:v>
                  </c:pt>
                  <c:pt idx="7">
                    <c:v>NaN</c:v>
                  </c:pt>
                  <c:pt idx="8">
                    <c:v>0.0019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0.0001</c:v>
                  </c:pt>
                  <c:pt idx="14">
                    <c:v>0.0013</c:v>
                  </c:pt>
                  <c:pt idx="15">
                    <c:v>0.0009</c:v>
                  </c:pt>
                  <c:pt idx="16">
                    <c:v>0.0004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0.0025</c:v>
                  </c:pt>
                  <c:pt idx="1">
                    <c:v>0.0023</c:v>
                  </c:pt>
                  <c:pt idx="2">
                    <c:v>0.0048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0.0017</c:v>
                  </c:pt>
                  <c:pt idx="6">
                    <c:v>0.0021</c:v>
                  </c:pt>
                  <c:pt idx="7">
                    <c:v>NaN</c:v>
                  </c:pt>
                  <c:pt idx="8">
                    <c:v>0.0019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0.0001</c:v>
                  </c:pt>
                  <c:pt idx="14">
                    <c:v>0.0013</c:v>
                  </c:pt>
                  <c:pt idx="15">
                    <c:v>0.0009</c:v>
                  </c:pt>
                  <c:pt idx="16">
                    <c:v>0.0004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22845586"/>
        <c:axId val="4283683"/>
      </c:scatterChart>
      <c:valAx>
        <c:axId val="2284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3683"/>
        <c:crosses val="autoZero"/>
        <c:crossBetween val="midCat"/>
        <c:dispUnits/>
      </c:valAx>
      <c:valAx>
        <c:axId val="4283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558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3375"/>
          <c:w val="0.69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7" TargetMode="External" /><Relationship Id="rId2" Type="http://schemas.openxmlformats.org/officeDocument/2006/relationships/hyperlink" Target="http://www.konkoly.hu/cgi-bin/IBVS?4888" TargetMode="External" /><Relationship Id="rId3" Type="http://schemas.openxmlformats.org/officeDocument/2006/relationships/hyperlink" Target="http://www.konkoly.hu/cgi-bin/IBVS?5263" TargetMode="External" /><Relationship Id="rId4" Type="http://schemas.openxmlformats.org/officeDocument/2006/relationships/hyperlink" Target="http://www.konkoly.hu/cgi-bin/IBVS?5263" TargetMode="External" /><Relationship Id="rId5" Type="http://schemas.openxmlformats.org/officeDocument/2006/relationships/hyperlink" Target="http://www.konkoly.hu/cgi-bin/IBVS?5287" TargetMode="External" /><Relationship Id="rId6" Type="http://schemas.openxmlformats.org/officeDocument/2006/relationships/hyperlink" Target="http://var.astro.cz/oejv/issues/oejv0074.pdf" TargetMode="External" /><Relationship Id="rId7" Type="http://schemas.openxmlformats.org/officeDocument/2006/relationships/hyperlink" Target="http://www.bav-astro.de/sfs/BAVM_link.php?BAVMnr=173" TargetMode="External" /><Relationship Id="rId8" Type="http://schemas.openxmlformats.org/officeDocument/2006/relationships/hyperlink" Target="http://var.astro.cz/oejv/issues/oejv0107.pdf" TargetMode="External" /><Relationship Id="rId9" Type="http://schemas.openxmlformats.org/officeDocument/2006/relationships/hyperlink" Target="http://www.bav-astro.de/sfs/BAVM_link.php?BAVMnr=203" TargetMode="External" /><Relationship Id="rId10" Type="http://schemas.openxmlformats.org/officeDocument/2006/relationships/hyperlink" Target="http://www.bav-astro.de/sfs/BAVM_link.php?BAVMnr=209" TargetMode="External" /><Relationship Id="rId11" Type="http://schemas.openxmlformats.org/officeDocument/2006/relationships/hyperlink" Target="http://www.bav-astro.de/sfs/BAVM_link.php?BAVMnr=220" TargetMode="External" /><Relationship Id="rId12" Type="http://schemas.openxmlformats.org/officeDocument/2006/relationships/hyperlink" Target="http://www.bav-astro.de/sfs/BAVM_link.php?BAVMnr=220" TargetMode="External" /><Relationship Id="rId13" Type="http://schemas.openxmlformats.org/officeDocument/2006/relationships/hyperlink" Target="http://www.konkoly.hu/cgi-bin/IBVS?5992" TargetMode="External" /><Relationship Id="rId14" Type="http://schemas.openxmlformats.org/officeDocument/2006/relationships/hyperlink" Target="http://var.astro.cz/oejv/issues/oejv0160.pdf" TargetMode="External" /><Relationship Id="rId15" Type="http://schemas.openxmlformats.org/officeDocument/2006/relationships/hyperlink" Target="http://www.konkoly.hu/cgi-bin/IBVS?60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40</v>
      </c>
      <c r="F1" s="3">
        <v>52500.862</v>
      </c>
      <c r="G1" s="3">
        <v>1.0164114</v>
      </c>
      <c r="H1" s="3" t="s">
        <v>41</v>
      </c>
    </row>
    <row r="2" spans="1:4" ht="12.75">
      <c r="A2" t="s">
        <v>22</v>
      </c>
      <c r="B2" t="str">
        <f>H1</f>
        <v>EA        </v>
      </c>
      <c r="C2" s="3"/>
      <c r="D2" s="3"/>
    </row>
    <row r="3" ht="13.5" thickBot="1"/>
    <row r="4" spans="1:4" ht="14.25" thickBot="1" thickTop="1">
      <c r="A4" s="5" t="s">
        <v>39</v>
      </c>
      <c r="C4" s="8">
        <f>F1</f>
        <v>52500.862</v>
      </c>
      <c r="D4" s="9">
        <f>G1</f>
        <v>1.0164114</v>
      </c>
    </row>
    <row r="5" ht="12.75">
      <c r="C5" s="30" t="s">
        <v>37</v>
      </c>
    </row>
    <row r="6" ht="12.75">
      <c r="A6" s="5" t="s">
        <v>0</v>
      </c>
    </row>
    <row r="7" spans="1:3" ht="12.75">
      <c r="A7" t="s">
        <v>1</v>
      </c>
      <c r="C7">
        <f>C4</f>
        <v>52500.862</v>
      </c>
    </row>
    <row r="8" spans="1:4" ht="12.75">
      <c r="A8" t="s">
        <v>2</v>
      </c>
      <c r="C8">
        <f>D4</f>
        <v>1.0164114</v>
      </c>
      <c r="D8" s="29"/>
    </row>
    <row r="9" spans="1:5" ht="12.75">
      <c r="A9" s="11" t="s">
        <v>29</v>
      </c>
      <c r="B9" s="12"/>
      <c r="C9" s="13">
        <v>-9.5</v>
      </c>
      <c r="D9" s="12" t="s">
        <v>30</v>
      </c>
      <c r="E9" s="12"/>
    </row>
    <row r="10" spans="1:5" ht="13.5" thickBot="1">
      <c r="A10" s="12"/>
      <c r="B10" s="12"/>
      <c r="C10" s="4" t="s">
        <v>18</v>
      </c>
      <c r="D10" s="4" t="s">
        <v>19</v>
      </c>
      <c r="E10" s="12"/>
    </row>
    <row r="11" spans="1:7" ht="12.75">
      <c r="A11" s="12" t="s">
        <v>14</v>
      </c>
      <c r="B11" s="12"/>
      <c r="C11" s="24">
        <f ca="1">INTERCEPT(INDIRECT($G$11):G992,INDIRECT($F$11):F992)</f>
        <v>-0.0006294875551711688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SLOPE(INDIRECT($G$11):G992,INDIRECT($F$11):F992)</f>
        <v>-4.417864804859579E-07</v>
      </c>
      <c r="D12" s="3"/>
      <c r="E12" s="12"/>
    </row>
    <row r="13" spans="1:5" ht="12.75">
      <c r="A13" s="12" t="s">
        <v>17</v>
      </c>
      <c r="B13" s="12"/>
      <c r="C13" s="3" t="s">
        <v>12</v>
      </c>
      <c r="D13" s="16" t="s">
        <v>51</v>
      </c>
      <c r="E13" s="13">
        <v>1</v>
      </c>
    </row>
    <row r="14" spans="1:5" ht="12.75">
      <c r="A14" s="12"/>
      <c r="B14" s="12"/>
      <c r="C14" s="12"/>
      <c r="D14" s="16" t="s">
        <v>31</v>
      </c>
      <c r="E14" s="17">
        <f ca="1">NOW()+15018.5+$C$9/24</f>
        <v>59903.63256215277</v>
      </c>
    </row>
    <row r="15" spans="1:5" ht="12.75">
      <c r="A15" s="14" t="s">
        <v>16</v>
      </c>
      <c r="B15" s="12"/>
      <c r="C15" s="15">
        <f>(C7+C11)+(C8+C12)*INT(MAX(F21:F3533))</f>
        <v>56021.70892976408</v>
      </c>
      <c r="D15" s="16" t="s">
        <v>52</v>
      </c>
      <c r="E15" s="17">
        <f>ROUND(2*(E14-$C$7)/$C$8,0)/2+E13</f>
        <v>7284</v>
      </c>
    </row>
    <row r="16" spans="1:5" ht="12.75">
      <c r="A16" s="18" t="s">
        <v>3</v>
      </c>
      <c r="B16" s="12"/>
      <c r="C16" s="19">
        <f>+C8+C12</f>
        <v>1.0164109582135195</v>
      </c>
      <c r="D16" s="16" t="s">
        <v>32</v>
      </c>
      <c r="E16" s="26">
        <f>ROUND(2*(E14-$C$15)/$C$16,0)/2+E13</f>
        <v>3820</v>
      </c>
    </row>
    <row r="17" spans="1:5" ht="13.5" thickBot="1">
      <c r="A17" s="16" t="s">
        <v>28</v>
      </c>
      <c r="B17" s="12"/>
      <c r="C17" s="12">
        <f>COUNT(C21:C2191)</f>
        <v>19</v>
      </c>
      <c r="D17" s="16" t="s">
        <v>33</v>
      </c>
      <c r="E17" s="20">
        <f>+$C$15+$C$16*E16-15018.5-$C$9/24</f>
        <v>44886.294623473055</v>
      </c>
    </row>
    <row r="18" spans="1:5" ht="14.25" thickBot="1" thickTop="1">
      <c r="A18" s="18" t="s">
        <v>4</v>
      </c>
      <c r="B18" s="12"/>
      <c r="C18" s="21">
        <f>+C15</f>
        <v>56021.70892976408</v>
      </c>
      <c r="D18" s="22">
        <f>+C16</f>
        <v>1.0164109582135195</v>
      </c>
      <c r="E18" s="23" t="s">
        <v>34</v>
      </c>
    </row>
    <row r="19" spans="1:5" ht="13.5" thickTop="1">
      <c r="A19" s="27" t="s">
        <v>35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38</v>
      </c>
      <c r="I20" s="7" t="s">
        <v>27</v>
      </c>
      <c r="J20" s="7" t="s">
        <v>50</v>
      </c>
      <c r="K20" s="7" t="s">
        <v>23</v>
      </c>
      <c r="L20" s="7" t="s">
        <v>24</v>
      </c>
      <c r="M20" s="7" t="s">
        <v>25</v>
      </c>
      <c r="N20" s="7" t="s">
        <v>26</v>
      </c>
      <c r="O20" s="7" t="s">
        <v>21</v>
      </c>
      <c r="P20" s="6" t="s">
        <v>20</v>
      </c>
      <c r="Q20" s="4" t="s">
        <v>13</v>
      </c>
    </row>
    <row r="21" spans="1:17" ht="12.75">
      <c r="A21" s="32" t="s">
        <v>42</v>
      </c>
      <c r="B21" s="31"/>
      <c r="C21" s="32">
        <v>50184.4602</v>
      </c>
      <c r="D21" s="32">
        <v>0.0025</v>
      </c>
      <c r="E21">
        <f aca="true" t="shared" si="0" ref="E21:E39">+(C21-C$7)/C$8</f>
        <v>-2279.000215857476</v>
      </c>
      <c r="F21">
        <f aca="true" t="shared" si="1" ref="F21:F39">ROUND(2*E21,0)/2</f>
        <v>-2279</v>
      </c>
      <c r="G21">
        <f aca="true" t="shared" si="2" ref="G21:G39">+C21-(C$7+F21*C$8)</f>
        <v>-0.00021939999714959413</v>
      </c>
      <c r="I21">
        <f>+G21</f>
        <v>-0.00021939999714959413</v>
      </c>
      <c r="O21">
        <f aca="true" t="shared" si="3" ref="O21:O39">+C$11+C$12*$F21</f>
        <v>0.0003773438338563293</v>
      </c>
      <c r="Q21" s="2">
        <f aca="true" t="shared" si="4" ref="Q21:Q39">+C21-15018.5</f>
        <v>35165.9602</v>
      </c>
    </row>
    <row r="22" spans="1:17" ht="12.75">
      <c r="A22" s="36" t="s">
        <v>43</v>
      </c>
      <c r="B22" s="33"/>
      <c r="C22" s="36">
        <v>50925.4266</v>
      </c>
      <c r="D22" s="36">
        <v>0.0023</v>
      </c>
      <c r="E22">
        <f t="shared" si="0"/>
        <v>-1549.9977666523637</v>
      </c>
      <c r="F22">
        <f t="shared" si="1"/>
        <v>-1550</v>
      </c>
      <c r="G22">
        <f t="shared" si="2"/>
        <v>0.0022699999972246587</v>
      </c>
      <c r="I22">
        <f>+G22</f>
        <v>0.0022699999972246587</v>
      </c>
      <c r="O22">
        <f t="shared" si="3"/>
        <v>5.5281489582065984E-05</v>
      </c>
      <c r="Q22" s="2">
        <f t="shared" si="4"/>
        <v>35906.9266</v>
      </c>
    </row>
    <row r="23" spans="1:17" ht="12.75">
      <c r="A23" s="36" t="s">
        <v>44</v>
      </c>
      <c r="B23" s="34" t="s">
        <v>36</v>
      </c>
      <c r="C23" s="37">
        <v>51237.4575</v>
      </c>
      <c r="D23" s="37">
        <v>0.0048</v>
      </c>
      <c r="E23">
        <f t="shared" si="0"/>
        <v>-1243.005046972126</v>
      </c>
      <c r="F23">
        <f t="shared" si="1"/>
        <v>-1243</v>
      </c>
      <c r="G23">
        <f t="shared" si="2"/>
        <v>-0.005129800003487617</v>
      </c>
      <c r="I23">
        <f>+G23</f>
        <v>-0.005129800003487617</v>
      </c>
      <c r="O23">
        <f t="shared" si="3"/>
        <v>-8.034695992712305E-05</v>
      </c>
      <c r="Q23" s="2">
        <f t="shared" si="4"/>
        <v>36218.9575</v>
      </c>
    </row>
    <row r="24" spans="1:17" ht="12.75">
      <c r="A24" s="36" t="s">
        <v>44</v>
      </c>
      <c r="B24" s="34" t="s">
        <v>36</v>
      </c>
      <c r="C24" s="37">
        <v>51241.529</v>
      </c>
      <c r="D24" s="37">
        <v>0.004</v>
      </c>
      <c r="E24">
        <f t="shared" si="0"/>
        <v>-1238.999287099691</v>
      </c>
      <c r="F24">
        <f t="shared" si="1"/>
        <v>-1239</v>
      </c>
      <c r="G24">
        <f t="shared" si="2"/>
        <v>0.0007246000022860244</v>
      </c>
      <c r="I24">
        <f>+G24</f>
        <v>0.0007246000022860244</v>
      </c>
      <c r="O24">
        <f t="shared" si="3"/>
        <v>-8.211410584906692E-05</v>
      </c>
      <c r="Q24" s="2">
        <f t="shared" si="4"/>
        <v>36223.029</v>
      </c>
    </row>
    <row r="25" spans="1:17" ht="12.75">
      <c r="A25" s="58" t="s">
        <v>91</v>
      </c>
      <c r="B25" s="60" t="s">
        <v>36</v>
      </c>
      <c r="C25" s="59">
        <v>51555.5976</v>
      </c>
      <c r="D25" s="10"/>
      <c r="E25">
        <f t="shared" si="0"/>
        <v>-930.0017689687463</v>
      </c>
      <c r="F25">
        <f t="shared" si="1"/>
        <v>-930</v>
      </c>
      <c r="G25">
        <f t="shared" si="2"/>
        <v>-0.0017979999975068495</v>
      </c>
      <c r="K25">
        <f>+G25</f>
        <v>-0.0017979999975068495</v>
      </c>
      <c r="O25">
        <f t="shared" si="3"/>
        <v>-0.0002186261283192279</v>
      </c>
      <c r="Q25" s="2">
        <f t="shared" si="4"/>
        <v>36537.0976</v>
      </c>
    </row>
    <row r="26" spans="1:17" ht="12.75">
      <c r="A26" s="36" t="s">
        <v>45</v>
      </c>
      <c r="B26" s="34" t="s">
        <v>36</v>
      </c>
      <c r="C26" s="37">
        <v>51608.4526</v>
      </c>
      <c r="D26" s="37">
        <v>0.0017</v>
      </c>
      <c r="E26">
        <f t="shared" si="0"/>
        <v>-878.0001877192682</v>
      </c>
      <c r="F26">
        <f t="shared" si="1"/>
        <v>-878</v>
      </c>
      <c r="G26">
        <f t="shared" si="2"/>
        <v>-0.00019080000492976978</v>
      </c>
      <c r="I26">
        <f>+G26</f>
        <v>-0.00019080000492976978</v>
      </c>
      <c r="O26">
        <f t="shared" si="3"/>
        <v>-0.0002415990253044977</v>
      </c>
      <c r="Q26" s="2">
        <f t="shared" si="4"/>
        <v>36589.9526</v>
      </c>
    </row>
    <row r="27" spans="1:17" ht="12.75">
      <c r="A27" s="38" t="s">
        <v>48</v>
      </c>
      <c r="B27" s="39" t="s">
        <v>36</v>
      </c>
      <c r="C27" s="38">
        <v>51924.55782</v>
      </c>
      <c r="D27" s="38">
        <v>0.0021</v>
      </c>
      <c r="E27">
        <f t="shared" si="0"/>
        <v>-566.9989336994835</v>
      </c>
      <c r="F27">
        <f t="shared" si="1"/>
        <v>-567</v>
      </c>
      <c r="G27">
        <f t="shared" si="2"/>
        <v>0.00108380000165198</v>
      </c>
      <c r="J27">
        <f>+G27</f>
        <v>0.00108380000165198</v>
      </c>
      <c r="O27">
        <f t="shared" si="3"/>
        <v>-0.00037899462073563066</v>
      </c>
      <c r="Q27" s="2">
        <f t="shared" si="4"/>
        <v>36906.05782</v>
      </c>
    </row>
    <row r="28" spans="1:17" ht="12.75">
      <c r="A28" s="32" t="s">
        <v>38</v>
      </c>
      <c r="B28" s="31" t="s">
        <v>36</v>
      </c>
      <c r="C28" s="32">
        <v>52500.862</v>
      </c>
      <c r="D28" s="40"/>
      <c r="E28">
        <f t="shared" si="0"/>
        <v>0</v>
      </c>
      <c r="F28">
        <f t="shared" si="1"/>
        <v>0</v>
      </c>
      <c r="G28">
        <f t="shared" si="2"/>
        <v>0</v>
      </c>
      <c r="H28">
        <f>+G28</f>
        <v>0</v>
      </c>
      <c r="O28">
        <f t="shared" si="3"/>
        <v>-0.0006294875551711688</v>
      </c>
      <c r="Q28" s="2">
        <f t="shared" si="4"/>
        <v>37482.362</v>
      </c>
    </row>
    <row r="29" spans="1:17" ht="12.75">
      <c r="A29" s="32" t="s">
        <v>46</v>
      </c>
      <c r="B29" s="31" t="s">
        <v>36</v>
      </c>
      <c r="C29" s="32">
        <v>52717.3591</v>
      </c>
      <c r="D29" s="32">
        <v>0.0019</v>
      </c>
      <c r="E29">
        <f t="shared" si="0"/>
        <v>213.0014480357073</v>
      </c>
      <c r="F29">
        <f t="shared" si="1"/>
        <v>213</v>
      </c>
      <c r="G29">
        <f t="shared" si="2"/>
        <v>0.0014718000020366162</v>
      </c>
      <c r="I29">
        <f>+G29</f>
        <v>0.0014718000020366162</v>
      </c>
      <c r="O29">
        <f t="shared" si="3"/>
        <v>-0.0007235880755146778</v>
      </c>
      <c r="Q29" s="2">
        <f t="shared" si="4"/>
        <v>37698.8591</v>
      </c>
    </row>
    <row r="30" spans="1:17" ht="12.75">
      <c r="A30" s="36" t="s">
        <v>47</v>
      </c>
      <c r="B30" s="35"/>
      <c r="C30" s="32">
        <v>53463.4023</v>
      </c>
      <c r="D30" s="32">
        <v>0.0003</v>
      </c>
      <c r="E30">
        <f t="shared" si="0"/>
        <v>946.9987251225248</v>
      </c>
      <c r="F30">
        <f t="shared" si="1"/>
        <v>947</v>
      </c>
      <c r="G30">
        <f t="shared" si="2"/>
        <v>-0.001295800000661984</v>
      </c>
      <c r="I30">
        <f>+G30</f>
        <v>-0.001295800000661984</v>
      </c>
      <c r="O30">
        <f t="shared" si="3"/>
        <v>-0.0010478593521913708</v>
      </c>
      <c r="Q30" s="2">
        <f t="shared" si="4"/>
        <v>38444.9023</v>
      </c>
    </row>
    <row r="31" spans="1:17" ht="12.75">
      <c r="A31" s="58" t="s">
        <v>120</v>
      </c>
      <c r="B31" s="60" t="s">
        <v>36</v>
      </c>
      <c r="C31" s="59">
        <v>54205.3836</v>
      </c>
      <c r="D31" s="10"/>
      <c r="E31">
        <f t="shared" si="0"/>
        <v>1676.9996873313307</v>
      </c>
      <c r="F31">
        <f t="shared" si="1"/>
        <v>1677</v>
      </c>
      <c r="G31">
        <f t="shared" si="2"/>
        <v>-0.0003177999969921075</v>
      </c>
      <c r="K31">
        <f>+G31</f>
        <v>-0.0003177999969921075</v>
      </c>
      <c r="O31">
        <f t="shared" si="3"/>
        <v>-0.0013703634829461203</v>
      </c>
      <c r="Q31" s="2">
        <f t="shared" si="4"/>
        <v>39186.8836</v>
      </c>
    </row>
    <row r="32" spans="1:17" ht="12.75">
      <c r="A32" s="41" t="s">
        <v>49</v>
      </c>
      <c r="B32" s="31" t="s">
        <v>36</v>
      </c>
      <c r="C32" s="32">
        <v>54205.38367</v>
      </c>
      <c r="D32" s="32">
        <v>0.0001</v>
      </c>
      <c r="E32">
        <f t="shared" si="0"/>
        <v>1676.9997562010835</v>
      </c>
      <c r="F32">
        <f t="shared" si="1"/>
        <v>1677</v>
      </c>
      <c r="G32">
        <f t="shared" si="2"/>
        <v>-0.0002477999951224774</v>
      </c>
      <c r="J32">
        <f>+G32</f>
        <v>-0.0002477999951224774</v>
      </c>
      <c r="O32">
        <f t="shared" si="3"/>
        <v>-0.0013703634829461203</v>
      </c>
      <c r="Q32" s="2">
        <f t="shared" si="4"/>
        <v>39186.88367</v>
      </c>
    </row>
    <row r="33" spans="1:17" ht="12.75">
      <c r="A33" s="58" t="s">
        <v>126</v>
      </c>
      <c r="B33" s="60" t="s">
        <v>36</v>
      </c>
      <c r="C33" s="59">
        <v>54455.42</v>
      </c>
      <c r="D33" s="10"/>
      <c r="E33">
        <f t="shared" si="0"/>
        <v>1922.998895919504</v>
      </c>
      <c r="F33">
        <f t="shared" si="1"/>
        <v>1923</v>
      </c>
      <c r="G33">
        <f t="shared" si="2"/>
        <v>-0.0011222000030102208</v>
      </c>
      <c r="K33">
        <f>+G33</f>
        <v>-0.0011222000030102208</v>
      </c>
      <c r="O33">
        <f t="shared" si="3"/>
        <v>-0.001479042957145666</v>
      </c>
      <c r="Q33" s="2">
        <f t="shared" si="4"/>
        <v>39436.92</v>
      </c>
    </row>
    <row r="34" spans="1:17" ht="12.75">
      <c r="A34" s="36" t="s">
        <v>53</v>
      </c>
      <c r="B34" s="33" t="s">
        <v>36</v>
      </c>
      <c r="C34" s="36">
        <v>54509.2891</v>
      </c>
      <c r="D34" s="36">
        <v>0.0001</v>
      </c>
      <c r="E34">
        <f t="shared" si="0"/>
        <v>1975.9982030898127</v>
      </c>
      <c r="F34">
        <f t="shared" si="1"/>
        <v>1976</v>
      </c>
      <c r="G34">
        <f t="shared" si="2"/>
        <v>-0.0018264000027556904</v>
      </c>
      <c r="I34">
        <f>+G34</f>
        <v>-0.0018264000027556904</v>
      </c>
      <c r="O34">
        <f t="shared" si="3"/>
        <v>-0.0015024576406114216</v>
      </c>
      <c r="Q34" s="2">
        <f t="shared" si="4"/>
        <v>39490.7891</v>
      </c>
    </row>
    <row r="35" spans="1:17" ht="12.75">
      <c r="A35" s="36" t="s">
        <v>55</v>
      </c>
      <c r="B35" s="33" t="s">
        <v>36</v>
      </c>
      <c r="C35" s="36">
        <v>55624.295</v>
      </c>
      <c r="D35" s="36">
        <v>0.0013</v>
      </c>
      <c r="E35">
        <f t="shared" si="0"/>
        <v>3073.00075540278</v>
      </c>
      <c r="F35">
        <f t="shared" si="1"/>
        <v>3073</v>
      </c>
      <c r="G35">
        <f t="shared" si="2"/>
        <v>0.0007677999965380877</v>
      </c>
      <c r="I35">
        <f>+G35</f>
        <v>0.0007677999965380877</v>
      </c>
      <c r="O35">
        <f t="shared" si="3"/>
        <v>-0.0019870974097045174</v>
      </c>
      <c r="Q35" s="2">
        <f t="shared" si="4"/>
        <v>40605.795</v>
      </c>
    </row>
    <row r="36" spans="1:17" ht="12.75">
      <c r="A36" s="36" t="s">
        <v>55</v>
      </c>
      <c r="B36" s="33" t="s">
        <v>36</v>
      </c>
      <c r="C36" s="36">
        <v>55628.3576</v>
      </c>
      <c r="D36" s="36">
        <v>0.0009</v>
      </c>
      <c r="E36">
        <f t="shared" si="0"/>
        <v>3076.9977589783057</v>
      </c>
      <c r="F36">
        <f t="shared" si="1"/>
        <v>3077</v>
      </c>
      <c r="G36">
        <f t="shared" si="2"/>
        <v>-0.002277799998410046</v>
      </c>
      <c r="I36">
        <f>+G36</f>
        <v>-0.002277799998410046</v>
      </c>
      <c r="O36">
        <f t="shared" si="3"/>
        <v>-0.0019888645556264614</v>
      </c>
      <c r="Q36" s="2">
        <f t="shared" si="4"/>
        <v>40609.8576</v>
      </c>
    </row>
    <row r="37" spans="1:17" ht="12.75">
      <c r="A37" s="36" t="s">
        <v>54</v>
      </c>
      <c r="B37" s="33" t="s">
        <v>36</v>
      </c>
      <c r="C37" s="36">
        <v>55648.6848</v>
      </c>
      <c r="D37" s="36">
        <v>0.0004</v>
      </c>
      <c r="E37">
        <f t="shared" si="0"/>
        <v>3096.9967475768194</v>
      </c>
      <c r="F37">
        <f t="shared" si="1"/>
        <v>3097</v>
      </c>
      <c r="G37">
        <f t="shared" si="2"/>
        <v>-0.0033057999971788377</v>
      </c>
      <c r="I37">
        <f>+G37</f>
        <v>-0.0033057999971788377</v>
      </c>
      <c r="O37">
        <f t="shared" si="3"/>
        <v>-0.0019977002852361804</v>
      </c>
      <c r="Q37" s="2">
        <f t="shared" si="4"/>
        <v>40630.1848</v>
      </c>
    </row>
    <row r="38" spans="1:17" ht="12.75">
      <c r="A38" s="42" t="s">
        <v>57</v>
      </c>
      <c r="B38" s="43" t="s">
        <v>36</v>
      </c>
      <c r="C38" s="44">
        <v>56003.41271</v>
      </c>
      <c r="D38" s="44">
        <v>0.0001</v>
      </c>
      <c r="E38">
        <f t="shared" si="0"/>
        <v>3445.997073625892</v>
      </c>
      <c r="F38">
        <f t="shared" si="1"/>
        <v>3446</v>
      </c>
      <c r="G38">
        <f t="shared" si="2"/>
        <v>-0.0029744000057689846</v>
      </c>
      <c r="J38">
        <f>+G38</f>
        <v>-0.0029744000057689846</v>
      </c>
      <c r="O38">
        <f t="shared" si="3"/>
        <v>-0.0021518837669257797</v>
      </c>
      <c r="Q38" s="2">
        <f t="shared" si="4"/>
        <v>40984.91271</v>
      </c>
    </row>
    <row r="39" spans="1:17" ht="12.75">
      <c r="A39" s="32" t="s">
        <v>56</v>
      </c>
      <c r="B39" s="31" t="s">
        <v>36</v>
      </c>
      <c r="C39" s="32">
        <v>56021.7065</v>
      </c>
      <c r="D39" s="32">
        <v>0.0004</v>
      </c>
      <c r="E39">
        <f t="shared" si="0"/>
        <v>3463.9954845055845</v>
      </c>
      <c r="F39">
        <f t="shared" si="1"/>
        <v>3464</v>
      </c>
      <c r="G39">
        <f t="shared" si="2"/>
        <v>-0.00458960000105435</v>
      </c>
      <c r="I39">
        <f>+G39</f>
        <v>-0.00458960000105435</v>
      </c>
      <c r="O39">
        <f t="shared" si="3"/>
        <v>-0.0021598359235745273</v>
      </c>
      <c r="Q39" s="2">
        <f t="shared" si="4"/>
        <v>41003.2065</v>
      </c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2"/>
  <sheetViews>
    <sheetView zoomScalePageLayoutView="0" workbookViewId="0" topLeftCell="A4">
      <selection activeCell="A25" sqref="A25:C27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5" t="s">
        <v>58</v>
      </c>
      <c r="I1" s="46" t="s">
        <v>59</v>
      </c>
      <c r="J1" s="47" t="s">
        <v>60</v>
      </c>
    </row>
    <row r="2" spans="9:10" ht="12.75">
      <c r="I2" s="48" t="s">
        <v>61</v>
      </c>
      <c r="J2" s="49" t="s">
        <v>62</v>
      </c>
    </row>
    <row r="3" spans="1:10" ht="12.75">
      <c r="A3" s="50" t="s">
        <v>63</v>
      </c>
      <c r="I3" s="48" t="s">
        <v>64</v>
      </c>
      <c r="J3" s="49" t="s">
        <v>65</v>
      </c>
    </row>
    <row r="4" spans="9:10" ht="12.75">
      <c r="I4" s="48" t="s">
        <v>66</v>
      </c>
      <c r="J4" s="49" t="s">
        <v>65</v>
      </c>
    </row>
    <row r="5" spans="9:10" ht="13.5" thickBot="1">
      <c r="I5" s="51" t="s">
        <v>67</v>
      </c>
      <c r="J5" s="52" t="s">
        <v>68</v>
      </c>
    </row>
    <row r="10" ht="13.5" thickBot="1"/>
    <row r="11" spans="1:16" ht="12.75" customHeight="1" thickBot="1">
      <c r="A11" s="10" t="str">
        <f aca="true" t="shared" si="0" ref="A11:A27">P11</f>
        <v>IBVS 4887 </v>
      </c>
      <c r="B11" s="3" t="str">
        <f aca="true" t="shared" si="1" ref="B11:B27">IF(H11=INT(H11),"I","II")</f>
        <v>I</v>
      </c>
      <c r="C11" s="10">
        <f aca="true" t="shared" si="2" ref="C11:C27">1*G11</f>
        <v>50184.4602</v>
      </c>
      <c r="D11" s="12" t="str">
        <f aca="true" t="shared" si="3" ref="D11:D27">VLOOKUP(F11,I$1:J$5,2,FALSE)</f>
        <v>vis</v>
      </c>
      <c r="E11" s="53">
        <f>VLOOKUP(C11,A!C$21:E$973,3,FALSE)</f>
        <v>-2279.000215857476</v>
      </c>
      <c r="F11" s="3" t="s">
        <v>67</v>
      </c>
      <c r="G11" s="12" t="str">
        <f aca="true" t="shared" si="4" ref="G11:G27">MID(I11,3,LEN(I11)-3)</f>
        <v>50184.4602</v>
      </c>
      <c r="H11" s="10">
        <f aca="true" t="shared" si="5" ref="H11:H27">1*K11</f>
        <v>-2279</v>
      </c>
      <c r="I11" s="54" t="s">
        <v>69</v>
      </c>
      <c r="J11" s="55" t="s">
        <v>70</v>
      </c>
      <c r="K11" s="54">
        <v>-2279</v>
      </c>
      <c r="L11" s="54" t="s">
        <v>71</v>
      </c>
      <c r="M11" s="55" t="s">
        <v>72</v>
      </c>
      <c r="N11" s="55" t="s">
        <v>73</v>
      </c>
      <c r="O11" s="56" t="s">
        <v>74</v>
      </c>
      <c r="P11" s="57" t="s">
        <v>75</v>
      </c>
    </row>
    <row r="12" spans="1:16" ht="12.75" customHeight="1" thickBot="1">
      <c r="A12" s="10" t="str">
        <f t="shared" si="0"/>
        <v>IBVS 4888 </v>
      </c>
      <c r="B12" s="3" t="str">
        <f t="shared" si="1"/>
        <v>I</v>
      </c>
      <c r="C12" s="10">
        <f t="shared" si="2"/>
        <v>50925.4266</v>
      </c>
      <c r="D12" s="12" t="str">
        <f t="shared" si="3"/>
        <v>vis</v>
      </c>
      <c r="E12" s="53">
        <f>VLOOKUP(C12,A!C$21:E$973,3,FALSE)</f>
        <v>-1549.9977666523637</v>
      </c>
      <c r="F12" s="3" t="s">
        <v>67</v>
      </c>
      <c r="G12" s="12" t="str">
        <f t="shared" si="4"/>
        <v>50925.4266</v>
      </c>
      <c r="H12" s="10">
        <f t="shared" si="5"/>
        <v>-1550</v>
      </c>
      <c r="I12" s="54" t="s">
        <v>76</v>
      </c>
      <c r="J12" s="55" t="s">
        <v>77</v>
      </c>
      <c r="K12" s="54">
        <v>-1550</v>
      </c>
      <c r="L12" s="54" t="s">
        <v>78</v>
      </c>
      <c r="M12" s="55" t="s">
        <v>72</v>
      </c>
      <c r="N12" s="55" t="s">
        <v>73</v>
      </c>
      <c r="O12" s="56" t="s">
        <v>74</v>
      </c>
      <c r="P12" s="57" t="s">
        <v>79</v>
      </c>
    </row>
    <row r="13" spans="1:16" ht="12.75" customHeight="1" thickBot="1">
      <c r="A13" s="10" t="str">
        <f t="shared" si="0"/>
        <v>IBVS 5263 </v>
      </c>
      <c r="B13" s="3" t="str">
        <f t="shared" si="1"/>
        <v>I</v>
      </c>
      <c r="C13" s="10">
        <f t="shared" si="2"/>
        <v>51237.4575</v>
      </c>
      <c r="D13" s="12" t="str">
        <f t="shared" si="3"/>
        <v>vis</v>
      </c>
      <c r="E13" s="53">
        <f>VLOOKUP(C13,A!C$21:E$973,3,FALSE)</f>
        <v>-1243.005046972126</v>
      </c>
      <c r="F13" s="3" t="s">
        <v>67</v>
      </c>
      <c r="G13" s="12" t="str">
        <f t="shared" si="4"/>
        <v>51237.4575</v>
      </c>
      <c r="H13" s="10">
        <f t="shared" si="5"/>
        <v>-1243</v>
      </c>
      <c r="I13" s="54" t="s">
        <v>80</v>
      </c>
      <c r="J13" s="55" t="s">
        <v>81</v>
      </c>
      <c r="K13" s="54">
        <v>-1243</v>
      </c>
      <c r="L13" s="54" t="s">
        <v>82</v>
      </c>
      <c r="M13" s="55" t="s">
        <v>72</v>
      </c>
      <c r="N13" s="55" t="s">
        <v>73</v>
      </c>
      <c r="O13" s="56" t="s">
        <v>83</v>
      </c>
      <c r="P13" s="57" t="s">
        <v>84</v>
      </c>
    </row>
    <row r="14" spans="1:16" ht="12.75" customHeight="1" thickBot="1">
      <c r="A14" s="10" t="str">
        <f t="shared" si="0"/>
        <v>IBVS 5263 </v>
      </c>
      <c r="B14" s="3" t="str">
        <f t="shared" si="1"/>
        <v>I</v>
      </c>
      <c r="C14" s="10">
        <f t="shared" si="2"/>
        <v>51241.529</v>
      </c>
      <c r="D14" s="12" t="str">
        <f t="shared" si="3"/>
        <v>vis</v>
      </c>
      <c r="E14" s="53">
        <f>VLOOKUP(C14,A!C$21:E$973,3,FALSE)</f>
        <v>-1238.999287099691</v>
      </c>
      <c r="F14" s="3" t="s">
        <v>67</v>
      </c>
      <c r="G14" s="12" t="str">
        <f t="shared" si="4"/>
        <v>51241.5290</v>
      </c>
      <c r="H14" s="10">
        <f t="shared" si="5"/>
        <v>-1239</v>
      </c>
      <c r="I14" s="54" t="s">
        <v>85</v>
      </c>
      <c r="J14" s="55" t="s">
        <v>86</v>
      </c>
      <c r="K14" s="54">
        <v>-1239</v>
      </c>
      <c r="L14" s="54" t="s">
        <v>87</v>
      </c>
      <c r="M14" s="55" t="s">
        <v>72</v>
      </c>
      <c r="N14" s="55" t="s">
        <v>73</v>
      </c>
      <c r="O14" s="56" t="s">
        <v>74</v>
      </c>
      <c r="P14" s="57" t="s">
        <v>84</v>
      </c>
    </row>
    <row r="15" spans="1:16" ht="12.75" customHeight="1" thickBot="1">
      <c r="A15" s="10" t="str">
        <f t="shared" si="0"/>
        <v>IBVS 5287 </v>
      </c>
      <c r="B15" s="3" t="str">
        <f t="shared" si="1"/>
        <v>I</v>
      </c>
      <c r="C15" s="10">
        <f t="shared" si="2"/>
        <v>51608.4526</v>
      </c>
      <c r="D15" s="12" t="str">
        <f t="shared" si="3"/>
        <v>vis</v>
      </c>
      <c r="E15" s="53">
        <f>VLOOKUP(C15,A!C$21:E$973,3,FALSE)</f>
        <v>-878.0001877192682</v>
      </c>
      <c r="F15" s="3" t="s">
        <v>67</v>
      </c>
      <c r="G15" s="12" t="str">
        <f t="shared" si="4"/>
        <v>51608.4526</v>
      </c>
      <c r="H15" s="10">
        <f t="shared" si="5"/>
        <v>-878</v>
      </c>
      <c r="I15" s="54" t="s">
        <v>92</v>
      </c>
      <c r="J15" s="55" t="s">
        <v>93</v>
      </c>
      <c r="K15" s="54">
        <v>-878</v>
      </c>
      <c r="L15" s="54" t="s">
        <v>94</v>
      </c>
      <c r="M15" s="55" t="s">
        <v>72</v>
      </c>
      <c r="N15" s="55" t="s">
        <v>73</v>
      </c>
      <c r="O15" s="56" t="s">
        <v>83</v>
      </c>
      <c r="P15" s="57" t="s">
        <v>95</v>
      </c>
    </row>
    <row r="16" spans="1:16" ht="12.75" customHeight="1" thickBot="1">
      <c r="A16" s="10" t="str">
        <f t="shared" si="0"/>
        <v>OEJV 0074 </v>
      </c>
      <c r="B16" s="3" t="str">
        <f t="shared" si="1"/>
        <v>I</v>
      </c>
      <c r="C16" s="10">
        <f t="shared" si="2"/>
        <v>51924.55782</v>
      </c>
      <c r="D16" s="12" t="str">
        <f t="shared" si="3"/>
        <v>vis</v>
      </c>
      <c r="E16" s="53">
        <f>VLOOKUP(C16,A!C$21:E$973,3,FALSE)</f>
        <v>-566.9989336994835</v>
      </c>
      <c r="F16" s="3" t="s">
        <v>67</v>
      </c>
      <c r="G16" s="12" t="str">
        <f t="shared" si="4"/>
        <v>51924.55782</v>
      </c>
      <c r="H16" s="10">
        <f t="shared" si="5"/>
        <v>-567</v>
      </c>
      <c r="I16" s="54" t="s">
        <v>96</v>
      </c>
      <c r="J16" s="55" t="s">
        <v>97</v>
      </c>
      <c r="K16" s="54">
        <v>-567</v>
      </c>
      <c r="L16" s="54" t="s">
        <v>98</v>
      </c>
      <c r="M16" s="55" t="s">
        <v>99</v>
      </c>
      <c r="N16" s="55" t="s">
        <v>100</v>
      </c>
      <c r="O16" s="56" t="s">
        <v>101</v>
      </c>
      <c r="P16" s="57" t="s">
        <v>102</v>
      </c>
    </row>
    <row r="17" spans="1:16" ht="12.75" customHeight="1" thickBot="1">
      <c r="A17" s="10" t="str">
        <f t="shared" si="0"/>
        <v> BBS 129 </v>
      </c>
      <c r="B17" s="3" t="str">
        <f t="shared" si="1"/>
        <v>I</v>
      </c>
      <c r="C17" s="10">
        <f t="shared" si="2"/>
        <v>52717.3591</v>
      </c>
      <c r="D17" s="12" t="str">
        <f t="shared" si="3"/>
        <v>vis</v>
      </c>
      <c r="E17" s="53">
        <f>VLOOKUP(C17,A!C$21:E$973,3,FALSE)</f>
        <v>213.0014480357073</v>
      </c>
      <c r="F17" s="3" t="s">
        <v>67</v>
      </c>
      <c r="G17" s="12" t="str">
        <f t="shared" si="4"/>
        <v>52717.3591</v>
      </c>
      <c r="H17" s="10">
        <f t="shared" si="5"/>
        <v>213</v>
      </c>
      <c r="I17" s="54" t="s">
        <v>103</v>
      </c>
      <c r="J17" s="55" t="s">
        <v>104</v>
      </c>
      <c r="K17" s="54">
        <v>213</v>
      </c>
      <c r="L17" s="54" t="s">
        <v>105</v>
      </c>
      <c r="M17" s="55" t="s">
        <v>72</v>
      </c>
      <c r="N17" s="55" t="s">
        <v>73</v>
      </c>
      <c r="O17" s="56" t="s">
        <v>106</v>
      </c>
      <c r="P17" s="56" t="s">
        <v>107</v>
      </c>
    </row>
    <row r="18" spans="1:16" ht="12.75" customHeight="1" thickBot="1">
      <c r="A18" s="10" t="str">
        <f t="shared" si="0"/>
        <v>BAVM 173 </v>
      </c>
      <c r="B18" s="3" t="str">
        <f t="shared" si="1"/>
        <v>I</v>
      </c>
      <c r="C18" s="10">
        <f t="shared" si="2"/>
        <v>53463.4023</v>
      </c>
      <c r="D18" s="12" t="str">
        <f t="shared" si="3"/>
        <v>vis</v>
      </c>
      <c r="E18" s="53">
        <f>VLOOKUP(C18,A!C$21:E$973,3,FALSE)</f>
        <v>946.9987251225248</v>
      </c>
      <c r="F18" s="3" t="s">
        <v>67</v>
      </c>
      <c r="G18" s="12" t="str">
        <f t="shared" si="4"/>
        <v>53463.4023</v>
      </c>
      <c r="H18" s="10">
        <f t="shared" si="5"/>
        <v>947</v>
      </c>
      <c r="I18" s="54" t="s">
        <v>108</v>
      </c>
      <c r="J18" s="55" t="s">
        <v>109</v>
      </c>
      <c r="K18" s="54">
        <v>947</v>
      </c>
      <c r="L18" s="54" t="s">
        <v>110</v>
      </c>
      <c r="M18" s="55" t="s">
        <v>72</v>
      </c>
      <c r="N18" s="55" t="s">
        <v>111</v>
      </c>
      <c r="O18" s="56" t="s">
        <v>112</v>
      </c>
      <c r="P18" s="57" t="s">
        <v>113</v>
      </c>
    </row>
    <row r="19" spans="1:16" ht="12.75" customHeight="1" thickBot="1">
      <c r="A19" s="10" t="str">
        <f t="shared" si="0"/>
        <v>BAVM 209 </v>
      </c>
      <c r="B19" s="3" t="str">
        <f t="shared" si="1"/>
        <v>I</v>
      </c>
      <c r="C19" s="10">
        <f t="shared" si="2"/>
        <v>54509.2891</v>
      </c>
      <c r="D19" s="12" t="str">
        <f t="shared" si="3"/>
        <v>vis</v>
      </c>
      <c r="E19" s="53">
        <f>VLOOKUP(C19,A!C$21:E$973,3,FALSE)</f>
        <v>1975.9982030898127</v>
      </c>
      <c r="F19" s="3" t="s">
        <v>67</v>
      </c>
      <c r="G19" s="12" t="str">
        <f t="shared" si="4"/>
        <v>54509.2891</v>
      </c>
      <c r="H19" s="10">
        <f t="shared" si="5"/>
        <v>1976</v>
      </c>
      <c r="I19" s="54" t="s">
        <v>127</v>
      </c>
      <c r="J19" s="55" t="s">
        <v>128</v>
      </c>
      <c r="K19" s="54" t="s">
        <v>129</v>
      </c>
      <c r="L19" s="54" t="s">
        <v>130</v>
      </c>
      <c r="M19" s="55" t="s">
        <v>99</v>
      </c>
      <c r="N19" s="55" t="s">
        <v>100</v>
      </c>
      <c r="O19" s="56" t="s">
        <v>131</v>
      </c>
      <c r="P19" s="57" t="s">
        <v>132</v>
      </c>
    </row>
    <row r="20" spans="1:16" ht="12.75" customHeight="1" thickBot="1">
      <c r="A20" s="10" t="str">
        <f t="shared" si="0"/>
        <v>BAVM 220 </v>
      </c>
      <c r="B20" s="3" t="str">
        <f t="shared" si="1"/>
        <v>I</v>
      </c>
      <c r="C20" s="10">
        <f t="shared" si="2"/>
        <v>55624.295</v>
      </c>
      <c r="D20" s="12" t="str">
        <f t="shared" si="3"/>
        <v>vis</v>
      </c>
      <c r="E20" s="53">
        <f>VLOOKUP(C20,A!C$21:E$973,3,FALSE)</f>
        <v>3073.00075540278</v>
      </c>
      <c r="F20" s="3" t="s">
        <v>67</v>
      </c>
      <c r="G20" s="12" t="str">
        <f t="shared" si="4"/>
        <v>55624.2950</v>
      </c>
      <c r="H20" s="10">
        <f t="shared" si="5"/>
        <v>3073</v>
      </c>
      <c r="I20" s="54" t="s">
        <v>133</v>
      </c>
      <c r="J20" s="55" t="s">
        <v>134</v>
      </c>
      <c r="K20" s="54" t="s">
        <v>135</v>
      </c>
      <c r="L20" s="54" t="s">
        <v>136</v>
      </c>
      <c r="M20" s="55" t="s">
        <v>99</v>
      </c>
      <c r="N20" s="55" t="s">
        <v>100</v>
      </c>
      <c r="O20" s="56" t="s">
        <v>137</v>
      </c>
      <c r="P20" s="57" t="s">
        <v>138</v>
      </c>
    </row>
    <row r="21" spans="1:16" ht="12.75" customHeight="1" thickBot="1">
      <c r="A21" s="10" t="str">
        <f t="shared" si="0"/>
        <v>BAVM 220 </v>
      </c>
      <c r="B21" s="3" t="str">
        <f t="shared" si="1"/>
        <v>I</v>
      </c>
      <c r="C21" s="10">
        <f t="shared" si="2"/>
        <v>55628.3576</v>
      </c>
      <c r="D21" s="12" t="str">
        <f t="shared" si="3"/>
        <v>vis</v>
      </c>
      <c r="E21" s="53">
        <f>VLOOKUP(C21,A!C$21:E$973,3,FALSE)</f>
        <v>3076.9977589783057</v>
      </c>
      <c r="F21" s="3" t="s">
        <v>67</v>
      </c>
      <c r="G21" s="12" t="str">
        <f t="shared" si="4"/>
        <v>55628.3576</v>
      </c>
      <c r="H21" s="10">
        <f t="shared" si="5"/>
        <v>3077</v>
      </c>
      <c r="I21" s="54" t="s">
        <v>139</v>
      </c>
      <c r="J21" s="55" t="s">
        <v>140</v>
      </c>
      <c r="K21" s="54" t="s">
        <v>141</v>
      </c>
      <c r="L21" s="54" t="s">
        <v>142</v>
      </c>
      <c r="M21" s="55" t="s">
        <v>99</v>
      </c>
      <c r="N21" s="55" t="s">
        <v>111</v>
      </c>
      <c r="O21" s="56" t="s">
        <v>112</v>
      </c>
      <c r="P21" s="57" t="s">
        <v>138</v>
      </c>
    </row>
    <row r="22" spans="1:16" ht="12.75" customHeight="1" thickBot="1">
      <c r="A22" s="10" t="str">
        <f t="shared" si="0"/>
        <v>IBVS 5992 </v>
      </c>
      <c r="B22" s="3" t="str">
        <f t="shared" si="1"/>
        <v>I</v>
      </c>
      <c r="C22" s="10">
        <f t="shared" si="2"/>
        <v>55648.6848</v>
      </c>
      <c r="D22" s="12" t="str">
        <f t="shared" si="3"/>
        <v>vis</v>
      </c>
      <c r="E22" s="53">
        <f>VLOOKUP(C22,A!C$21:E$973,3,FALSE)</f>
        <v>3096.9967475768194</v>
      </c>
      <c r="F22" s="3" t="s">
        <v>67</v>
      </c>
      <c r="G22" s="12" t="str">
        <f t="shared" si="4"/>
        <v>55648.6848</v>
      </c>
      <c r="H22" s="10">
        <f t="shared" si="5"/>
        <v>3097</v>
      </c>
      <c r="I22" s="54" t="s">
        <v>143</v>
      </c>
      <c r="J22" s="55" t="s">
        <v>144</v>
      </c>
      <c r="K22" s="54" t="s">
        <v>145</v>
      </c>
      <c r="L22" s="54" t="s">
        <v>146</v>
      </c>
      <c r="M22" s="55" t="s">
        <v>99</v>
      </c>
      <c r="N22" s="55" t="s">
        <v>67</v>
      </c>
      <c r="O22" s="56" t="s">
        <v>106</v>
      </c>
      <c r="P22" s="57" t="s">
        <v>147</v>
      </c>
    </row>
    <row r="23" spans="1:16" ht="12.75" customHeight="1" thickBot="1">
      <c r="A23" s="10" t="str">
        <f t="shared" si="0"/>
        <v>OEJV 0160 </v>
      </c>
      <c r="B23" s="3" t="str">
        <f t="shared" si="1"/>
        <v>I</v>
      </c>
      <c r="C23" s="10">
        <f t="shared" si="2"/>
        <v>56003.41271</v>
      </c>
      <c r="D23" s="12" t="str">
        <f t="shared" si="3"/>
        <v>vis</v>
      </c>
      <c r="E23" s="53">
        <f>VLOOKUP(C23,A!C$21:E$973,3,FALSE)</f>
        <v>3445.997073625892</v>
      </c>
      <c r="F23" s="3" t="s">
        <v>67</v>
      </c>
      <c r="G23" s="12" t="str">
        <f t="shared" si="4"/>
        <v>56003.41271</v>
      </c>
      <c r="H23" s="10">
        <f t="shared" si="5"/>
        <v>3446</v>
      </c>
      <c r="I23" s="54" t="s">
        <v>148</v>
      </c>
      <c r="J23" s="55" t="s">
        <v>149</v>
      </c>
      <c r="K23" s="54" t="s">
        <v>150</v>
      </c>
      <c r="L23" s="54" t="s">
        <v>151</v>
      </c>
      <c r="M23" s="55" t="s">
        <v>99</v>
      </c>
      <c r="N23" s="55" t="s">
        <v>59</v>
      </c>
      <c r="O23" s="56" t="s">
        <v>152</v>
      </c>
      <c r="P23" s="57" t="s">
        <v>153</v>
      </c>
    </row>
    <row r="24" spans="1:16" ht="12.75" customHeight="1" thickBot="1">
      <c r="A24" s="10" t="str">
        <f t="shared" si="0"/>
        <v>IBVS 6029 </v>
      </c>
      <c r="B24" s="3" t="str">
        <f t="shared" si="1"/>
        <v>I</v>
      </c>
      <c r="C24" s="10">
        <f t="shared" si="2"/>
        <v>56021.7065</v>
      </c>
      <c r="D24" s="12" t="str">
        <f t="shared" si="3"/>
        <v>vis</v>
      </c>
      <c r="E24" s="53">
        <f>VLOOKUP(C24,A!C$21:E$973,3,FALSE)</f>
        <v>3463.9954845055845</v>
      </c>
      <c r="F24" s="3" t="s">
        <v>67</v>
      </c>
      <c r="G24" s="12" t="str">
        <f t="shared" si="4"/>
        <v>56021.7065</v>
      </c>
      <c r="H24" s="10">
        <f t="shared" si="5"/>
        <v>3464</v>
      </c>
      <c r="I24" s="54" t="s">
        <v>154</v>
      </c>
      <c r="J24" s="55" t="s">
        <v>155</v>
      </c>
      <c r="K24" s="54" t="s">
        <v>156</v>
      </c>
      <c r="L24" s="54" t="s">
        <v>157</v>
      </c>
      <c r="M24" s="55" t="s">
        <v>99</v>
      </c>
      <c r="N24" s="55" t="s">
        <v>67</v>
      </c>
      <c r="O24" s="56" t="s">
        <v>106</v>
      </c>
      <c r="P24" s="57" t="s">
        <v>158</v>
      </c>
    </row>
    <row r="25" spans="1:16" ht="12.75" customHeight="1" thickBot="1">
      <c r="A25" s="10" t="str">
        <f t="shared" si="0"/>
        <v> BRNO 32 </v>
      </c>
      <c r="B25" s="3" t="str">
        <f t="shared" si="1"/>
        <v>I</v>
      </c>
      <c r="C25" s="10">
        <f t="shared" si="2"/>
        <v>51555.5976</v>
      </c>
      <c r="D25" s="12" t="str">
        <f t="shared" si="3"/>
        <v>vis</v>
      </c>
      <c r="E25" s="53">
        <f>VLOOKUP(C25,A!C$21:E$973,3,FALSE)</f>
        <v>-930.0017689687463</v>
      </c>
      <c r="F25" s="3" t="s">
        <v>67</v>
      </c>
      <c r="G25" s="12" t="str">
        <f t="shared" si="4"/>
        <v>51555.5976</v>
      </c>
      <c r="H25" s="10">
        <f t="shared" si="5"/>
        <v>-930</v>
      </c>
      <c r="I25" s="54" t="s">
        <v>88</v>
      </c>
      <c r="J25" s="55" t="s">
        <v>89</v>
      </c>
      <c r="K25" s="54">
        <v>-930</v>
      </c>
      <c r="L25" s="54" t="s">
        <v>90</v>
      </c>
      <c r="M25" s="55" t="s">
        <v>72</v>
      </c>
      <c r="N25" s="55" t="s">
        <v>73</v>
      </c>
      <c r="O25" s="56" t="s">
        <v>74</v>
      </c>
      <c r="P25" s="56" t="s">
        <v>91</v>
      </c>
    </row>
    <row r="26" spans="1:16" ht="12.75" customHeight="1" thickBot="1">
      <c r="A26" s="10" t="str">
        <f t="shared" si="0"/>
        <v>OEJV 0107 </v>
      </c>
      <c r="B26" s="3" t="str">
        <f t="shared" si="1"/>
        <v>I</v>
      </c>
      <c r="C26" s="10">
        <f t="shared" si="2"/>
        <v>54205.3836</v>
      </c>
      <c r="D26" s="12" t="str">
        <f t="shared" si="3"/>
        <v>vis</v>
      </c>
      <c r="E26" s="53">
        <f>VLOOKUP(C26,A!C$21:E$973,3,FALSE)</f>
        <v>1676.9996873313307</v>
      </c>
      <c r="F26" s="3" t="s">
        <v>67</v>
      </c>
      <c r="G26" s="12" t="str">
        <f t="shared" si="4"/>
        <v>54205.3836</v>
      </c>
      <c r="H26" s="10">
        <f t="shared" si="5"/>
        <v>1677</v>
      </c>
      <c r="I26" s="54" t="s">
        <v>114</v>
      </c>
      <c r="J26" s="55" t="s">
        <v>115</v>
      </c>
      <c r="K26" s="54" t="s">
        <v>116</v>
      </c>
      <c r="L26" s="54" t="s">
        <v>117</v>
      </c>
      <c r="M26" s="55" t="s">
        <v>99</v>
      </c>
      <c r="N26" s="55" t="s">
        <v>118</v>
      </c>
      <c r="O26" s="56" t="s">
        <v>119</v>
      </c>
      <c r="P26" s="57" t="s">
        <v>120</v>
      </c>
    </row>
    <row r="27" spans="1:16" ht="12.75" customHeight="1" thickBot="1">
      <c r="A27" s="10" t="str">
        <f t="shared" si="0"/>
        <v>BAVM 203 </v>
      </c>
      <c r="B27" s="3" t="str">
        <f t="shared" si="1"/>
        <v>I</v>
      </c>
      <c r="C27" s="10">
        <f t="shared" si="2"/>
        <v>54455.42</v>
      </c>
      <c r="D27" s="12" t="str">
        <f t="shared" si="3"/>
        <v>vis</v>
      </c>
      <c r="E27" s="53">
        <f>VLOOKUP(C27,A!C$21:E$973,3,FALSE)</f>
        <v>1922.998895919504</v>
      </c>
      <c r="F27" s="3" t="s">
        <v>67</v>
      </c>
      <c r="G27" s="12" t="str">
        <f t="shared" si="4"/>
        <v>54455.4200</v>
      </c>
      <c r="H27" s="10">
        <f t="shared" si="5"/>
        <v>1923</v>
      </c>
      <c r="I27" s="54" t="s">
        <v>121</v>
      </c>
      <c r="J27" s="55" t="s">
        <v>122</v>
      </c>
      <c r="K27" s="54" t="s">
        <v>123</v>
      </c>
      <c r="L27" s="54" t="s">
        <v>124</v>
      </c>
      <c r="M27" s="55" t="s">
        <v>99</v>
      </c>
      <c r="N27" s="55" t="s">
        <v>100</v>
      </c>
      <c r="O27" s="56" t="s">
        <v>125</v>
      </c>
      <c r="P27" s="57" t="s">
        <v>126</v>
      </c>
    </row>
    <row r="28" spans="2:6" ht="12.75">
      <c r="B28" s="3"/>
      <c r="E28" s="53"/>
      <c r="F28" s="3"/>
    </row>
    <row r="29" spans="2:6" ht="12.75">
      <c r="B29" s="3"/>
      <c r="E29" s="53"/>
      <c r="F29" s="3"/>
    </row>
    <row r="30" spans="2:6" ht="12.75">
      <c r="B30" s="3"/>
      <c r="E30" s="53"/>
      <c r="F30" s="3"/>
    </row>
    <row r="31" spans="2:6" ht="12.75">
      <c r="B31" s="3"/>
      <c r="E31" s="53"/>
      <c r="F31" s="3"/>
    </row>
    <row r="32" spans="2:6" ht="12.75">
      <c r="B32" s="3"/>
      <c r="E32" s="53"/>
      <c r="F32" s="3"/>
    </row>
    <row r="33" spans="2:6" ht="12.75">
      <c r="B33" s="3"/>
      <c r="E33" s="53"/>
      <c r="F33" s="3"/>
    </row>
    <row r="34" spans="2:6" ht="12.75">
      <c r="B34" s="3"/>
      <c r="E34" s="53"/>
      <c r="F34" s="3"/>
    </row>
    <row r="35" spans="2:6" ht="12.75">
      <c r="B35" s="3"/>
      <c r="E35" s="53"/>
      <c r="F35" s="3"/>
    </row>
    <row r="36" spans="2:6" ht="12.75">
      <c r="B36" s="3"/>
      <c r="E36" s="53"/>
      <c r="F36" s="3"/>
    </row>
    <row r="37" spans="2:6" ht="12.75">
      <c r="B37" s="3"/>
      <c r="E37" s="53"/>
      <c r="F37" s="3"/>
    </row>
    <row r="38" spans="2:6" ht="12.75">
      <c r="B38" s="3"/>
      <c r="E38" s="53"/>
      <c r="F38" s="3"/>
    </row>
    <row r="39" spans="2:6" ht="12.75">
      <c r="B39" s="3"/>
      <c r="E39" s="53"/>
      <c r="F39" s="3"/>
    </row>
    <row r="40" spans="2:6" ht="12.75">
      <c r="B40" s="3"/>
      <c r="E40" s="53"/>
      <c r="F40" s="3"/>
    </row>
    <row r="41" spans="2:6" ht="12.75">
      <c r="B41" s="3"/>
      <c r="E41" s="53"/>
      <c r="F41" s="3"/>
    </row>
    <row r="42" spans="2:6" ht="12.75">
      <c r="B42" s="3"/>
      <c r="E42" s="53"/>
      <c r="F42" s="3"/>
    </row>
    <row r="43" spans="2:6" ht="12.75">
      <c r="B43" s="3"/>
      <c r="E43" s="53"/>
      <c r="F43" s="3"/>
    </row>
    <row r="44" spans="2:6" ht="12.75">
      <c r="B44" s="3"/>
      <c r="E44" s="53"/>
      <c r="F44" s="3"/>
    </row>
    <row r="45" spans="2:6" ht="12.75">
      <c r="B45" s="3"/>
      <c r="E45" s="53"/>
      <c r="F45" s="3"/>
    </row>
    <row r="46" spans="2:6" ht="12.75">
      <c r="B46" s="3"/>
      <c r="E46" s="53"/>
      <c r="F46" s="3"/>
    </row>
    <row r="47" spans="2:6" ht="12.75">
      <c r="B47" s="3"/>
      <c r="E47" s="53"/>
      <c r="F47" s="3"/>
    </row>
    <row r="48" spans="2:6" ht="12.75">
      <c r="B48" s="3"/>
      <c r="E48" s="53"/>
      <c r="F48" s="3"/>
    </row>
    <row r="49" spans="2:6" ht="12.75">
      <c r="B49" s="3"/>
      <c r="E49" s="53"/>
      <c r="F49" s="3"/>
    </row>
    <row r="50" spans="2:6" ht="12.75">
      <c r="B50" s="3"/>
      <c r="E50" s="53"/>
      <c r="F50" s="3"/>
    </row>
    <row r="51" spans="2:6" ht="12.75">
      <c r="B51" s="3"/>
      <c r="E51" s="53"/>
      <c r="F51" s="3"/>
    </row>
    <row r="52" spans="2:6" ht="12.75">
      <c r="B52" s="3"/>
      <c r="E52" s="53"/>
      <c r="F52" s="3"/>
    </row>
    <row r="53" spans="2:6" ht="12.75">
      <c r="B53" s="3"/>
      <c r="E53" s="53"/>
      <c r="F53" s="3"/>
    </row>
    <row r="54" spans="2:6" ht="12.75">
      <c r="B54" s="3"/>
      <c r="E54" s="5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</sheetData>
  <sheetProtection/>
  <hyperlinks>
    <hyperlink ref="P11" r:id="rId1" display="http://www.konkoly.hu/cgi-bin/IBVS?4887"/>
    <hyperlink ref="P12" r:id="rId2" display="http://www.konkoly.hu/cgi-bin/IBVS?4888"/>
    <hyperlink ref="P13" r:id="rId3" display="http://www.konkoly.hu/cgi-bin/IBVS?5263"/>
    <hyperlink ref="P14" r:id="rId4" display="http://www.konkoly.hu/cgi-bin/IBVS?5263"/>
    <hyperlink ref="P15" r:id="rId5" display="http://www.konkoly.hu/cgi-bin/IBVS?5287"/>
    <hyperlink ref="P16" r:id="rId6" display="http://var.astro.cz/oejv/issues/oejv0074.pdf"/>
    <hyperlink ref="P18" r:id="rId7" display="http://www.bav-astro.de/sfs/BAVM_link.php?BAVMnr=173"/>
    <hyperlink ref="P26" r:id="rId8" display="http://var.astro.cz/oejv/issues/oejv0107.pdf"/>
    <hyperlink ref="P27" r:id="rId9" display="http://www.bav-astro.de/sfs/BAVM_link.php?BAVMnr=203"/>
    <hyperlink ref="P19" r:id="rId10" display="http://www.bav-astro.de/sfs/BAVM_link.php?BAVMnr=209"/>
    <hyperlink ref="P20" r:id="rId11" display="http://www.bav-astro.de/sfs/BAVM_link.php?BAVMnr=220"/>
    <hyperlink ref="P21" r:id="rId12" display="http://www.bav-astro.de/sfs/BAVM_link.php?BAVMnr=220"/>
    <hyperlink ref="P22" r:id="rId13" display="http://www.konkoly.hu/cgi-bin/IBVS?5992"/>
    <hyperlink ref="P23" r:id="rId14" display="http://var.astro.cz/oejv/issues/oejv0160.pdf"/>
    <hyperlink ref="P24" r:id="rId15" display="http://www.konkoly.hu/cgi-bin/IBVS?602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2022-11-20T02:10:53Z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