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370" windowHeight="1324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<sst xmlns="http://schemas.openxmlformats.org/spreadsheetml/2006/main" count="69" uniqueCount="50">
  <si>
    <t>GCVS 4 Eph.</t>
  </si>
  <si>
    <t>--- Working ----</t>
  </si>
  <si>
    <t>Epoch =</t>
  </si>
  <si>
    <t>Period =</t>
  </si>
  <si>
    <t>New Period =</t>
  </si>
  <si>
    <t>Source</t>
  </si>
  <si>
    <t>Typ</t>
  </si>
  <si>
    <t>ToM</t>
  </si>
  <si>
    <t>n'</t>
  </si>
  <si>
    <t>n</t>
  </si>
  <si>
    <t>O-C</t>
  </si>
  <si>
    <t>GCVS 4</t>
  </si>
  <si>
    <t>error</t>
  </si>
  <si>
    <t>Date</t>
  </si>
  <si>
    <t>LS Intercept =</t>
  </si>
  <si>
    <t>LS Slope =</t>
  </si>
  <si>
    <t>New epoch =</t>
  </si>
  <si>
    <t>System Type:</t>
  </si>
  <si>
    <t>S6</t>
  </si>
  <si>
    <t>Primary</t>
  </si>
  <si>
    <t>Secondary</t>
  </si>
  <si>
    <t>Misc</t>
  </si>
  <si>
    <t>Prim. Ephem. =</t>
  </si>
  <si>
    <t>Sec. Ephem. =</t>
  </si>
  <si>
    <t>Prim. Fit</t>
  </si>
  <si>
    <t>Sec. Fit</t>
  </si>
  <si>
    <t>S4</t>
  </si>
  <si>
    <t>S5</t>
  </si>
  <si>
    <t># of data points =</t>
  </si>
  <si>
    <t>Start of Lin fit (row)</t>
  </si>
  <si>
    <t>Start cell (x)</t>
  </si>
  <si>
    <t>Start cell (y)</t>
  </si>
  <si>
    <t>S2</t>
  </si>
  <si>
    <t>S3</t>
  </si>
  <si>
    <t>My time zone &gt;&gt;&gt;&gt;&gt;</t>
  </si>
  <si>
    <t>(PST=8, PDT=MDT=7, MDT=CST=6, etc.)</t>
  </si>
  <si>
    <t>Local time</t>
  </si>
  <si>
    <t>Add cycle</t>
  </si>
  <si>
    <t>JD today</t>
  </si>
  <si>
    <t>Old Cycle</t>
  </si>
  <si>
    <t>New Cycle</t>
  </si>
  <si>
    <t>Next ToM</t>
  </si>
  <si>
    <t>WW Lyn / GSC 2958-1911</t>
  </si>
  <si>
    <t>EA/KE</t>
  </si>
  <si>
    <t>not avail.</t>
  </si>
  <si>
    <t>VSX</t>
  </si>
  <si>
    <t> AJ 87.314 </t>
  </si>
  <si>
    <t>I</t>
  </si>
  <si>
    <t>IBVS 5690</t>
  </si>
  <si>
    <t>IBVS 5984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</si>
</sst>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sz val="10"/>
      <color indexed="20"/>
      <name val="Arial"/>
      <family val="0"/>
    </font>
    <font>
      <sz val="10"/>
      <color indexed="10"/>
      <name val="Arial"/>
      <family val="0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6"/>
      <name val="Arial"/>
      <family val="0"/>
    </font>
    <font>
      <sz val="10"/>
      <color indexed="12"/>
      <name val="Arial"/>
      <family val="0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wrapText="1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/>
    </xf>
    <xf numFmtId="0" fontId="0" fillId="0" borderId="0" xfId="0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/>
    </xf>
    <xf numFmtId="22" fontId="8" fillId="0" borderId="0" xfId="0" applyNumberFormat="1" applyFont="1" applyAlignment="1">
      <alignment vertical="top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WW Lyn - Prim.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225"/>
          <c:y val="0.10425"/>
          <c:w val="0.88725"/>
          <c:h val="0.76375"/>
        </c:manualLayout>
      </c:layout>
      <c:scatterChart>
        <c:scatterStyle val="lineMarker"/>
        <c:varyColors val="0"/>
        <c:ser>
          <c:idx val="6"/>
          <c:order val="0"/>
          <c:tx>
            <c:strRef>
              <c:f>A!$R$20</c:f>
              <c:strCache>
                <c:ptCount val="1"/>
                <c:pt idx="0">
                  <c:v>Primary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A!$R$21:$R$921</c:f>
              <c:numCache/>
            </c:numRef>
          </c:yVal>
          <c:smooth val="0"/>
        </c:ser>
        <c:ser>
          <c:idx val="7"/>
          <c:order val="1"/>
          <c:tx>
            <c:strRef>
              <c:f>A!$O$20</c:f>
              <c:strCache>
                <c:ptCount val="1"/>
                <c:pt idx="0">
                  <c:v>Prim. Fit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A!$F$21:$F$921</c:f>
              <c:numCache/>
            </c:numRef>
          </c:xVal>
          <c:yVal>
            <c:numRef>
              <c:f>A!$O$21:$O$921</c:f>
              <c:numCache/>
            </c:numRef>
          </c:yVal>
          <c:smooth val="0"/>
        </c:ser>
        <c:axId val="4927137"/>
        <c:axId val="44344234"/>
      </c:scatterChart>
      <c:valAx>
        <c:axId val="4927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44234"/>
        <c:crosses val="autoZero"/>
        <c:crossBetween val="midCat"/>
        <c:dispUnits/>
      </c:valAx>
      <c:valAx>
        <c:axId val="443442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2713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9825"/>
          <c:y val="0.931"/>
          <c:w val="0.311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WW Lyn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425"/>
          <c:w val="0.90675"/>
          <c:h val="0.764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A!$D$21:$D$494</c:f>
                <c:numCache>
                  <c:ptCount val="47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0.008</c:v>
                  </c:pt>
                  <c:pt idx="9">
                    <c:v>0.0301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</c:numCache>
              </c:numRef>
            </c:plus>
            <c:minus>
              <c:numRef>
                <c:f>A!$D$21:$D$494</c:f>
                <c:numCache>
                  <c:ptCount val="474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0.008</c:v>
                  </c:pt>
                  <c:pt idx="9">
                    <c:v>0.0301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</c:numCache>
              </c:numRef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A!$H$21:$H$921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A!$D$21:$D$21</c:f>
                <c:numCache>
                  <c:ptCount val="1"/>
                  <c:pt idx="0">
                    <c:v>NaN</c:v>
                  </c:pt>
                </c:numCache>
              </c:numRef>
            </c:plus>
            <c:minus>
              <c:numRef>
                <c:f>A!$D$21:$D$21</c:f>
                <c:numCache>
                  <c:ptCount val="1"/>
                  <c:pt idx="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A!$I$21:$I$921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A!$D$21:$D$21</c:f>
                <c:numCache>
                  <c:ptCount val="1"/>
                  <c:pt idx="0">
                    <c:v>NaN</c:v>
                  </c:pt>
                </c:numCache>
              </c:numRef>
            </c:plus>
            <c:minus>
              <c:numRef>
                <c:f>A!$D$21:$D$21</c:f>
                <c:numCache>
                  <c:ptCount val="1"/>
                  <c:pt idx="0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A!$F$21:$F$921</c:f>
              <c:numCache/>
            </c:numRef>
          </c:xVal>
          <c:yVal>
            <c:numRef>
              <c:f>A!$J$21:$J$921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A!$K$21:$K$921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A!$L$21:$L$921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A!$M$21:$M$921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A!$N$21:$N$921</c:f>
              <c:numCache/>
            </c:numRef>
          </c:yVal>
          <c:smooth val="0"/>
        </c:ser>
        <c:axId val="63553787"/>
        <c:axId val="35113172"/>
      </c:scatterChart>
      <c:valAx>
        <c:axId val="63553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113172"/>
        <c:crosses val="autoZero"/>
        <c:crossBetween val="midCat"/>
        <c:dispUnits/>
      </c:valAx>
      <c:valAx>
        <c:axId val="35113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5378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85"/>
          <c:y val="0.93125"/>
          <c:w val="0.384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WW Lyn - Sec.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25"/>
          <c:y val="0.10375"/>
          <c:w val="0.8885"/>
          <c:h val="0.7645"/>
        </c:manualLayout>
      </c:layout>
      <c:scatterChart>
        <c:scatterStyle val="lineMarker"/>
        <c:varyColors val="0"/>
        <c:ser>
          <c:idx val="6"/>
          <c:order val="0"/>
          <c:tx>
            <c:strRef>
              <c:f>A!$S$20</c:f>
              <c:strCache>
                <c:ptCount val="1"/>
                <c:pt idx="0">
                  <c:v>Secondary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A!$F$21:$F$921</c:f>
              <c:numCache/>
            </c:numRef>
          </c:xVal>
          <c:yVal>
            <c:numRef>
              <c:f>A!$S$21:$S$921</c:f>
              <c:numCache/>
            </c:numRef>
          </c:yVal>
          <c:smooth val="0"/>
        </c:ser>
        <c:ser>
          <c:idx val="7"/>
          <c:order val="1"/>
          <c:tx>
            <c:strRef>
              <c:f>A!$P$20</c:f>
              <c:strCache>
                <c:ptCount val="1"/>
                <c:pt idx="0">
                  <c:v>Sec. Fit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A!$F$21:$F$921</c:f>
              <c:numCache/>
            </c:numRef>
          </c:xVal>
          <c:yVal>
            <c:numRef>
              <c:f>A!$P$21:$P$921</c:f>
              <c:numCache/>
            </c:numRef>
          </c:yVal>
          <c:smooth val="0"/>
        </c:ser>
        <c:axId val="47583093"/>
        <c:axId val="25594654"/>
      </c:scatterChart>
      <c:valAx>
        <c:axId val="475830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94654"/>
        <c:crosses val="autoZero"/>
        <c:crossBetween val="midCat"/>
        <c:dispUnits/>
      </c:valAx>
      <c:valAx>
        <c:axId val="25594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83093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805"/>
          <c:y val="0.93125"/>
          <c:w val="0.339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0</xdr:rowOff>
    </xdr:from>
    <xdr:to>
      <xdr:col>14</xdr:col>
      <xdr:colOff>0</xdr:colOff>
      <xdr:row>18</xdr:row>
      <xdr:rowOff>38100</xdr:rowOff>
    </xdr:to>
    <xdr:graphicFrame>
      <xdr:nvGraphicFramePr>
        <xdr:cNvPr id="1" name="Chart 1"/>
        <xdr:cNvGraphicFramePr/>
      </xdr:nvGraphicFramePr>
      <xdr:xfrm>
        <a:off x="4200525" y="0"/>
        <a:ext cx="45815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257175</xdr:colOff>
      <xdr:row>0</xdr:row>
      <xdr:rowOff>0</xdr:rowOff>
    </xdr:from>
    <xdr:to>
      <xdr:col>29</xdr:col>
      <xdr:colOff>676275</xdr:colOff>
      <xdr:row>18</xdr:row>
      <xdr:rowOff>47625</xdr:rowOff>
    </xdr:to>
    <xdr:graphicFrame>
      <xdr:nvGraphicFramePr>
        <xdr:cNvPr id="2" name="Chart 2"/>
        <xdr:cNvGraphicFramePr/>
      </xdr:nvGraphicFramePr>
      <xdr:xfrm>
        <a:off x="13487400" y="0"/>
        <a:ext cx="5905500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19050</xdr:colOff>
      <xdr:row>0</xdr:row>
      <xdr:rowOff>0</xdr:rowOff>
    </xdr:from>
    <xdr:to>
      <xdr:col>21</xdr:col>
      <xdr:colOff>238125</xdr:colOff>
      <xdr:row>18</xdr:row>
      <xdr:rowOff>47625</xdr:rowOff>
    </xdr:to>
    <xdr:graphicFrame>
      <xdr:nvGraphicFramePr>
        <xdr:cNvPr id="3" name="Chart 3"/>
        <xdr:cNvGraphicFramePr/>
      </xdr:nvGraphicFramePr>
      <xdr:xfrm>
        <a:off x="8801100" y="0"/>
        <a:ext cx="4667250" cy="3133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1">
      <selection activeCell="E5" sqref="E5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0.421875" style="0" customWidth="1"/>
    <col min="4" max="4" width="8.28125" style="0" customWidth="1"/>
    <col min="5" max="5" width="9.421875" style="0" customWidth="1"/>
    <col min="6" max="6" width="16.28125" style="0" customWidth="1"/>
    <col min="7" max="7" width="9.0039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42</v>
      </c>
    </row>
    <row r="2" spans="1:4" ht="12.75">
      <c r="A2" t="s">
        <v>17</v>
      </c>
      <c r="B2" t="s">
        <v>43</v>
      </c>
      <c r="C2" s="10"/>
      <c r="D2" s="10"/>
    </row>
    <row r="3" ht="13.5" thickBot="1"/>
    <row r="4" spans="1:4" ht="14.25" thickBot="1" thickTop="1">
      <c r="A4" s="6" t="s">
        <v>0</v>
      </c>
      <c r="C4" s="32" t="s">
        <v>44</v>
      </c>
      <c r="D4" s="33" t="s">
        <v>44</v>
      </c>
    </row>
    <row r="5" spans="1:4" ht="13.5" thickTop="1">
      <c r="A5" s="25" t="s">
        <v>34</v>
      </c>
      <c r="B5" s="19"/>
      <c r="C5" s="26">
        <v>-9.5</v>
      </c>
      <c r="D5" s="19" t="s">
        <v>35</v>
      </c>
    </row>
    <row r="6" ht="12.75">
      <c r="A6" s="6" t="s">
        <v>1</v>
      </c>
    </row>
    <row r="7" spans="1:4" ht="12.75">
      <c r="A7" t="s">
        <v>2</v>
      </c>
      <c r="C7" s="12">
        <v>53377.0729</v>
      </c>
      <c r="D7" s="34" t="s">
        <v>45</v>
      </c>
    </row>
    <row r="8" spans="1:4" ht="12.75">
      <c r="A8" t="s">
        <v>3</v>
      </c>
      <c r="C8" s="12">
        <v>5.81237</v>
      </c>
      <c r="D8" s="34" t="s">
        <v>45</v>
      </c>
    </row>
    <row r="9" spans="1:4" ht="12.75">
      <c r="A9" s="17" t="s">
        <v>29</v>
      </c>
      <c r="B9" s="17"/>
      <c r="C9" s="18">
        <v>21</v>
      </c>
      <c r="D9" s="18">
        <v>21</v>
      </c>
    </row>
    <row r="10" spans="1:4" ht="13.5" thickBot="1">
      <c r="A10" s="19"/>
      <c r="B10" s="19"/>
      <c r="C10" s="5" t="s">
        <v>19</v>
      </c>
      <c r="D10" s="5" t="s">
        <v>20</v>
      </c>
    </row>
    <row r="11" spans="1:6" ht="12.75">
      <c r="A11" s="19" t="s">
        <v>14</v>
      </c>
      <c r="B11" s="19"/>
      <c r="C11" s="20">
        <f ca="1">INTERCEPT(INDIRECT(C14):R$935,INDIRECT(C13):$F$935)</f>
        <v>0.06934729867468892</v>
      </c>
      <c r="D11" s="20">
        <f ca="1">INTERCEPT(INDIRECT(D14):S$935,INDIRECT(D13):$F$935)</f>
        <v>-2.392473816305357</v>
      </c>
      <c r="E11" s="17" t="s">
        <v>37</v>
      </c>
      <c r="F11">
        <v>1</v>
      </c>
    </row>
    <row r="12" spans="1:6" ht="12.75">
      <c r="A12" s="19" t="s">
        <v>15</v>
      </c>
      <c r="B12" s="19"/>
      <c r="C12" s="20">
        <f ca="1">SLOPE(INDIRECT(C14):R$935,INDIRECT(C13):$F$935)</f>
        <v>-0.0004749920613525037</v>
      </c>
      <c r="D12" s="20">
        <f ca="1">SLOPE(INDIRECT(D14):S$935,INDIRECT(D13):$F$935)</f>
        <v>-0.0003684614308511343</v>
      </c>
      <c r="E12" s="17" t="s">
        <v>38</v>
      </c>
      <c r="F12" s="27">
        <f ca="1">NOW()+15018.5+$C$5/24</f>
        <v>59903.67042476852</v>
      </c>
    </row>
    <row r="13" spans="1:6" ht="12.75">
      <c r="A13" s="17" t="s">
        <v>30</v>
      </c>
      <c r="B13" s="17"/>
      <c r="C13" s="18" t="str">
        <f>"F"&amp;C9</f>
        <v>F21</v>
      </c>
      <c r="D13" s="18" t="str">
        <f>"F"&amp;D9</f>
        <v>F21</v>
      </c>
      <c r="E13" s="17" t="s">
        <v>39</v>
      </c>
      <c r="F13" s="27">
        <f>ROUND(2*(F12-$C$7)/$C$8,0)/2+F11</f>
        <v>1124</v>
      </c>
    </row>
    <row r="14" spans="1:6" ht="12.75">
      <c r="A14" s="17" t="s">
        <v>31</v>
      </c>
      <c r="B14" s="17"/>
      <c r="C14" s="18" t="str">
        <f>"R"&amp;C9</f>
        <v>R21</v>
      </c>
      <c r="D14" s="18" t="str">
        <f>"S"&amp;D9</f>
        <v>S21</v>
      </c>
      <c r="E14" s="17" t="s">
        <v>40</v>
      </c>
      <c r="F14" s="28">
        <f>ROUND(2*(F12-$C$15)/$C$16,0)/2+F11</f>
        <v>743</v>
      </c>
    </row>
    <row r="15" spans="1:6" ht="12.75">
      <c r="A15" s="21" t="s">
        <v>16</v>
      </c>
      <c r="B15" s="19"/>
      <c r="C15" s="22">
        <f>($C7+C11)+($C8+C12)*INT(MAX($F21:$F3533))</f>
        <v>55591.4742453233</v>
      </c>
      <c r="D15" s="22">
        <f>($C7+D11)+($C8+D12)*INT(MAX($F21:$F3533))</f>
        <v>55589.05301237854</v>
      </c>
      <c r="E15" s="17" t="s">
        <v>41</v>
      </c>
      <c r="F15" s="29">
        <f>+$C$15+$C$16*F14-15018.5-$C$5/24</f>
        <v>44891.60806955505</v>
      </c>
    </row>
    <row r="16" spans="1:6" ht="12.75">
      <c r="A16" s="23" t="s">
        <v>4</v>
      </c>
      <c r="B16" s="19"/>
      <c r="C16" s="24">
        <f>+$C8+C12</f>
        <v>5.811895007938647</v>
      </c>
      <c r="D16" s="20">
        <f>+$C8+D12</f>
        <v>5.812001538569149</v>
      </c>
      <c r="E16" s="30"/>
      <c r="F16" s="30" t="s">
        <v>36</v>
      </c>
    </row>
    <row r="17" spans="1:3" ht="13.5" thickBot="1">
      <c r="A17" s="16" t="s">
        <v>28</v>
      </c>
      <c r="C17">
        <f>COUNT(C21:C1247)</f>
        <v>10</v>
      </c>
    </row>
    <row r="18" spans="1:5" ht="14.25" thickBot="1" thickTop="1">
      <c r="A18" s="6" t="s">
        <v>22</v>
      </c>
      <c r="C18" s="3">
        <f>+C15</f>
        <v>55591.4742453233</v>
      </c>
      <c r="D18" s="4">
        <f>+C16</f>
        <v>5.811895007938647</v>
      </c>
      <c r="E18" s="31">
        <f>R19</f>
        <v>7</v>
      </c>
    </row>
    <row r="19" spans="1:19" ht="14.25" thickBot="1" thickTop="1">
      <c r="A19" s="6" t="s">
        <v>23</v>
      </c>
      <c r="C19" s="3">
        <f>+D15</f>
        <v>55589.05301237854</v>
      </c>
      <c r="D19" s="4">
        <f>+D16</f>
        <v>5.812001538569149</v>
      </c>
      <c r="E19" s="31">
        <f>S19</f>
        <v>3</v>
      </c>
      <c r="R19">
        <f>COUNT(R21:R322)</f>
        <v>7</v>
      </c>
      <c r="S19">
        <f>COUNT(S21:S322)</f>
        <v>3</v>
      </c>
    </row>
    <row r="20" spans="1:19" ht="14.25" thickBot="1" thickTop="1">
      <c r="A20" s="5" t="s">
        <v>5</v>
      </c>
      <c r="B20" s="5" t="s">
        <v>6</v>
      </c>
      <c r="C20" s="5" t="s">
        <v>7</v>
      </c>
      <c r="D20" s="5" t="s">
        <v>12</v>
      </c>
      <c r="E20" s="5" t="s">
        <v>8</v>
      </c>
      <c r="F20" s="5" t="s">
        <v>9</v>
      </c>
      <c r="G20" s="5" t="s">
        <v>10</v>
      </c>
      <c r="H20" s="8" t="s">
        <v>11</v>
      </c>
      <c r="I20" s="8" t="s">
        <v>32</v>
      </c>
      <c r="J20" s="8" t="s">
        <v>33</v>
      </c>
      <c r="K20" s="8" t="s">
        <v>26</v>
      </c>
      <c r="L20" s="8" t="s">
        <v>27</v>
      </c>
      <c r="M20" s="8" t="s">
        <v>18</v>
      </c>
      <c r="N20" s="8" t="s">
        <v>21</v>
      </c>
      <c r="O20" s="8" t="s">
        <v>24</v>
      </c>
      <c r="P20" s="7" t="s">
        <v>25</v>
      </c>
      <c r="Q20" s="5" t="s">
        <v>13</v>
      </c>
      <c r="R20" s="9" t="s">
        <v>19</v>
      </c>
      <c r="S20" s="9" t="s">
        <v>20</v>
      </c>
    </row>
    <row r="21" spans="1:18" ht="12.75">
      <c r="A21" s="35" t="s">
        <v>46</v>
      </c>
      <c r="B21" s="36" t="s">
        <v>47</v>
      </c>
      <c r="C21" s="37">
        <v>37661.761</v>
      </c>
      <c r="D21" s="12"/>
      <c r="E21">
        <f>+(C21-C$7)/C$8</f>
        <v>-2703.7700456096227</v>
      </c>
      <c r="F21">
        <f>ROUND(2*E21,0)/2</f>
        <v>-2704</v>
      </c>
      <c r="G21">
        <f>+C21-(C$7+F21*C$8)</f>
        <v>1.3365799999955925</v>
      </c>
      <c r="H21">
        <f>+G21</f>
        <v>1.3365799999955925</v>
      </c>
      <c r="O21">
        <f>+C$11+C$12*$F21</f>
        <v>1.3537258325718589</v>
      </c>
      <c r="P21">
        <f>+D$11+D$12*$F21</f>
        <v>-1.39615410728389</v>
      </c>
      <c r="Q21" s="2">
        <f>+C21-15018.5</f>
        <v>22643.261</v>
      </c>
      <c r="R21">
        <f>G21</f>
        <v>1.3365799999955925</v>
      </c>
    </row>
    <row r="22" spans="1:19" ht="12.75">
      <c r="A22" s="35" t="s">
        <v>46</v>
      </c>
      <c r="B22" s="36" t="s">
        <v>47</v>
      </c>
      <c r="C22" s="37">
        <v>37667.759</v>
      </c>
      <c r="D22" s="12"/>
      <c r="E22">
        <f aca="true" t="shared" si="0" ref="E22:E30">+(C22-C$7)/C$8</f>
        <v>-2702.738108551245</v>
      </c>
      <c r="F22">
        <f aca="true" t="shared" si="1" ref="F22:F30">ROUND(2*E22,0)/2</f>
        <v>-2702.5</v>
      </c>
      <c r="G22">
        <f aca="true" t="shared" si="2" ref="G22:G30">+C22-(C$7+F22*C$8)</f>
        <v>-1.383975000004284</v>
      </c>
      <c r="H22">
        <f aca="true" t="shared" si="3" ref="H22:H30">+G22</f>
        <v>-1.383975000004284</v>
      </c>
      <c r="O22">
        <f aca="true" t="shared" si="4" ref="O22:O30">+C$11+C$12*$F22</f>
        <v>1.3530133444798302</v>
      </c>
      <c r="P22">
        <f aca="true" t="shared" si="5" ref="P22:P30">+D$11+D$12*$F22</f>
        <v>-1.3967067994301665</v>
      </c>
      <c r="Q22" s="2">
        <f aca="true" t="shared" si="6" ref="Q22:Q30">+C22-15018.5</f>
        <v>22649.259</v>
      </c>
      <c r="S22">
        <f>G22</f>
        <v>-1.383975000004284</v>
      </c>
    </row>
    <row r="23" spans="1:18" ht="12.75">
      <c r="A23" s="35" t="s">
        <v>46</v>
      </c>
      <c r="B23" s="36" t="s">
        <v>47</v>
      </c>
      <c r="C23" s="37">
        <v>37696.689</v>
      </c>
      <c r="D23" s="12"/>
      <c r="E23">
        <f t="shared" si="0"/>
        <v>-2697.7607929295627</v>
      </c>
      <c r="F23">
        <f t="shared" si="1"/>
        <v>-2698</v>
      </c>
      <c r="G23">
        <f t="shared" si="2"/>
        <v>1.3903599999975995</v>
      </c>
      <c r="H23">
        <f t="shared" si="3"/>
        <v>1.3903599999975995</v>
      </c>
      <c r="O23">
        <f t="shared" si="4"/>
        <v>1.350875880203744</v>
      </c>
      <c r="P23">
        <f t="shared" si="5"/>
        <v>-1.3983648758689966</v>
      </c>
      <c r="Q23" s="2">
        <f t="shared" si="6"/>
        <v>22678.189</v>
      </c>
      <c r="R23">
        <f aca="true" t="shared" si="7" ref="R23:R30">G23</f>
        <v>1.3903599999975995</v>
      </c>
    </row>
    <row r="24" spans="1:19" ht="12.75">
      <c r="A24" s="35" t="s">
        <v>46</v>
      </c>
      <c r="B24" s="36" t="s">
        <v>47</v>
      </c>
      <c r="C24" s="37">
        <v>37696.793</v>
      </c>
      <c r="D24" s="12"/>
      <c r="E24">
        <f t="shared" si="0"/>
        <v>-2697.7429000562597</v>
      </c>
      <c r="F24">
        <f t="shared" si="1"/>
        <v>-2697.5</v>
      </c>
      <c r="G24">
        <f t="shared" si="2"/>
        <v>-1.4118250000028638</v>
      </c>
      <c r="H24">
        <f t="shared" si="3"/>
        <v>-1.4118250000028638</v>
      </c>
      <c r="O24">
        <f t="shared" si="4"/>
        <v>1.3506383841730676</v>
      </c>
      <c r="P24">
        <f t="shared" si="5"/>
        <v>-1.3985491065844222</v>
      </c>
      <c r="Q24" s="2">
        <f t="shared" si="6"/>
        <v>22678.292999999998</v>
      </c>
      <c r="S24">
        <f>G24</f>
        <v>-1.4118250000028638</v>
      </c>
    </row>
    <row r="25" spans="1:18" ht="12.75">
      <c r="A25" s="35" t="s">
        <v>46</v>
      </c>
      <c r="B25" s="36" t="s">
        <v>47</v>
      </c>
      <c r="C25" s="37">
        <v>37760.673</v>
      </c>
      <c r="D25" s="12"/>
      <c r="E25">
        <f t="shared" si="0"/>
        <v>-2686.752546723625</v>
      </c>
      <c r="F25">
        <f t="shared" si="1"/>
        <v>-2687</v>
      </c>
      <c r="G25">
        <f t="shared" si="2"/>
        <v>1.4382899999982328</v>
      </c>
      <c r="H25">
        <f t="shared" si="3"/>
        <v>1.4382899999982328</v>
      </c>
      <c r="O25">
        <f t="shared" si="4"/>
        <v>1.3456509675288664</v>
      </c>
      <c r="P25">
        <f t="shared" si="5"/>
        <v>-1.402417951608359</v>
      </c>
      <c r="Q25" s="2">
        <f t="shared" si="6"/>
        <v>22742.173000000003</v>
      </c>
      <c r="R25">
        <f t="shared" si="7"/>
        <v>1.4382899999982328</v>
      </c>
    </row>
    <row r="26" spans="1:19" ht="12.75">
      <c r="A26" s="35" t="s">
        <v>46</v>
      </c>
      <c r="B26" s="36" t="s">
        <v>47</v>
      </c>
      <c r="C26" s="37">
        <v>38376.811</v>
      </c>
      <c r="D26" s="12"/>
      <c r="E26">
        <f t="shared" si="0"/>
        <v>-2580.74793930875</v>
      </c>
      <c r="F26">
        <f t="shared" si="1"/>
        <v>-2580.5</v>
      </c>
      <c r="G26">
        <f t="shared" si="2"/>
        <v>-1.4411150000014459</v>
      </c>
      <c r="H26">
        <f t="shared" si="3"/>
        <v>-1.4411150000014459</v>
      </c>
      <c r="O26">
        <f t="shared" si="4"/>
        <v>1.2950643129948247</v>
      </c>
      <c r="P26">
        <f t="shared" si="5"/>
        <v>-1.441659093994005</v>
      </c>
      <c r="Q26" s="2">
        <f t="shared" si="6"/>
        <v>23358.311</v>
      </c>
      <c r="S26">
        <f>G26</f>
        <v>-1.4411150000014459</v>
      </c>
    </row>
    <row r="27" spans="1:18" ht="12.75">
      <c r="A27" s="35" t="s">
        <v>46</v>
      </c>
      <c r="B27" s="36" t="s">
        <v>47</v>
      </c>
      <c r="C27" s="37">
        <v>38405.81</v>
      </c>
      <c r="D27" s="12"/>
      <c r="E27">
        <f t="shared" si="0"/>
        <v>-2575.758752453819</v>
      </c>
      <c r="F27">
        <f t="shared" si="1"/>
        <v>-2576</v>
      </c>
      <c r="G27">
        <f t="shared" si="2"/>
        <v>1.402219999996305</v>
      </c>
      <c r="H27">
        <f t="shared" si="3"/>
        <v>1.402219999996305</v>
      </c>
      <c r="O27">
        <f t="shared" si="4"/>
        <v>1.2929268487187384</v>
      </c>
      <c r="P27">
        <f t="shared" si="5"/>
        <v>-1.443317170432835</v>
      </c>
      <c r="Q27" s="2">
        <f t="shared" si="6"/>
        <v>23387.309999999998</v>
      </c>
      <c r="R27">
        <f t="shared" si="7"/>
        <v>1.402219999996305</v>
      </c>
    </row>
    <row r="28" spans="1:18" ht="12.75">
      <c r="A28" s="35" t="s">
        <v>46</v>
      </c>
      <c r="B28" s="36" t="s">
        <v>47</v>
      </c>
      <c r="C28" s="37">
        <v>39137.77</v>
      </c>
      <c r="D28" s="12"/>
      <c r="E28">
        <f t="shared" si="0"/>
        <v>-2449.827333772627</v>
      </c>
      <c r="F28">
        <f t="shared" si="1"/>
        <v>-2450</v>
      </c>
      <c r="G28">
        <f t="shared" si="2"/>
        <v>1.0035999999963678</v>
      </c>
      <c r="H28">
        <f t="shared" si="3"/>
        <v>1.0035999999963678</v>
      </c>
      <c r="O28">
        <f t="shared" si="4"/>
        <v>1.233077848988323</v>
      </c>
      <c r="P28">
        <f t="shared" si="5"/>
        <v>-1.489743310720078</v>
      </c>
      <c r="Q28" s="2">
        <f t="shared" si="6"/>
        <v>24119.269999999997</v>
      </c>
      <c r="R28">
        <f t="shared" si="7"/>
        <v>1.0035999999963678</v>
      </c>
    </row>
    <row r="29" spans="1:18" ht="12.75">
      <c r="A29" s="38" t="s">
        <v>48</v>
      </c>
      <c r="B29" s="39" t="s">
        <v>47</v>
      </c>
      <c r="C29" s="38">
        <v>53377.0729</v>
      </c>
      <c r="D29" s="38">
        <v>0.008</v>
      </c>
      <c r="E29">
        <f t="shared" si="0"/>
        <v>0</v>
      </c>
      <c r="F29">
        <f t="shared" si="1"/>
        <v>0</v>
      </c>
      <c r="G29">
        <f t="shared" si="2"/>
        <v>0</v>
      </c>
      <c r="H29">
        <f t="shared" si="3"/>
        <v>0</v>
      </c>
      <c r="O29">
        <f t="shared" si="4"/>
        <v>0.06934729867468892</v>
      </c>
      <c r="P29">
        <f t="shared" si="5"/>
        <v>-2.392473816305357</v>
      </c>
      <c r="Q29" s="2">
        <f t="shared" si="6"/>
        <v>38358.5729</v>
      </c>
      <c r="R29">
        <f t="shared" si="7"/>
        <v>0</v>
      </c>
    </row>
    <row r="30" spans="1:18" ht="12.75">
      <c r="A30" s="40" t="s">
        <v>49</v>
      </c>
      <c r="B30" s="40"/>
      <c r="C30" s="41">
        <v>55591.5488</v>
      </c>
      <c r="D30" s="41">
        <v>0.0301</v>
      </c>
      <c r="E30">
        <f t="shared" si="0"/>
        <v>380.99362222294826</v>
      </c>
      <c r="F30">
        <f t="shared" si="1"/>
        <v>381</v>
      </c>
      <c r="G30">
        <f t="shared" si="2"/>
        <v>-0.037069999998493586</v>
      </c>
      <c r="H30">
        <f t="shared" si="3"/>
        <v>-0.037069999998493586</v>
      </c>
      <c r="O30">
        <f t="shared" si="4"/>
        <v>-0.11162467670061499</v>
      </c>
      <c r="P30">
        <f t="shared" si="5"/>
        <v>-2.532857621459639</v>
      </c>
      <c r="Q30" s="2">
        <f t="shared" si="6"/>
        <v>40573.0488</v>
      </c>
      <c r="R30">
        <f t="shared" si="7"/>
        <v>-0.037069999998493586</v>
      </c>
    </row>
    <row r="31" spans="1:17" ht="12.75">
      <c r="A31" s="13"/>
      <c r="B31" s="14"/>
      <c r="C31" s="11"/>
      <c r="D31" s="11"/>
      <c r="Q31" s="2"/>
    </row>
    <row r="32" spans="1:17" ht="12.75">
      <c r="A32" s="13"/>
      <c r="B32" s="14"/>
      <c r="C32" s="11"/>
      <c r="D32" s="11"/>
      <c r="Q32" s="2"/>
    </row>
    <row r="33" spans="1:17" ht="12.75">
      <c r="A33" s="15"/>
      <c r="B33" s="10"/>
      <c r="C33" s="11"/>
      <c r="D33" s="12"/>
      <c r="Q33" s="2"/>
    </row>
    <row r="34" spans="1:17" ht="12.75">
      <c r="A34" s="15"/>
      <c r="B34" s="10"/>
      <c r="C34" s="11"/>
      <c r="D34" s="12"/>
      <c r="Q34" s="2"/>
    </row>
    <row r="35" spans="1:17" ht="12.75">
      <c r="A35" s="15"/>
      <c r="B35" s="10"/>
      <c r="C35" s="11"/>
      <c r="D35" s="12"/>
      <c r="Q35" s="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2022-11-20T03:05:24Z</dcterms:modified>
  <cp:category/>
  <cp:version/>
  <cp:contentType/>
  <cp:contentStatus/>
</cp:coreProperties>
</file>