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<sst xmlns="http://schemas.openxmlformats.org/spreadsheetml/2006/main" count="309" uniqueCount="167">
  <si>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</si>
  <si>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</si>
  <si>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</si>
  <si>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</si>
  <si>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</si>
  <si>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</si>
  <si>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</si>
  <si>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</si>
  <si>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</si>
  <si>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</si>
  <si>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</si>
  <si>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</si>
  <si>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</si>
  <si>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</si>
  <si>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</si>
  <si>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</si>
  <si>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</si>
  <si>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</si>
  <si>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</si>
  <si>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</si>
  <si>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</si>
  <si>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</si>
  <si>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</si>
  <si>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</si>
  <si>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</si>
  <si>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</si>
  <si>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</si>
  <si>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</si>
  <si>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</si>
  <si>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</si>
  <si>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Bull.81</t>
  </si>
  <si>
    <t>B</t>
  </si>
  <si>
    <t>BBSAG Bull.83</t>
  </si>
  <si>
    <t>BBSAG Bull.88</t>
  </si>
  <si>
    <t>BBSAG Bull.95</t>
  </si>
  <si>
    <t>BBSAG Bull.101</t>
  </si>
  <si>
    <t>BBSAG</t>
  </si>
  <si>
    <t>Cycles might not be right</t>
  </si>
  <si>
    <t># of data points:</t>
  </si>
  <si>
    <t>EA/SD</t>
  </si>
  <si>
    <t>AK Lyr / GSC 2131-1676</t>
  </si>
  <si>
    <t xml:space="preserve">19 15 19.5 +27 01 00 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</si>
  <si>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</si>
  <si>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</si>
  <si>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</si>
  <si>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</si>
  <si>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</si>
  <si>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</si>
  <si>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</si>
  <si>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</si>
  <si>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</si>
  <si>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</si>
  <si>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</si>
  <si>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</si>
  <si>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</si>
  <si>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</si>
  <si>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</si>
  <si>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</si>
  <si>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</si>
  <si>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</si>
  <si>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</si>
  <si>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</si>
  <si>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2416394.34 </t>
  </si>
  <si>
    <t> 06.10.1903 20:09 </t>
  </si>
  <si>
    <t> 0.37 </t>
  </si>
  <si>
    <t>P </t>
  </si>
  <si>
    <t> P.Parenago </t>
  </si>
  <si>
    <t> PZ 4.314 </t>
  </si>
  <si>
    <t>2418230.24 </t>
  </si>
  <si>
    <t> 15.10.1908 17:45 </t>
  </si>
  <si>
    <t> 0.02 </t>
  </si>
  <si>
    <t>2418564.32 </t>
  </si>
  <si>
    <t> 14.09.1909 19:40 </t>
  </si>
  <si>
    <t> 0.43 </t>
  </si>
  <si>
    <t>2418566.30 </t>
  </si>
  <si>
    <t> 16.09.1909 19:12 </t>
  </si>
  <si>
    <t> 0.32 </t>
  </si>
  <si>
    <t>2418596.22 </t>
  </si>
  <si>
    <t> 16.10.1909 17:16 </t>
  </si>
  <si>
    <t> 0.00 </t>
  </si>
  <si>
    <t>2418597.22 </t>
  </si>
  <si>
    <t> 17.10.1909 17:16 </t>
  </si>
  <si>
    <t> -0.04 </t>
  </si>
  <si>
    <t>2418923.32 </t>
  </si>
  <si>
    <t> 08.09.1910 19:40 </t>
  </si>
  <si>
    <t> -0.32 </t>
  </si>
  <si>
    <t>2427902.609 </t>
  </si>
  <si>
    <t> 10.04.1935 02:36 </t>
  </si>
  <si>
    <t> 0.005 </t>
  </si>
  <si>
    <t> M.S.Zverev </t>
  </si>
  <si>
    <t> PZ 5.109 </t>
  </si>
  <si>
    <t>2429733.630 </t>
  </si>
  <si>
    <t> 14.04.1940 03:07 </t>
  </si>
  <si>
    <t> -0.012 </t>
  </si>
  <si>
    <t> P.Ahnert </t>
  </si>
  <si>
    <t> KVBB 24.69 </t>
  </si>
  <si>
    <t>2429752.400 </t>
  </si>
  <si>
    <t> 02.05.1940 21:36 </t>
  </si>
  <si>
    <t> -0.011 </t>
  </si>
  <si>
    <t>2429877.535 </t>
  </si>
  <si>
    <t> 05.09.1940 00:50 </t>
  </si>
  <si>
    <t> -0.004 </t>
  </si>
  <si>
    <t>2433391.534 </t>
  </si>
  <si>
    <t> 20.04.1950 00:48 </t>
  </si>
  <si>
    <t> -0.013 </t>
  </si>
  <si>
    <t> A.A.Wachmann </t>
  </si>
  <si>
    <t> AHSB 6.3.64 </t>
  </si>
  <si>
    <t>2433487.482 </t>
  </si>
  <si>
    <t> 24.07.1950 23:34 </t>
  </si>
  <si>
    <t> 0.003 </t>
  </si>
  <si>
    <t>2433512.505 </t>
  </si>
  <si>
    <t> 19.08.1950 00:07 </t>
  </si>
  <si>
    <t> 0.001 </t>
  </si>
  <si>
    <t>2434121.485 </t>
  </si>
  <si>
    <t> 18.04.1952 23:38 </t>
  </si>
  <si>
    <t> 0.025 </t>
  </si>
  <si>
    <t>2434655.327 </t>
  </si>
  <si>
    <t> 04.10.1953 19:50 </t>
  </si>
  <si>
    <t>2435066.203 </t>
  </si>
  <si>
    <t> 19.11.1954 16:52 </t>
  </si>
  <si>
    <t> 0.027 </t>
  </si>
  <si>
    <t>2435195.507 </t>
  </si>
  <si>
    <t> 29.03.1955 00:10 </t>
  </si>
  <si>
    <t> 0.033 </t>
  </si>
  <si>
    <t>2435341.427 </t>
  </si>
  <si>
    <t> 21.08.1955 22:14 </t>
  </si>
  <si>
    <t> -0.030 </t>
  </si>
  <si>
    <t>2435368.541 </t>
  </si>
  <si>
    <t> 18.09.1955 00:59 </t>
  </si>
  <si>
    <t> -0.027 </t>
  </si>
  <si>
    <t>2446650.397 </t>
  </si>
  <si>
    <t> 07.08.1986 21:31 </t>
  </si>
  <si>
    <t> -0.536 </t>
  </si>
  <si>
    <t>V </t>
  </si>
  <si>
    <t> K.Locher </t>
  </si>
  <si>
    <t> BBS 81 </t>
  </si>
  <si>
    <t>2446875.575 </t>
  </si>
  <si>
    <t> 21.03.1987 01:48 </t>
  </si>
  <si>
    <t> -0.588 </t>
  </si>
  <si>
    <t> BBS 83 </t>
  </si>
  <si>
    <t>2447288.485 </t>
  </si>
  <si>
    <t> 06.05.1988 23:38 </t>
  </si>
  <si>
    <t> -0.600 </t>
  </si>
  <si>
    <t> BBS 88 </t>
  </si>
  <si>
    <t>2448068.380 </t>
  </si>
  <si>
    <t> 25.06.1990 21:07 </t>
  </si>
  <si>
    <t> -0.669 </t>
  </si>
  <si>
    <t> BBS 95 </t>
  </si>
  <si>
    <t>2448802.451 </t>
  </si>
  <si>
    <t> 28.06.1992 22:49 </t>
  </si>
  <si>
    <t> -0.681 </t>
  </si>
  <si>
    <t> BBS 101 </t>
  </si>
  <si>
    <t>2453963.3965 </t>
  </si>
  <si>
    <t> 15.08.2006 21:30 </t>
  </si>
  <si>
    <t> -0.2184 </t>
  </si>
  <si>
    <t>C </t>
  </si>
  <si>
    <t>-I</t>
  </si>
  <si>
    <t> F. Agerer </t>
  </si>
  <si>
    <t>BAVM 183 </t>
  </si>
  <si>
    <t>2453990.5028 </t>
  </si>
  <si>
    <t> 12.09.2006 00:04 </t>
  </si>
  <si>
    <t>12509.5</t>
  </si>
  <si>
    <t> -0.2231 </t>
  </si>
  <si>
    <t>II</t>
  </si>
  <si>
    <t>Start of linear fit &gt;&gt;&gt;&gt;&gt;&gt;&gt;&gt;&gt;&gt;&gt;&gt;&gt;&gt;&gt;&gt;&gt;&gt;&gt;&gt;&gt;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</si>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</sst>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20"/>
      <name val="Arial"/>
      <family val="0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7" fillId="33" borderId="0" xfId="0" applyFont="1" applyFill="1" applyAlignment="1">
      <alignment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4" fillId="34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Lyr - O-C Diagr.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575"/>
          <c:w val="0.897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6802409"/>
        <c:axId val="41459634"/>
      </c:scatterChart>
      <c:valAx>
        <c:axId val="56802409"/>
        <c:scaling>
          <c:orientation val="minMax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crossBetween val="midCat"/>
        <c:dispUnits/>
      </c:valAx>
      <c:valAx>
        <c:axId val="41459634"/>
        <c:scaling>
          <c:orientation val="minMax"/>
          <c:max val="-2.2"/>
          <c:min val="-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"/>
          <c:y val="0.93025"/>
          <c:w val="0.880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Lyr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7592387"/>
        <c:axId val="2787164"/>
      </c:scatterChart>
      <c:val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crossBetween val="midCat"/>
        <c:dispUnits/>
      </c:valAx>
      <c:valAx>
        <c:axId val="278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5"/>
          <c:y val="0.9305"/>
          <c:w val="0.991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15</xdr:col>
      <xdr:colOff>114300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838700" y="19050"/>
        <a:ext cx="51911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171450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382125" y="0"/>
        <a:ext cx="4619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3" TargetMode="External" /><Relationship Id="rId2" Type="http://schemas.openxmlformats.org/officeDocument/2006/relationships/hyperlink" Target="http://www.bav-astro.de/sfs/BAVM_link.php?BAVMnr=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6.421875" style="0" customWidth="1"/>
    <col min="2" max="2" width="6.140625" style="0" customWidth="1"/>
    <col min="3" max="3" width="11.8515625" style="0" customWidth="1"/>
    <col min="4" max="4" width="9.421875" style="0" customWidth="1"/>
    <col min="5" max="5" width="10.8515625" style="0" customWidth="1"/>
    <col min="6" max="6" width="17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3" ht="12.75">
      <c r="A2" t="s">
        <v>25</v>
      </c>
      <c r="B2" s="12" t="s">
        <v>39</v>
      </c>
      <c r="C2" s="13" t="s">
        <v>41</v>
      </c>
    </row>
    <row r="3" ht="13.5" thickBot="1"/>
    <row r="4" spans="1:4" ht="14.25" thickBot="1" thickTop="1">
      <c r="A4" s="6" t="s">
        <v>0</v>
      </c>
      <c r="C4" s="3">
        <v>27902.604</v>
      </c>
      <c r="D4" s="4">
        <v>2.0854648</v>
      </c>
    </row>
    <row r="5" spans="1:4" ht="13.5" thickTop="1">
      <c r="A5" s="15" t="s">
        <v>42</v>
      </c>
      <c r="B5" s="16"/>
      <c r="C5" s="17">
        <v>-9.5</v>
      </c>
      <c r="D5" s="16" t="s">
        <v>43</v>
      </c>
    </row>
    <row r="6" spans="1:3" ht="12.75">
      <c r="A6" s="6" t="s">
        <v>1</v>
      </c>
      <c r="C6" s="10" t="s">
        <v>37</v>
      </c>
    </row>
    <row r="7" spans="1:3" ht="12.75">
      <c r="A7" t="s">
        <v>2</v>
      </c>
      <c r="C7">
        <f>+C4</f>
        <v>27902.604</v>
      </c>
    </row>
    <row r="8" spans="1:3" ht="12.75">
      <c r="A8" t="s">
        <v>3</v>
      </c>
      <c r="C8">
        <f>+D4</f>
        <v>2.0854648</v>
      </c>
    </row>
    <row r="9" spans="1:5" ht="12.75">
      <c r="A9" s="47" t="s">
        <v>164</v>
      </c>
      <c r="B9" s="48">
        <v>42</v>
      </c>
      <c r="C9" s="49" t="str">
        <f>"F"&amp;B9</f>
        <v>F42</v>
      </c>
      <c r="D9" s="9" t="str">
        <f>"G"&amp;B9</f>
        <v>G42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5" ht="12.75">
      <c r="A11" s="16" t="s">
        <v>16</v>
      </c>
      <c r="B11" s="16"/>
      <c r="C11" s="50">
        <f ca="1">INTERCEPT(INDIRECT($D$9):G978,INDIRECT($C$9):F978)</f>
        <v>-0.7610597774956527</v>
      </c>
      <c r="D11" s="18"/>
      <c r="E11" s="16"/>
    </row>
    <row r="12" spans="1:5" ht="12.75">
      <c r="A12" s="16" t="s">
        <v>17</v>
      </c>
      <c r="B12" s="16"/>
      <c r="C12" s="50">
        <f ca="1">SLOPE(INDIRECT($D$9):G978,INDIRECT($C$9):F978)</f>
        <v>-0.0002062798385008759</v>
      </c>
      <c r="D12" s="18"/>
      <c r="E12" s="16"/>
    </row>
    <row r="13" spans="1:5" ht="12.75">
      <c r="A13" s="16" t="s">
        <v>20</v>
      </c>
      <c r="B13" s="16"/>
      <c r="C13" s="18" t="s">
        <v>14</v>
      </c>
      <c r="D13" s="18"/>
      <c r="E13" s="16"/>
    </row>
    <row r="14" spans="1:5" ht="12.75">
      <c r="A14" s="16"/>
      <c r="B14" s="16"/>
      <c r="C14" s="16"/>
      <c r="D14" s="16"/>
      <c r="E14" s="16"/>
    </row>
    <row r="15" spans="1:6" ht="12.75">
      <c r="A15" s="19" t="s">
        <v>18</v>
      </c>
      <c r="B15" s="16"/>
      <c r="C15" s="20">
        <f>(C7+C11)+(C8+C12)*INT(MAX(F21:F3533))</f>
        <v>53990.51228596302</v>
      </c>
      <c r="D15" s="21"/>
      <c r="E15" s="21" t="s">
        <v>165</v>
      </c>
      <c r="F15" s="17">
        <v>1</v>
      </c>
    </row>
    <row r="16" spans="1:6" ht="12.75">
      <c r="A16" s="23" t="s">
        <v>4</v>
      </c>
      <c r="B16" s="16"/>
      <c r="C16" s="24">
        <f>+C8+C12</f>
        <v>2.0852585201614993</v>
      </c>
      <c r="D16" s="21"/>
      <c r="E16" s="21" t="s">
        <v>44</v>
      </c>
      <c r="F16" s="22">
        <f ca="1">NOW()+15018.5+$C$5/24</f>
        <v>59903.671458680554</v>
      </c>
    </row>
    <row r="17" spans="1:6" ht="13.5" thickBot="1">
      <c r="A17" s="21" t="s">
        <v>38</v>
      </c>
      <c r="B17" s="16"/>
      <c r="C17" s="16">
        <f>COUNT(C21:C2191)</f>
        <v>28</v>
      </c>
      <c r="D17" s="21"/>
      <c r="E17" s="21" t="s">
        <v>166</v>
      </c>
      <c r="F17" s="22">
        <f>ROUND(2*(F16-$C$7)/$C$8,0)/2+F15</f>
        <v>15346</v>
      </c>
    </row>
    <row r="18" spans="1:6" ht="12.75">
      <c r="A18" s="23" t="s">
        <v>5</v>
      </c>
      <c r="B18" s="16"/>
      <c r="C18" s="26">
        <f>+C15</f>
        <v>53990.51228596302</v>
      </c>
      <c r="D18" s="27">
        <f>+C16</f>
        <v>2.0852585201614993</v>
      </c>
      <c r="E18" s="21" t="s">
        <v>45</v>
      </c>
      <c r="F18" s="9">
        <f>ROUND(2*(F16-$C$15)/$C$16,0)/2+F15</f>
        <v>2836.5</v>
      </c>
    </row>
    <row r="19" spans="5:6" ht="13.5" thickTop="1">
      <c r="E19" s="21" t="s">
        <v>46</v>
      </c>
      <c r="F19" s="25">
        <f>+$C$15+$C$16*F18-15018.5-$C$5/24</f>
        <v>44887.24391173445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36</v>
      </c>
      <c r="J20" s="8" t="s">
        <v>49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s="44" t="s">
        <v>67</v>
      </c>
      <c r="B21" s="46" t="s">
        <v>163</v>
      </c>
      <c r="C21" s="45">
        <v>16394.34</v>
      </c>
      <c r="D21" s="14"/>
      <c r="E21">
        <f aca="true" t="shared" si="0" ref="E21:E48">+(C21-C$7)/C$8</f>
        <v>-5518.320903810028</v>
      </c>
      <c r="F21">
        <f aca="true" t="shared" si="1" ref="F21:F26">ROUND(2*E21,0)/2</f>
        <v>-5518.5</v>
      </c>
      <c r="G21">
        <f aca="true" t="shared" si="2" ref="G21:G27">+C21-(C$7+F21*C$8)</f>
        <v>0.37349880000328994</v>
      </c>
      <c r="K21">
        <f aca="true" t="shared" si="3" ref="K21:K27">+G21</f>
        <v>0.37349880000328994</v>
      </c>
      <c r="O21">
        <f aca="true" t="shared" si="4" ref="O21:O48">+C$11+C$12*F21</f>
        <v>0.3772955112714309</v>
      </c>
      <c r="Q21" s="2">
        <f aca="true" t="shared" si="5" ref="Q21:Q48">+C21-15018.5</f>
        <v>1375.8400000000001</v>
      </c>
    </row>
    <row r="22" spans="1:17" ht="12.75">
      <c r="A22" s="44" t="s">
        <v>67</v>
      </c>
      <c r="B22" s="46" t="s">
        <v>48</v>
      </c>
      <c r="C22" s="45">
        <v>18230.24</v>
      </c>
      <c r="D22" s="14"/>
      <c r="E22">
        <f t="shared" si="0"/>
        <v>-4637.98957431456</v>
      </c>
      <c r="F22">
        <f t="shared" si="1"/>
        <v>-4638</v>
      </c>
      <c r="G22">
        <f t="shared" si="2"/>
        <v>0.021742400003859075</v>
      </c>
      <c r="K22">
        <f t="shared" si="3"/>
        <v>0.021742400003859075</v>
      </c>
      <c r="O22">
        <f t="shared" si="4"/>
        <v>0.19566611347140972</v>
      </c>
      <c r="Q22" s="2">
        <f t="shared" si="5"/>
        <v>3211.7400000000016</v>
      </c>
    </row>
    <row r="23" spans="1:17" ht="12.75">
      <c r="A23" s="44" t="s">
        <v>67</v>
      </c>
      <c r="B23" s="46" t="s">
        <v>48</v>
      </c>
      <c r="C23" s="45">
        <v>18564.32</v>
      </c>
      <c r="D23" s="14"/>
      <c r="E23">
        <f t="shared" si="0"/>
        <v>-4477.795069952751</v>
      </c>
      <c r="F23">
        <f t="shared" si="1"/>
        <v>-4478</v>
      </c>
      <c r="G23">
        <f t="shared" si="2"/>
        <v>0.42737440000200877</v>
      </c>
      <c r="K23">
        <f t="shared" si="3"/>
        <v>0.42737440000200877</v>
      </c>
      <c r="O23">
        <f t="shared" si="4"/>
        <v>0.16266133931126958</v>
      </c>
      <c r="Q23" s="2">
        <f t="shared" si="5"/>
        <v>3545.8199999999997</v>
      </c>
    </row>
    <row r="24" spans="1:17" ht="12.75">
      <c r="A24" s="44" t="s">
        <v>67</v>
      </c>
      <c r="B24" s="46" t="s">
        <v>48</v>
      </c>
      <c r="C24" s="45">
        <v>18566.3</v>
      </c>
      <c r="D24" s="14"/>
      <c r="E24">
        <f t="shared" si="0"/>
        <v>-4476.845641316986</v>
      </c>
      <c r="F24">
        <f t="shared" si="1"/>
        <v>-4477</v>
      </c>
      <c r="G24">
        <f t="shared" si="2"/>
        <v>0.3219095999993442</v>
      </c>
      <c r="K24">
        <f t="shared" si="3"/>
        <v>0.3219095999993442</v>
      </c>
      <c r="O24">
        <f t="shared" si="4"/>
        <v>0.16245505947276873</v>
      </c>
      <c r="Q24" s="2">
        <f t="shared" si="5"/>
        <v>3547.7999999999993</v>
      </c>
    </row>
    <row r="25" spans="1:17" ht="12.75">
      <c r="A25" s="44" t="s">
        <v>67</v>
      </c>
      <c r="B25" s="46" t="s">
        <v>163</v>
      </c>
      <c r="C25" s="45">
        <v>18596.22</v>
      </c>
      <c r="D25" s="11"/>
      <c r="E25">
        <f t="shared" si="0"/>
        <v>-4462.498719709869</v>
      </c>
      <c r="F25">
        <f t="shared" si="1"/>
        <v>-4462.5</v>
      </c>
      <c r="G25">
        <f t="shared" si="2"/>
        <v>0.002670000001671724</v>
      </c>
      <c r="K25">
        <f t="shared" si="3"/>
        <v>0.002670000001671724</v>
      </c>
      <c r="O25">
        <f t="shared" si="4"/>
        <v>0.15946400181450604</v>
      </c>
      <c r="Q25" s="2">
        <f t="shared" si="5"/>
        <v>3577.720000000001</v>
      </c>
    </row>
    <row r="26" spans="1:17" ht="12.75">
      <c r="A26" s="44" t="s">
        <v>67</v>
      </c>
      <c r="B26" s="46" t="s">
        <v>48</v>
      </c>
      <c r="C26" s="45">
        <v>18597.22</v>
      </c>
      <c r="D26" s="11"/>
      <c r="E26">
        <f t="shared" si="0"/>
        <v>-4462.019210297866</v>
      </c>
      <c r="F26">
        <f t="shared" si="1"/>
        <v>-4462</v>
      </c>
      <c r="G26">
        <f t="shared" si="2"/>
        <v>-0.0400623999958043</v>
      </c>
      <c r="K26">
        <f t="shared" si="3"/>
        <v>-0.0400623999958043</v>
      </c>
      <c r="O26">
        <f t="shared" si="4"/>
        <v>0.15936086189525556</v>
      </c>
      <c r="Q26" s="2">
        <f t="shared" si="5"/>
        <v>3578.720000000001</v>
      </c>
    </row>
    <row r="27" spans="1:17" ht="12.75">
      <c r="A27" s="44" t="s">
        <v>67</v>
      </c>
      <c r="B27" s="46" t="s">
        <v>163</v>
      </c>
      <c r="C27" s="45">
        <v>18923.32</v>
      </c>
      <c r="D27" s="11"/>
      <c r="E27">
        <f t="shared" si="0"/>
        <v>-4305.6511910438385</v>
      </c>
      <c r="F27">
        <f>ROUND(2*E27,0)/2</f>
        <v>-4305.5</v>
      </c>
      <c r="G27">
        <f t="shared" si="2"/>
        <v>-0.315303600000334</v>
      </c>
      <c r="K27">
        <f t="shared" si="3"/>
        <v>-0.315303600000334</v>
      </c>
      <c r="O27">
        <f t="shared" si="4"/>
        <v>0.12707806716986858</v>
      </c>
      <c r="Q27" s="2">
        <f t="shared" si="5"/>
        <v>3904.8199999999997</v>
      </c>
    </row>
    <row r="28" spans="1:17" ht="12.75">
      <c r="A28" t="s">
        <v>12</v>
      </c>
      <c r="C28" s="14">
        <v>27902.604</v>
      </c>
      <c r="D28" s="14" t="s">
        <v>14</v>
      </c>
      <c r="E28">
        <f t="shared" si="0"/>
        <v>0</v>
      </c>
      <c r="F28">
        <f>ROUND(2*E28,0)/2</f>
        <v>0</v>
      </c>
      <c r="H28" s="9">
        <f>G28</f>
        <v>0</v>
      </c>
      <c r="O28">
        <f t="shared" si="4"/>
        <v>-0.7610597774956527</v>
      </c>
      <c r="Q28" s="2">
        <f t="shared" si="5"/>
        <v>12884.104</v>
      </c>
    </row>
    <row r="29" spans="1:17" ht="12.75">
      <c r="A29" s="44" t="s">
        <v>90</v>
      </c>
      <c r="B29" s="46" t="s">
        <v>48</v>
      </c>
      <c r="C29" s="45">
        <v>27902.609</v>
      </c>
      <c r="D29" s="11"/>
      <c r="E29">
        <f t="shared" si="0"/>
        <v>0.0023975470605011573</v>
      </c>
      <c r="F29">
        <f aca="true" t="shared" si="6" ref="F29:F41">ROUND(2*E29,0)/2</f>
        <v>0</v>
      </c>
      <c r="G29">
        <f aca="true" t="shared" si="7" ref="G29:G48">+C29-(C$7+F29*C$8)</f>
        <v>0.005000000001018634</v>
      </c>
      <c r="K29">
        <f aca="true" t="shared" si="8" ref="K29:K41">+G29</f>
        <v>0.005000000001018634</v>
      </c>
      <c r="O29">
        <f t="shared" si="4"/>
        <v>-0.7610597774956527</v>
      </c>
      <c r="Q29" s="2">
        <f t="shared" si="5"/>
        <v>12884.109</v>
      </c>
    </row>
    <row r="30" spans="1:17" ht="12.75">
      <c r="A30" s="44" t="s">
        <v>95</v>
      </c>
      <c r="B30" s="46" t="s">
        <v>48</v>
      </c>
      <c r="C30" s="45">
        <v>29733.63</v>
      </c>
      <c r="D30" s="11"/>
      <c r="E30">
        <f t="shared" si="0"/>
        <v>877.9942006213682</v>
      </c>
      <c r="F30">
        <f t="shared" si="6"/>
        <v>878</v>
      </c>
      <c r="G30">
        <f t="shared" si="7"/>
        <v>-0.012094399997295113</v>
      </c>
      <c r="K30">
        <f t="shared" si="8"/>
        <v>-0.012094399997295113</v>
      </c>
      <c r="O30">
        <f t="shared" si="4"/>
        <v>-0.9421734756994218</v>
      </c>
      <c r="Q30" s="2">
        <f t="shared" si="5"/>
        <v>14715.130000000001</v>
      </c>
    </row>
    <row r="31" spans="1:17" ht="12.75">
      <c r="A31" s="44" t="s">
        <v>95</v>
      </c>
      <c r="B31" s="46" t="s">
        <v>48</v>
      </c>
      <c r="C31" s="45">
        <v>29752.4</v>
      </c>
      <c r="D31" s="11"/>
      <c r="E31">
        <f t="shared" si="0"/>
        <v>886.9945922846562</v>
      </c>
      <c r="F31">
        <f t="shared" si="6"/>
        <v>887</v>
      </c>
      <c r="G31">
        <f t="shared" si="7"/>
        <v>-0.011277599998720689</v>
      </c>
      <c r="K31">
        <f t="shared" si="8"/>
        <v>-0.011277599998720689</v>
      </c>
      <c r="O31">
        <f t="shared" si="4"/>
        <v>-0.9440299942459296</v>
      </c>
      <c r="Q31" s="2">
        <f t="shared" si="5"/>
        <v>14733.900000000001</v>
      </c>
    </row>
    <row r="32" spans="1:17" ht="12.75">
      <c r="A32" s="44" t="s">
        <v>95</v>
      </c>
      <c r="B32" s="46" t="s">
        <v>48</v>
      </c>
      <c r="C32" s="45">
        <v>29877.535</v>
      </c>
      <c r="D32" s="11"/>
      <c r="E32">
        <f t="shared" si="0"/>
        <v>946.9980025555936</v>
      </c>
      <c r="F32">
        <f t="shared" si="6"/>
        <v>947</v>
      </c>
      <c r="G32">
        <f t="shared" si="7"/>
        <v>-0.004165599999396363</v>
      </c>
      <c r="K32">
        <f t="shared" si="8"/>
        <v>-0.004165599999396363</v>
      </c>
      <c r="O32">
        <f t="shared" si="4"/>
        <v>-0.9564067845559822</v>
      </c>
      <c r="Q32" s="2">
        <f t="shared" si="5"/>
        <v>14859.035</v>
      </c>
    </row>
    <row r="33" spans="1:17" ht="12.75">
      <c r="A33" s="44" t="s">
        <v>106</v>
      </c>
      <c r="B33" s="46" t="s">
        <v>48</v>
      </c>
      <c r="C33" s="45">
        <v>33391.534</v>
      </c>
      <c r="D33" s="11"/>
      <c r="E33">
        <f t="shared" si="0"/>
        <v>2631.993596823116</v>
      </c>
      <c r="F33">
        <f t="shared" si="6"/>
        <v>2632</v>
      </c>
      <c r="G33">
        <f t="shared" si="7"/>
        <v>-0.013353599999391008</v>
      </c>
      <c r="K33">
        <f t="shared" si="8"/>
        <v>-0.013353599999391008</v>
      </c>
      <c r="O33">
        <f t="shared" si="4"/>
        <v>-1.303988312429958</v>
      </c>
      <c r="Q33" s="2">
        <f t="shared" si="5"/>
        <v>18373.034</v>
      </c>
    </row>
    <row r="34" spans="1:17" ht="12.75">
      <c r="A34" s="44" t="s">
        <v>106</v>
      </c>
      <c r="B34" s="46" t="s">
        <v>48</v>
      </c>
      <c r="C34" s="45">
        <v>33487.482</v>
      </c>
      <c r="D34" s="11"/>
      <c r="E34">
        <f t="shared" si="0"/>
        <v>2678.001565885938</v>
      </c>
      <c r="F34">
        <f t="shared" si="6"/>
        <v>2678</v>
      </c>
      <c r="G34">
        <f t="shared" si="7"/>
        <v>0.0032656000039423816</v>
      </c>
      <c r="K34">
        <f t="shared" si="8"/>
        <v>0.0032656000039423816</v>
      </c>
      <c r="O34">
        <f t="shared" si="4"/>
        <v>-1.3134771850009983</v>
      </c>
      <c r="Q34" s="2">
        <f t="shared" si="5"/>
        <v>18468.982000000004</v>
      </c>
    </row>
    <row r="35" spans="1:17" ht="12.75">
      <c r="A35" s="44" t="s">
        <v>106</v>
      </c>
      <c r="B35" s="46" t="s">
        <v>48</v>
      </c>
      <c r="C35" s="45">
        <v>33512.505</v>
      </c>
      <c r="D35" s="11"/>
      <c r="E35">
        <f t="shared" si="0"/>
        <v>2690.0003299024743</v>
      </c>
      <c r="F35">
        <f t="shared" si="6"/>
        <v>2690</v>
      </c>
      <c r="G35">
        <f t="shared" si="7"/>
        <v>0.0006880000000819564</v>
      </c>
      <c r="K35">
        <f t="shared" si="8"/>
        <v>0.0006880000000819564</v>
      </c>
      <c r="O35">
        <f t="shared" si="4"/>
        <v>-1.315952543063009</v>
      </c>
      <c r="Q35" s="2">
        <f t="shared" si="5"/>
        <v>18494.004999999997</v>
      </c>
    </row>
    <row r="36" spans="1:17" ht="12.75">
      <c r="A36" s="44" t="s">
        <v>106</v>
      </c>
      <c r="B36" s="46" t="s">
        <v>48</v>
      </c>
      <c r="C36" s="45">
        <v>34121.485</v>
      </c>
      <c r="D36" s="11"/>
      <c r="E36">
        <f t="shared" si="0"/>
        <v>2982.0119716237846</v>
      </c>
      <c r="F36">
        <f t="shared" si="6"/>
        <v>2982</v>
      </c>
      <c r="G36">
        <f t="shared" si="7"/>
        <v>0.02496640000026673</v>
      </c>
      <c r="K36">
        <f t="shared" si="8"/>
        <v>0.02496640000026673</v>
      </c>
      <c r="O36">
        <f t="shared" si="4"/>
        <v>-1.3761862559052647</v>
      </c>
      <c r="Q36" s="2">
        <f t="shared" si="5"/>
        <v>19102.985</v>
      </c>
    </row>
    <row r="37" spans="1:17" ht="12.75">
      <c r="A37" s="44" t="s">
        <v>106</v>
      </c>
      <c r="B37" s="46" t="s">
        <v>48</v>
      </c>
      <c r="C37" s="45">
        <v>34655.327</v>
      </c>
      <c r="D37" s="11"/>
      <c r="E37">
        <f t="shared" si="0"/>
        <v>3237.994235146044</v>
      </c>
      <c r="F37">
        <f t="shared" si="6"/>
        <v>3238</v>
      </c>
      <c r="G37">
        <f t="shared" si="7"/>
        <v>-0.012022400005662348</v>
      </c>
      <c r="K37">
        <f t="shared" si="8"/>
        <v>-0.012022400005662348</v>
      </c>
      <c r="O37">
        <f t="shared" si="4"/>
        <v>-1.4289938945614888</v>
      </c>
      <c r="Q37" s="2">
        <f t="shared" si="5"/>
        <v>19636.826999999997</v>
      </c>
    </row>
    <row r="38" spans="1:17" ht="12.75">
      <c r="A38" s="44" t="s">
        <v>106</v>
      </c>
      <c r="B38" s="46" t="s">
        <v>48</v>
      </c>
      <c r="C38" s="45">
        <v>35066.203</v>
      </c>
      <c r="D38" s="11"/>
      <c r="E38">
        <f t="shared" si="0"/>
        <v>3435.0131443120026</v>
      </c>
      <c r="F38">
        <f t="shared" si="6"/>
        <v>3435</v>
      </c>
      <c r="G38">
        <f t="shared" si="7"/>
        <v>0.027412000003096182</v>
      </c>
      <c r="K38">
        <f t="shared" si="8"/>
        <v>0.027412000003096182</v>
      </c>
      <c r="O38">
        <f t="shared" si="4"/>
        <v>-1.4696310227461615</v>
      </c>
      <c r="Q38" s="2">
        <f t="shared" si="5"/>
        <v>20047.703</v>
      </c>
    </row>
    <row r="39" spans="1:17" ht="12.75">
      <c r="A39" s="44" t="s">
        <v>106</v>
      </c>
      <c r="B39" s="46" t="s">
        <v>48</v>
      </c>
      <c r="C39" s="45">
        <v>35195.507</v>
      </c>
      <c r="D39" s="11"/>
      <c r="E39">
        <f t="shared" si="0"/>
        <v>3497.0156293215778</v>
      </c>
      <c r="F39">
        <f t="shared" si="6"/>
        <v>3497</v>
      </c>
      <c r="G39">
        <f t="shared" si="7"/>
        <v>0.032594399999652524</v>
      </c>
      <c r="K39">
        <f t="shared" si="8"/>
        <v>0.032594399999652524</v>
      </c>
      <c r="O39">
        <f t="shared" si="4"/>
        <v>-1.4824203727332157</v>
      </c>
      <c r="Q39" s="2">
        <f t="shared" si="5"/>
        <v>20177.006999999998</v>
      </c>
    </row>
    <row r="40" spans="1:17" ht="12.75">
      <c r="A40" s="44" t="s">
        <v>106</v>
      </c>
      <c r="B40" s="46" t="s">
        <v>48</v>
      </c>
      <c r="C40" s="45">
        <v>35341.427</v>
      </c>
      <c r="D40" s="11"/>
      <c r="E40">
        <f t="shared" si="0"/>
        <v>3566.9856427209916</v>
      </c>
      <c r="F40">
        <f t="shared" si="6"/>
        <v>3567</v>
      </c>
      <c r="G40">
        <f t="shared" si="7"/>
        <v>-0.02994159999798285</v>
      </c>
      <c r="K40">
        <f t="shared" si="8"/>
        <v>-0.02994159999798285</v>
      </c>
      <c r="O40">
        <f t="shared" si="4"/>
        <v>-1.4968599614282772</v>
      </c>
      <c r="Q40" s="2">
        <f t="shared" si="5"/>
        <v>20322.927000000003</v>
      </c>
    </row>
    <row r="41" spans="1:17" ht="12.75">
      <c r="A41" s="44" t="s">
        <v>106</v>
      </c>
      <c r="B41" s="46" t="s">
        <v>48</v>
      </c>
      <c r="C41" s="45">
        <v>35368.541</v>
      </c>
      <c r="D41" s="11"/>
      <c r="E41">
        <f t="shared" si="0"/>
        <v>3579.9870609180257</v>
      </c>
      <c r="F41">
        <f t="shared" si="6"/>
        <v>3580</v>
      </c>
      <c r="G41">
        <f t="shared" si="7"/>
        <v>-0.02698400000372203</v>
      </c>
      <c r="K41">
        <f t="shared" si="8"/>
        <v>-0.02698400000372203</v>
      </c>
      <c r="O41">
        <f t="shared" si="4"/>
        <v>-1.4995415993287884</v>
      </c>
      <c r="Q41" s="2">
        <f t="shared" si="5"/>
        <v>20350.040999999997</v>
      </c>
    </row>
    <row r="42" spans="1:31" ht="12.75">
      <c r="A42" t="s">
        <v>30</v>
      </c>
      <c r="C42" s="14">
        <v>46650.397</v>
      </c>
      <c r="D42" s="14"/>
      <c r="E42">
        <f t="shared" si="0"/>
        <v>8989.743197775382</v>
      </c>
      <c r="F42" s="30">
        <f aca="true" t="shared" si="9" ref="F42:F48">ROUND(2*E42,0)/2+1.5</f>
        <v>8991</v>
      </c>
      <c r="G42">
        <f t="shared" si="7"/>
        <v>-2.6210168000034173</v>
      </c>
      <c r="I42">
        <f>+G42</f>
        <v>-2.6210168000034173</v>
      </c>
      <c r="O42">
        <f t="shared" si="4"/>
        <v>-2.615721805457028</v>
      </c>
      <c r="Q42" s="2">
        <f t="shared" si="5"/>
        <v>31631.896999999997</v>
      </c>
      <c r="AA42">
        <v>4</v>
      </c>
      <c r="AC42" t="s">
        <v>29</v>
      </c>
      <c r="AE42" t="s">
        <v>31</v>
      </c>
    </row>
    <row r="43" spans="1:31" ht="12.75">
      <c r="A43" t="s">
        <v>32</v>
      </c>
      <c r="C43" s="14">
        <v>46875.575</v>
      </c>
      <c r="D43" s="14"/>
      <c r="E43">
        <f t="shared" si="0"/>
        <v>9097.71816815129</v>
      </c>
      <c r="F43" s="30">
        <f t="shared" si="9"/>
        <v>9099</v>
      </c>
      <c r="G43">
        <f t="shared" si="7"/>
        <v>-2.6732152000040514</v>
      </c>
      <c r="I43">
        <f>+G43</f>
        <v>-2.6732152000040514</v>
      </c>
      <c r="O43">
        <f t="shared" si="4"/>
        <v>-2.6380000280151226</v>
      </c>
      <c r="Q43" s="2">
        <f t="shared" si="5"/>
        <v>31857.074999999997</v>
      </c>
      <c r="AA43">
        <v>6</v>
      </c>
      <c r="AC43" t="s">
        <v>29</v>
      </c>
      <c r="AE43" t="s">
        <v>31</v>
      </c>
    </row>
    <row r="44" spans="1:31" ht="12.75">
      <c r="A44" t="s">
        <v>33</v>
      </c>
      <c r="C44" s="14">
        <v>47288.485</v>
      </c>
      <c r="D44" s="14"/>
      <c r="E44">
        <f t="shared" si="0"/>
        <v>9295.712399461263</v>
      </c>
      <c r="F44" s="30">
        <f t="shared" si="9"/>
        <v>9297</v>
      </c>
      <c r="G44">
        <f t="shared" si="7"/>
        <v>-2.68524559999787</v>
      </c>
      <c r="I44">
        <f>+G44</f>
        <v>-2.68524559999787</v>
      </c>
      <c r="O44">
        <f t="shared" si="4"/>
        <v>-2.6788434360382958</v>
      </c>
      <c r="Q44" s="2">
        <f t="shared" si="5"/>
        <v>32269.985</v>
      </c>
      <c r="AA44">
        <v>4</v>
      </c>
      <c r="AC44" t="s">
        <v>29</v>
      </c>
      <c r="AE44" t="s">
        <v>31</v>
      </c>
    </row>
    <row r="45" spans="1:31" ht="12.75">
      <c r="A45" t="s">
        <v>34</v>
      </c>
      <c r="C45" s="14">
        <v>48068.38</v>
      </c>
      <c r="D45" s="14"/>
      <c r="E45">
        <f t="shared" si="0"/>
        <v>9669.679392334983</v>
      </c>
      <c r="F45" s="30">
        <f t="shared" si="9"/>
        <v>9671</v>
      </c>
      <c r="G45">
        <f t="shared" si="7"/>
        <v>-2.7540807999976096</v>
      </c>
      <c r="I45">
        <f>+G45</f>
        <v>-2.7540807999976096</v>
      </c>
      <c r="O45">
        <f t="shared" si="4"/>
        <v>-2.7559920956376236</v>
      </c>
      <c r="Q45" s="2">
        <f t="shared" si="5"/>
        <v>33049.88</v>
      </c>
      <c r="AA45">
        <v>5</v>
      </c>
      <c r="AC45" t="s">
        <v>29</v>
      </c>
      <c r="AE45" t="s">
        <v>31</v>
      </c>
    </row>
    <row r="46" spans="1:31" ht="12.75">
      <c r="A46" t="s">
        <v>35</v>
      </c>
      <c r="C46" s="14">
        <v>48802.451</v>
      </c>
      <c r="D46" s="14">
        <v>0.008</v>
      </c>
      <c r="E46">
        <f t="shared" si="0"/>
        <v>10021.673345913103</v>
      </c>
      <c r="F46" s="30">
        <f t="shared" si="9"/>
        <v>10023</v>
      </c>
      <c r="G46">
        <f t="shared" si="7"/>
        <v>-2.7666903999997885</v>
      </c>
      <c r="I46">
        <f>+G46</f>
        <v>-2.7666903999997885</v>
      </c>
      <c r="O46">
        <f t="shared" si="4"/>
        <v>-2.828602598789932</v>
      </c>
      <c r="Q46" s="2">
        <f t="shared" si="5"/>
        <v>33783.951</v>
      </c>
      <c r="AA46">
        <v>6</v>
      </c>
      <c r="AC46" t="s">
        <v>29</v>
      </c>
      <c r="AE46" t="s">
        <v>31</v>
      </c>
    </row>
    <row r="47" spans="1:17" ht="12.75">
      <c r="A47" s="28" t="s">
        <v>47</v>
      </c>
      <c r="B47" s="29" t="s">
        <v>48</v>
      </c>
      <c r="C47" s="14">
        <v>53963.3965</v>
      </c>
      <c r="D47" s="11">
        <v>0.0011</v>
      </c>
      <c r="E47">
        <f t="shared" si="0"/>
        <v>12496.395287995272</v>
      </c>
      <c r="F47" s="30">
        <f t="shared" si="9"/>
        <v>12498</v>
      </c>
      <c r="G47">
        <f t="shared" si="7"/>
        <v>-3.3465703999972902</v>
      </c>
      <c r="J47">
        <f>+G47</f>
        <v>-3.3465703999972902</v>
      </c>
      <c r="O47">
        <f t="shared" si="4"/>
        <v>-3.3391451990795997</v>
      </c>
      <c r="Q47" s="2">
        <f t="shared" si="5"/>
        <v>38944.8965</v>
      </c>
    </row>
    <row r="48" spans="1:17" ht="12.75">
      <c r="A48" s="28" t="s">
        <v>47</v>
      </c>
      <c r="B48" s="29" t="s">
        <v>48</v>
      </c>
      <c r="C48" s="14">
        <v>53990.5028</v>
      </c>
      <c r="D48" s="11">
        <v>0.0042</v>
      </c>
      <c r="E48">
        <f t="shared" si="0"/>
        <v>12509.393013969837</v>
      </c>
      <c r="F48" s="30">
        <f t="shared" si="9"/>
        <v>12511</v>
      </c>
      <c r="G48">
        <f t="shared" si="7"/>
        <v>-3.351312799997686</v>
      </c>
      <c r="J48">
        <f>+G48</f>
        <v>-3.351312799997686</v>
      </c>
      <c r="O48">
        <f t="shared" si="4"/>
        <v>-3.341826836980111</v>
      </c>
      <c r="Q48" s="2">
        <f t="shared" si="5"/>
        <v>38972.0028</v>
      </c>
    </row>
    <row r="49" spans="2:4" ht="12.75">
      <c r="B49" s="18"/>
      <c r="C49" s="11"/>
      <c r="D49" s="11"/>
    </row>
    <row r="50" spans="2:4" ht="12.75">
      <c r="B50" s="18"/>
      <c r="C50" s="11"/>
      <c r="D50" s="11"/>
    </row>
    <row r="51" spans="2:4" ht="12.75">
      <c r="B51" s="18"/>
      <c r="C51" s="11"/>
      <c r="D51" s="11"/>
    </row>
    <row r="52" spans="2:4" ht="12.75">
      <c r="B52" s="18"/>
      <c r="C52" s="11"/>
      <c r="D52" s="11"/>
    </row>
    <row r="53" spans="2:4" ht="12.75">
      <c r="B53" s="18"/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A18" sqref="A18:C37"/>
    </sheetView>
  </sheetViews>
  <sheetFormatPr defaultColWidth="9.140625" defaultRowHeight="12.75"/>
  <cols>
    <col min="1" max="1" width="19.7109375" style="11" customWidth="1"/>
    <col min="2" max="2" width="4.421875" style="16" customWidth="1"/>
    <col min="3" max="3" width="12.7109375" style="11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1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1" t="s">
        <v>50</v>
      </c>
      <c r="I1" s="32" t="s">
        <v>51</v>
      </c>
      <c r="J1" s="33" t="s">
        <v>52</v>
      </c>
    </row>
    <row r="2" spans="9:10" ht="12.75">
      <c r="I2" s="34" t="s">
        <v>53</v>
      </c>
      <c r="J2" s="35" t="s">
        <v>54</v>
      </c>
    </row>
    <row r="3" spans="1:10" ht="12.75">
      <c r="A3" s="36" t="s">
        <v>55</v>
      </c>
      <c r="I3" s="34" t="s">
        <v>56</v>
      </c>
      <c r="J3" s="35" t="s">
        <v>57</v>
      </c>
    </row>
    <row r="4" spans="9:10" ht="12.75">
      <c r="I4" s="34" t="s">
        <v>58</v>
      </c>
      <c r="J4" s="35" t="s">
        <v>57</v>
      </c>
    </row>
    <row r="5" spans="9:10" ht="13.5" thickBot="1">
      <c r="I5" s="37" t="s">
        <v>59</v>
      </c>
      <c r="J5" s="38" t="s">
        <v>60</v>
      </c>
    </row>
    <row r="10" ht="13.5" thickBot="1"/>
    <row r="11" spans="1:16" ht="12.75" customHeight="1" thickBot="1">
      <c r="A11" s="11" t="str">
        <f aca="true" t="shared" si="0" ref="A11:A37">P11</f>
        <v> BBS 81 </v>
      </c>
      <c r="B11" s="18" t="str">
        <f aca="true" t="shared" si="1" ref="B11:B37">IF(H11=INT(H11),"I","II")</f>
        <v>I</v>
      </c>
      <c r="C11" s="11">
        <f aca="true" t="shared" si="2" ref="C11:C37">1*G11</f>
        <v>46650.397</v>
      </c>
      <c r="D11" s="16" t="str">
        <f aca="true" t="shared" si="3" ref="D11:D37">VLOOKUP(F11,I$1:J$5,2,FALSE)</f>
        <v>vis</v>
      </c>
      <c r="E11" s="39">
        <f>VLOOKUP(C11,A!C$21:E$973,3,FALSE)</f>
        <v>8989.743197775382</v>
      </c>
      <c r="F11" s="18" t="s">
        <v>59</v>
      </c>
      <c r="G11" s="16" t="str">
        <f aca="true" t="shared" si="4" ref="G11:G37">MID(I11,3,LEN(I11)-3)</f>
        <v>46650.397</v>
      </c>
      <c r="H11" s="11">
        <f aca="true" t="shared" si="5" ref="H11:H37">1*K11</f>
        <v>8990</v>
      </c>
      <c r="I11" s="40" t="s">
        <v>130</v>
      </c>
      <c r="J11" s="41" t="s">
        <v>131</v>
      </c>
      <c r="K11" s="40">
        <v>8990</v>
      </c>
      <c r="L11" s="40" t="s">
        <v>132</v>
      </c>
      <c r="M11" s="41" t="s">
        <v>133</v>
      </c>
      <c r="N11" s="41"/>
      <c r="O11" s="42" t="s">
        <v>134</v>
      </c>
      <c r="P11" s="42" t="s">
        <v>135</v>
      </c>
    </row>
    <row r="12" spans="1:16" ht="12.75" customHeight="1" thickBot="1">
      <c r="A12" s="11" t="str">
        <f t="shared" si="0"/>
        <v> BBS 83 </v>
      </c>
      <c r="B12" s="18" t="str">
        <f t="shared" si="1"/>
        <v>I</v>
      </c>
      <c r="C12" s="11">
        <f t="shared" si="2"/>
        <v>46875.575</v>
      </c>
      <c r="D12" s="16" t="str">
        <f t="shared" si="3"/>
        <v>vis</v>
      </c>
      <c r="E12" s="39">
        <f>VLOOKUP(C12,A!C$21:E$973,3,FALSE)</f>
        <v>9097.71816815129</v>
      </c>
      <c r="F12" s="18" t="s">
        <v>59</v>
      </c>
      <c r="G12" s="16" t="str">
        <f t="shared" si="4"/>
        <v>46875.575</v>
      </c>
      <c r="H12" s="11">
        <f t="shared" si="5"/>
        <v>9098</v>
      </c>
      <c r="I12" s="40" t="s">
        <v>136</v>
      </c>
      <c r="J12" s="41" t="s">
        <v>137</v>
      </c>
      <c r="K12" s="40">
        <v>9098</v>
      </c>
      <c r="L12" s="40" t="s">
        <v>138</v>
      </c>
      <c r="M12" s="41" t="s">
        <v>133</v>
      </c>
      <c r="N12" s="41"/>
      <c r="O12" s="42" t="s">
        <v>134</v>
      </c>
      <c r="P12" s="42" t="s">
        <v>139</v>
      </c>
    </row>
    <row r="13" spans="1:16" ht="12.75" customHeight="1" thickBot="1">
      <c r="A13" s="11" t="str">
        <f t="shared" si="0"/>
        <v> BBS 88 </v>
      </c>
      <c r="B13" s="18" t="str">
        <f t="shared" si="1"/>
        <v>I</v>
      </c>
      <c r="C13" s="11">
        <f t="shared" si="2"/>
        <v>47288.485</v>
      </c>
      <c r="D13" s="16" t="str">
        <f t="shared" si="3"/>
        <v>vis</v>
      </c>
      <c r="E13" s="39">
        <f>VLOOKUP(C13,A!C$21:E$973,3,FALSE)</f>
        <v>9295.712399461263</v>
      </c>
      <c r="F13" s="18" t="s">
        <v>59</v>
      </c>
      <c r="G13" s="16" t="str">
        <f t="shared" si="4"/>
        <v>47288.485</v>
      </c>
      <c r="H13" s="11">
        <f t="shared" si="5"/>
        <v>9296</v>
      </c>
      <c r="I13" s="40" t="s">
        <v>140</v>
      </c>
      <c r="J13" s="41" t="s">
        <v>141</v>
      </c>
      <c r="K13" s="40">
        <v>9296</v>
      </c>
      <c r="L13" s="40" t="s">
        <v>142</v>
      </c>
      <c r="M13" s="41" t="s">
        <v>133</v>
      </c>
      <c r="N13" s="41"/>
      <c r="O13" s="42" t="s">
        <v>134</v>
      </c>
      <c r="P13" s="42" t="s">
        <v>143</v>
      </c>
    </row>
    <row r="14" spans="1:16" ht="12.75" customHeight="1" thickBot="1">
      <c r="A14" s="11" t="str">
        <f t="shared" si="0"/>
        <v> BBS 95 </v>
      </c>
      <c r="B14" s="18" t="str">
        <f t="shared" si="1"/>
        <v>I</v>
      </c>
      <c r="C14" s="11">
        <f t="shared" si="2"/>
        <v>48068.38</v>
      </c>
      <c r="D14" s="16" t="str">
        <f t="shared" si="3"/>
        <v>vis</v>
      </c>
      <c r="E14" s="39">
        <f>VLOOKUP(C14,A!C$21:E$973,3,FALSE)</f>
        <v>9669.679392334983</v>
      </c>
      <c r="F14" s="18" t="s">
        <v>59</v>
      </c>
      <c r="G14" s="16" t="str">
        <f t="shared" si="4"/>
        <v>48068.380</v>
      </c>
      <c r="H14" s="11">
        <f t="shared" si="5"/>
        <v>9670</v>
      </c>
      <c r="I14" s="40" t="s">
        <v>144</v>
      </c>
      <c r="J14" s="41" t="s">
        <v>145</v>
      </c>
      <c r="K14" s="40">
        <v>9670</v>
      </c>
      <c r="L14" s="40" t="s">
        <v>146</v>
      </c>
      <c r="M14" s="41" t="s">
        <v>133</v>
      </c>
      <c r="N14" s="41"/>
      <c r="O14" s="42" t="s">
        <v>134</v>
      </c>
      <c r="P14" s="42" t="s">
        <v>147</v>
      </c>
    </row>
    <row r="15" spans="1:16" ht="12.75" customHeight="1" thickBot="1">
      <c r="A15" s="11" t="str">
        <f t="shared" si="0"/>
        <v> BBS 101 </v>
      </c>
      <c r="B15" s="18" t="str">
        <f t="shared" si="1"/>
        <v>I</v>
      </c>
      <c r="C15" s="11">
        <f t="shared" si="2"/>
        <v>48802.451</v>
      </c>
      <c r="D15" s="16" t="str">
        <f t="shared" si="3"/>
        <v>vis</v>
      </c>
      <c r="E15" s="39">
        <f>VLOOKUP(C15,A!C$21:E$973,3,FALSE)</f>
        <v>10021.673345913103</v>
      </c>
      <c r="F15" s="18" t="s">
        <v>59</v>
      </c>
      <c r="G15" s="16" t="str">
        <f t="shared" si="4"/>
        <v>48802.451</v>
      </c>
      <c r="H15" s="11">
        <f t="shared" si="5"/>
        <v>10022</v>
      </c>
      <c r="I15" s="40" t="s">
        <v>148</v>
      </c>
      <c r="J15" s="41" t="s">
        <v>149</v>
      </c>
      <c r="K15" s="40">
        <v>10022</v>
      </c>
      <c r="L15" s="40" t="s">
        <v>150</v>
      </c>
      <c r="M15" s="41" t="s">
        <v>133</v>
      </c>
      <c r="N15" s="41"/>
      <c r="O15" s="42" t="s">
        <v>134</v>
      </c>
      <c r="P15" s="42" t="s">
        <v>151</v>
      </c>
    </row>
    <row r="16" spans="1:16" ht="12.75" customHeight="1" thickBot="1">
      <c r="A16" s="11" t="str">
        <f t="shared" si="0"/>
        <v>BAVM 183 </v>
      </c>
      <c r="B16" s="18" t="str">
        <f t="shared" si="1"/>
        <v>II</v>
      </c>
      <c r="C16" s="11">
        <f t="shared" si="2"/>
        <v>53963.3965</v>
      </c>
      <c r="D16" s="16" t="str">
        <f t="shared" si="3"/>
        <v>vis</v>
      </c>
      <c r="E16" s="39">
        <f>VLOOKUP(C16,A!C$21:E$973,3,FALSE)</f>
        <v>12496.395287995272</v>
      </c>
      <c r="F16" s="18" t="s">
        <v>59</v>
      </c>
      <c r="G16" s="16" t="str">
        <f t="shared" si="4"/>
        <v>53963.3965</v>
      </c>
      <c r="H16" s="11">
        <f t="shared" si="5"/>
        <v>12496.5</v>
      </c>
      <c r="I16" s="40" t="s">
        <v>152</v>
      </c>
      <c r="J16" s="41" t="s">
        <v>153</v>
      </c>
      <c r="K16" s="40">
        <v>12496.5</v>
      </c>
      <c r="L16" s="40" t="s">
        <v>154</v>
      </c>
      <c r="M16" s="41" t="s">
        <v>155</v>
      </c>
      <c r="N16" s="41" t="s">
        <v>156</v>
      </c>
      <c r="O16" s="42" t="s">
        <v>157</v>
      </c>
      <c r="P16" s="43" t="s">
        <v>158</v>
      </c>
    </row>
    <row r="17" spans="1:16" ht="12.75" customHeight="1" thickBot="1">
      <c r="A17" s="11" t="str">
        <f t="shared" si="0"/>
        <v>BAVM 183 </v>
      </c>
      <c r="B17" s="18" t="str">
        <f t="shared" si="1"/>
        <v>II</v>
      </c>
      <c r="C17" s="11">
        <f t="shared" si="2"/>
        <v>53990.5028</v>
      </c>
      <c r="D17" s="16" t="str">
        <f t="shared" si="3"/>
        <v>vis</v>
      </c>
      <c r="E17" s="39">
        <f>VLOOKUP(C17,A!C$21:E$973,3,FALSE)</f>
        <v>12509.393013969837</v>
      </c>
      <c r="F17" s="18" t="s">
        <v>59</v>
      </c>
      <c r="G17" s="16" t="str">
        <f t="shared" si="4"/>
        <v>53990.5028</v>
      </c>
      <c r="H17" s="11">
        <f t="shared" si="5"/>
        <v>12509.5</v>
      </c>
      <c r="I17" s="40" t="s">
        <v>159</v>
      </c>
      <c r="J17" s="41" t="s">
        <v>160</v>
      </c>
      <c r="K17" s="40" t="s">
        <v>161</v>
      </c>
      <c r="L17" s="40" t="s">
        <v>162</v>
      </c>
      <c r="M17" s="41" t="s">
        <v>155</v>
      </c>
      <c r="N17" s="41" t="s">
        <v>156</v>
      </c>
      <c r="O17" s="42" t="s">
        <v>157</v>
      </c>
      <c r="P17" s="43" t="s">
        <v>158</v>
      </c>
    </row>
    <row r="18" spans="1:16" ht="12.75" customHeight="1" thickBot="1">
      <c r="A18" s="11" t="str">
        <f t="shared" si="0"/>
        <v> PZ 4.314 </v>
      </c>
      <c r="B18" s="18" t="str">
        <f t="shared" si="1"/>
        <v>II</v>
      </c>
      <c r="C18" s="11">
        <f t="shared" si="2"/>
        <v>16394.34</v>
      </c>
      <c r="D18" s="16" t="str">
        <f t="shared" si="3"/>
        <v>vis</v>
      </c>
      <c r="E18" s="39">
        <f>VLOOKUP(C18,A!C$21:E$973,3,FALSE)</f>
        <v>-5518.320903810028</v>
      </c>
      <c r="F18" s="18" t="s">
        <v>59</v>
      </c>
      <c r="G18" s="16" t="str">
        <f t="shared" si="4"/>
        <v>16394.34</v>
      </c>
      <c r="H18" s="11">
        <f t="shared" si="5"/>
        <v>-5518.5</v>
      </c>
      <c r="I18" s="40" t="s">
        <v>62</v>
      </c>
      <c r="J18" s="41" t="s">
        <v>63</v>
      </c>
      <c r="K18" s="40">
        <v>-5518.5</v>
      </c>
      <c r="L18" s="40" t="s">
        <v>64</v>
      </c>
      <c r="M18" s="41" t="s">
        <v>65</v>
      </c>
      <c r="N18" s="41"/>
      <c r="O18" s="42" t="s">
        <v>66</v>
      </c>
      <c r="P18" s="42" t="s">
        <v>67</v>
      </c>
    </row>
    <row r="19" spans="1:16" ht="12.75" customHeight="1" thickBot="1">
      <c r="A19" s="11" t="str">
        <f t="shared" si="0"/>
        <v> PZ 4.314 </v>
      </c>
      <c r="B19" s="18" t="str">
        <f t="shared" si="1"/>
        <v>I</v>
      </c>
      <c r="C19" s="11">
        <f t="shared" si="2"/>
        <v>18230.24</v>
      </c>
      <c r="D19" s="16" t="str">
        <f t="shared" si="3"/>
        <v>vis</v>
      </c>
      <c r="E19" s="39">
        <f>VLOOKUP(C19,A!C$21:E$973,3,FALSE)</f>
        <v>-4637.98957431456</v>
      </c>
      <c r="F19" s="18" t="s">
        <v>59</v>
      </c>
      <c r="G19" s="16" t="str">
        <f t="shared" si="4"/>
        <v>18230.24</v>
      </c>
      <c r="H19" s="11">
        <f t="shared" si="5"/>
        <v>-4638</v>
      </c>
      <c r="I19" s="40" t="s">
        <v>68</v>
      </c>
      <c r="J19" s="41" t="s">
        <v>69</v>
      </c>
      <c r="K19" s="40">
        <v>-4638</v>
      </c>
      <c r="L19" s="40" t="s">
        <v>70</v>
      </c>
      <c r="M19" s="41" t="s">
        <v>65</v>
      </c>
      <c r="N19" s="41"/>
      <c r="O19" s="42" t="s">
        <v>66</v>
      </c>
      <c r="P19" s="42" t="s">
        <v>67</v>
      </c>
    </row>
    <row r="20" spans="1:16" ht="12.75" customHeight="1" thickBot="1">
      <c r="A20" s="11" t="str">
        <f t="shared" si="0"/>
        <v> PZ 4.314 </v>
      </c>
      <c r="B20" s="18" t="str">
        <f t="shared" si="1"/>
        <v>I</v>
      </c>
      <c r="C20" s="11">
        <f t="shared" si="2"/>
        <v>18564.32</v>
      </c>
      <c r="D20" s="16" t="str">
        <f t="shared" si="3"/>
        <v>vis</v>
      </c>
      <c r="E20" s="39">
        <f>VLOOKUP(C20,A!C$21:E$973,3,FALSE)</f>
        <v>-4477.795069952751</v>
      </c>
      <c r="F20" s="18" t="s">
        <v>59</v>
      </c>
      <c r="G20" s="16" t="str">
        <f t="shared" si="4"/>
        <v>18564.32</v>
      </c>
      <c r="H20" s="11">
        <f t="shared" si="5"/>
        <v>-4478</v>
      </c>
      <c r="I20" s="40" t="s">
        <v>71</v>
      </c>
      <c r="J20" s="41" t="s">
        <v>72</v>
      </c>
      <c r="K20" s="40">
        <v>-4478</v>
      </c>
      <c r="L20" s="40" t="s">
        <v>73</v>
      </c>
      <c r="M20" s="41" t="s">
        <v>65</v>
      </c>
      <c r="N20" s="41"/>
      <c r="O20" s="42" t="s">
        <v>66</v>
      </c>
      <c r="P20" s="42" t="s">
        <v>67</v>
      </c>
    </row>
    <row r="21" spans="1:16" ht="12.75" customHeight="1" thickBot="1">
      <c r="A21" s="11" t="str">
        <f t="shared" si="0"/>
        <v> PZ 4.314 </v>
      </c>
      <c r="B21" s="18" t="str">
        <f t="shared" si="1"/>
        <v>I</v>
      </c>
      <c r="C21" s="11">
        <f t="shared" si="2"/>
        <v>18566.3</v>
      </c>
      <c r="D21" s="16" t="str">
        <f t="shared" si="3"/>
        <v>vis</v>
      </c>
      <c r="E21" s="39">
        <f>VLOOKUP(C21,A!C$21:E$973,3,FALSE)</f>
        <v>-4476.845641316986</v>
      </c>
      <c r="F21" s="18" t="s">
        <v>59</v>
      </c>
      <c r="G21" s="16" t="str">
        <f t="shared" si="4"/>
        <v>18566.30</v>
      </c>
      <c r="H21" s="11">
        <f t="shared" si="5"/>
        <v>-4477</v>
      </c>
      <c r="I21" s="40" t="s">
        <v>74</v>
      </c>
      <c r="J21" s="41" t="s">
        <v>75</v>
      </c>
      <c r="K21" s="40">
        <v>-4477</v>
      </c>
      <c r="L21" s="40" t="s">
        <v>76</v>
      </c>
      <c r="M21" s="41" t="s">
        <v>65</v>
      </c>
      <c r="N21" s="41"/>
      <c r="O21" s="42" t="s">
        <v>66</v>
      </c>
      <c r="P21" s="42" t="s">
        <v>67</v>
      </c>
    </row>
    <row r="22" spans="1:16" ht="12.75" customHeight="1" thickBot="1">
      <c r="A22" s="11" t="str">
        <f t="shared" si="0"/>
        <v> PZ 4.314 </v>
      </c>
      <c r="B22" s="18" t="str">
        <f t="shared" si="1"/>
        <v>II</v>
      </c>
      <c r="C22" s="11">
        <f t="shared" si="2"/>
        <v>18596.22</v>
      </c>
      <c r="D22" s="16" t="str">
        <f t="shared" si="3"/>
        <v>vis</v>
      </c>
      <c r="E22" s="39">
        <f>VLOOKUP(C22,A!C$21:E$973,3,FALSE)</f>
        <v>-4462.498719709869</v>
      </c>
      <c r="F22" s="18" t="s">
        <v>59</v>
      </c>
      <c r="G22" s="16" t="str">
        <f t="shared" si="4"/>
        <v>18596.22</v>
      </c>
      <c r="H22" s="11">
        <f t="shared" si="5"/>
        <v>-4462.5</v>
      </c>
      <c r="I22" s="40" t="s">
        <v>77</v>
      </c>
      <c r="J22" s="41" t="s">
        <v>78</v>
      </c>
      <c r="K22" s="40">
        <v>-4462.5</v>
      </c>
      <c r="L22" s="40" t="s">
        <v>79</v>
      </c>
      <c r="M22" s="41" t="s">
        <v>65</v>
      </c>
      <c r="N22" s="41"/>
      <c r="O22" s="42" t="s">
        <v>66</v>
      </c>
      <c r="P22" s="42" t="s">
        <v>67</v>
      </c>
    </row>
    <row r="23" spans="1:16" ht="12.75" customHeight="1" thickBot="1">
      <c r="A23" s="11" t="str">
        <f t="shared" si="0"/>
        <v> PZ 4.314 </v>
      </c>
      <c r="B23" s="18" t="str">
        <f t="shared" si="1"/>
        <v>I</v>
      </c>
      <c r="C23" s="11">
        <f t="shared" si="2"/>
        <v>18597.22</v>
      </c>
      <c r="D23" s="16" t="str">
        <f t="shared" si="3"/>
        <v>vis</v>
      </c>
      <c r="E23" s="39">
        <f>VLOOKUP(C23,A!C$21:E$973,3,FALSE)</f>
        <v>-4462.019210297866</v>
      </c>
      <c r="F23" s="18" t="s">
        <v>59</v>
      </c>
      <c r="G23" s="16" t="str">
        <f t="shared" si="4"/>
        <v>18597.22</v>
      </c>
      <c r="H23" s="11">
        <f t="shared" si="5"/>
        <v>-4462</v>
      </c>
      <c r="I23" s="40" t="s">
        <v>80</v>
      </c>
      <c r="J23" s="41" t="s">
        <v>81</v>
      </c>
      <c r="K23" s="40">
        <v>-4462</v>
      </c>
      <c r="L23" s="40" t="s">
        <v>82</v>
      </c>
      <c r="M23" s="41" t="s">
        <v>65</v>
      </c>
      <c r="N23" s="41"/>
      <c r="O23" s="42" t="s">
        <v>66</v>
      </c>
      <c r="P23" s="42" t="s">
        <v>67</v>
      </c>
    </row>
    <row r="24" spans="1:16" ht="12.75" customHeight="1" thickBot="1">
      <c r="A24" s="11" t="str">
        <f t="shared" si="0"/>
        <v> PZ 4.314 </v>
      </c>
      <c r="B24" s="18" t="str">
        <f t="shared" si="1"/>
        <v>II</v>
      </c>
      <c r="C24" s="11">
        <f t="shared" si="2"/>
        <v>18923.32</v>
      </c>
      <c r="D24" s="16" t="str">
        <f t="shared" si="3"/>
        <v>vis</v>
      </c>
      <c r="E24" s="39">
        <f>VLOOKUP(C24,A!C$21:E$973,3,FALSE)</f>
        <v>-4305.6511910438385</v>
      </c>
      <c r="F24" s="18" t="s">
        <v>59</v>
      </c>
      <c r="G24" s="16" t="str">
        <f t="shared" si="4"/>
        <v>18923.32</v>
      </c>
      <c r="H24" s="11">
        <f t="shared" si="5"/>
        <v>-4305.5</v>
      </c>
      <c r="I24" s="40" t="s">
        <v>83</v>
      </c>
      <c r="J24" s="41" t="s">
        <v>84</v>
      </c>
      <c r="K24" s="40">
        <v>-4305.5</v>
      </c>
      <c r="L24" s="40" t="s">
        <v>85</v>
      </c>
      <c r="M24" s="41" t="s">
        <v>65</v>
      </c>
      <c r="N24" s="41"/>
      <c r="O24" s="42" t="s">
        <v>66</v>
      </c>
      <c r="P24" s="42" t="s">
        <v>67</v>
      </c>
    </row>
    <row r="25" spans="1:16" ht="12.75" customHeight="1" thickBot="1">
      <c r="A25" s="11" t="str">
        <f t="shared" si="0"/>
        <v> PZ 5.109 </v>
      </c>
      <c r="B25" s="18" t="str">
        <f t="shared" si="1"/>
        <v>I</v>
      </c>
      <c r="C25" s="11">
        <f t="shared" si="2"/>
        <v>27902.609</v>
      </c>
      <c r="D25" s="16" t="str">
        <f t="shared" si="3"/>
        <v>vis</v>
      </c>
      <c r="E25" s="39">
        <f>VLOOKUP(C25,A!C$21:E$973,3,FALSE)</f>
        <v>0.0023975470605011573</v>
      </c>
      <c r="F25" s="18" t="s">
        <v>59</v>
      </c>
      <c r="G25" s="16" t="str">
        <f t="shared" si="4"/>
        <v>27902.609</v>
      </c>
      <c r="H25" s="11">
        <f t="shared" si="5"/>
        <v>0</v>
      </c>
      <c r="I25" s="40" t="s">
        <v>86</v>
      </c>
      <c r="J25" s="41" t="s">
        <v>87</v>
      </c>
      <c r="K25" s="40">
        <v>0</v>
      </c>
      <c r="L25" s="40" t="s">
        <v>88</v>
      </c>
      <c r="M25" s="41" t="s">
        <v>61</v>
      </c>
      <c r="N25" s="41"/>
      <c r="O25" s="42" t="s">
        <v>89</v>
      </c>
      <c r="P25" s="42" t="s">
        <v>90</v>
      </c>
    </row>
    <row r="26" spans="1:16" ht="12.75" customHeight="1" thickBot="1">
      <c r="A26" s="11" t="str">
        <f t="shared" si="0"/>
        <v> KVBB 24.69 </v>
      </c>
      <c r="B26" s="18" t="str">
        <f t="shared" si="1"/>
        <v>I</v>
      </c>
      <c r="C26" s="11">
        <f t="shared" si="2"/>
        <v>29733.63</v>
      </c>
      <c r="D26" s="16" t="str">
        <f t="shared" si="3"/>
        <v>vis</v>
      </c>
      <c r="E26" s="39">
        <f>VLOOKUP(C26,A!C$21:E$973,3,FALSE)</f>
        <v>877.9942006213682</v>
      </c>
      <c r="F26" s="18" t="s">
        <v>59</v>
      </c>
      <c r="G26" s="16" t="str">
        <f t="shared" si="4"/>
        <v>29733.630</v>
      </c>
      <c r="H26" s="11">
        <f t="shared" si="5"/>
        <v>878</v>
      </c>
      <c r="I26" s="40" t="s">
        <v>91</v>
      </c>
      <c r="J26" s="41" t="s">
        <v>92</v>
      </c>
      <c r="K26" s="40">
        <v>878</v>
      </c>
      <c r="L26" s="40" t="s">
        <v>93</v>
      </c>
      <c r="M26" s="41" t="s">
        <v>65</v>
      </c>
      <c r="N26" s="41"/>
      <c r="O26" s="42" t="s">
        <v>94</v>
      </c>
      <c r="P26" s="42" t="s">
        <v>95</v>
      </c>
    </row>
    <row r="27" spans="1:16" ht="12.75" customHeight="1" thickBot="1">
      <c r="A27" s="11" t="str">
        <f t="shared" si="0"/>
        <v> KVBB 24.69 </v>
      </c>
      <c r="B27" s="18" t="str">
        <f t="shared" si="1"/>
        <v>I</v>
      </c>
      <c r="C27" s="11">
        <f t="shared" si="2"/>
        <v>29752.4</v>
      </c>
      <c r="D27" s="16" t="str">
        <f t="shared" si="3"/>
        <v>vis</v>
      </c>
      <c r="E27" s="39">
        <f>VLOOKUP(C27,A!C$21:E$973,3,FALSE)</f>
        <v>886.9945922846562</v>
      </c>
      <c r="F27" s="18" t="s">
        <v>59</v>
      </c>
      <c r="G27" s="16" t="str">
        <f t="shared" si="4"/>
        <v>29752.400</v>
      </c>
      <c r="H27" s="11">
        <f t="shared" si="5"/>
        <v>887</v>
      </c>
      <c r="I27" s="40" t="s">
        <v>96</v>
      </c>
      <c r="J27" s="41" t="s">
        <v>97</v>
      </c>
      <c r="K27" s="40">
        <v>887</v>
      </c>
      <c r="L27" s="40" t="s">
        <v>98</v>
      </c>
      <c r="M27" s="41" t="s">
        <v>65</v>
      </c>
      <c r="N27" s="41"/>
      <c r="O27" s="42" t="s">
        <v>94</v>
      </c>
      <c r="P27" s="42" t="s">
        <v>95</v>
      </c>
    </row>
    <row r="28" spans="1:16" ht="12.75" customHeight="1" thickBot="1">
      <c r="A28" s="11" t="str">
        <f t="shared" si="0"/>
        <v> KVBB 24.69 </v>
      </c>
      <c r="B28" s="18" t="str">
        <f t="shared" si="1"/>
        <v>I</v>
      </c>
      <c r="C28" s="11">
        <f t="shared" si="2"/>
        <v>29877.535</v>
      </c>
      <c r="D28" s="16" t="str">
        <f t="shared" si="3"/>
        <v>vis</v>
      </c>
      <c r="E28" s="39">
        <f>VLOOKUP(C28,A!C$21:E$973,3,FALSE)</f>
        <v>946.9980025555936</v>
      </c>
      <c r="F28" s="18" t="s">
        <v>59</v>
      </c>
      <c r="G28" s="16" t="str">
        <f t="shared" si="4"/>
        <v>29877.535</v>
      </c>
      <c r="H28" s="11">
        <f t="shared" si="5"/>
        <v>947</v>
      </c>
      <c r="I28" s="40" t="s">
        <v>99</v>
      </c>
      <c r="J28" s="41" t="s">
        <v>100</v>
      </c>
      <c r="K28" s="40">
        <v>947</v>
      </c>
      <c r="L28" s="40" t="s">
        <v>101</v>
      </c>
      <c r="M28" s="41" t="s">
        <v>65</v>
      </c>
      <c r="N28" s="41"/>
      <c r="O28" s="42" t="s">
        <v>94</v>
      </c>
      <c r="P28" s="42" t="s">
        <v>95</v>
      </c>
    </row>
    <row r="29" spans="1:16" ht="12.75" customHeight="1" thickBot="1">
      <c r="A29" s="11" t="str">
        <f t="shared" si="0"/>
        <v> AHSB 6.3.64 </v>
      </c>
      <c r="B29" s="18" t="str">
        <f t="shared" si="1"/>
        <v>I</v>
      </c>
      <c r="C29" s="11">
        <f t="shared" si="2"/>
        <v>33391.534</v>
      </c>
      <c r="D29" s="16" t="str">
        <f t="shared" si="3"/>
        <v>vis</v>
      </c>
      <c r="E29" s="39">
        <f>VLOOKUP(C29,A!C$21:E$973,3,FALSE)</f>
        <v>2631.993596823116</v>
      </c>
      <c r="F29" s="18" t="s">
        <v>59</v>
      </c>
      <c r="G29" s="16" t="str">
        <f t="shared" si="4"/>
        <v>33391.534</v>
      </c>
      <c r="H29" s="11">
        <f t="shared" si="5"/>
        <v>2632</v>
      </c>
      <c r="I29" s="40" t="s">
        <v>102</v>
      </c>
      <c r="J29" s="41" t="s">
        <v>103</v>
      </c>
      <c r="K29" s="40">
        <v>2632</v>
      </c>
      <c r="L29" s="40" t="s">
        <v>104</v>
      </c>
      <c r="M29" s="41" t="s">
        <v>65</v>
      </c>
      <c r="N29" s="41"/>
      <c r="O29" s="42" t="s">
        <v>105</v>
      </c>
      <c r="P29" s="42" t="s">
        <v>106</v>
      </c>
    </row>
    <row r="30" spans="1:16" ht="12.75" customHeight="1" thickBot="1">
      <c r="A30" s="11" t="str">
        <f t="shared" si="0"/>
        <v> AHSB 6.3.64 </v>
      </c>
      <c r="B30" s="18" t="str">
        <f t="shared" si="1"/>
        <v>I</v>
      </c>
      <c r="C30" s="11">
        <f t="shared" si="2"/>
        <v>33487.482</v>
      </c>
      <c r="D30" s="16" t="str">
        <f t="shared" si="3"/>
        <v>vis</v>
      </c>
      <c r="E30" s="39">
        <f>VLOOKUP(C30,A!C$21:E$973,3,FALSE)</f>
        <v>2678.001565885938</v>
      </c>
      <c r="F30" s="18" t="s">
        <v>59</v>
      </c>
      <c r="G30" s="16" t="str">
        <f t="shared" si="4"/>
        <v>33487.482</v>
      </c>
      <c r="H30" s="11">
        <f t="shared" si="5"/>
        <v>2678</v>
      </c>
      <c r="I30" s="40" t="s">
        <v>107</v>
      </c>
      <c r="J30" s="41" t="s">
        <v>108</v>
      </c>
      <c r="K30" s="40">
        <v>2678</v>
      </c>
      <c r="L30" s="40" t="s">
        <v>109</v>
      </c>
      <c r="M30" s="41" t="s">
        <v>65</v>
      </c>
      <c r="N30" s="41"/>
      <c r="O30" s="42" t="s">
        <v>105</v>
      </c>
      <c r="P30" s="42" t="s">
        <v>106</v>
      </c>
    </row>
    <row r="31" spans="1:16" ht="12.75" customHeight="1" thickBot="1">
      <c r="A31" s="11" t="str">
        <f t="shared" si="0"/>
        <v> AHSB 6.3.64 </v>
      </c>
      <c r="B31" s="18" t="str">
        <f t="shared" si="1"/>
        <v>I</v>
      </c>
      <c r="C31" s="11">
        <f t="shared" si="2"/>
        <v>33512.505</v>
      </c>
      <c r="D31" s="16" t="str">
        <f t="shared" si="3"/>
        <v>vis</v>
      </c>
      <c r="E31" s="39">
        <f>VLOOKUP(C31,A!C$21:E$973,3,FALSE)</f>
        <v>2690.0003299024743</v>
      </c>
      <c r="F31" s="18" t="s">
        <v>59</v>
      </c>
      <c r="G31" s="16" t="str">
        <f t="shared" si="4"/>
        <v>33512.505</v>
      </c>
      <c r="H31" s="11">
        <f t="shared" si="5"/>
        <v>2690</v>
      </c>
      <c r="I31" s="40" t="s">
        <v>110</v>
      </c>
      <c r="J31" s="41" t="s">
        <v>111</v>
      </c>
      <c r="K31" s="40">
        <v>2690</v>
      </c>
      <c r="L31" s="40" t="s">
        <v>112</v>
      </c>
      <c r="M31" s="41" t="s">
        <v>65</v>
      </c>
      <c r="N31" s="41"/>
      <c r="O31" s="42" t="s">
        <v>105</v>
      </c>
      <c r="P31" s="42" t="s">
        <v>106</v>
      </c>
    </row>
    <row r="32" spans="1:16" ht="12.75" customHeight="1" thickBot="1">
      <c r="A32" s="11" t="str">
        <f t="shared" si="0"/>
        <v> AHSB 6.3.64 </v>
      </c>
      <c r="B32" s="18" t="str">
        <f t="shared" si="1"/>
        <v>I</v>
      </c>
      <c r="C32" s="11">
        <f t="shared" si="2"/>
        <v>34121.485</v>
      </c>
      <c r="D32" s="16" t="str">
        <f t="shared" si="3"/>
        <v>vis</v>
      </c>
      <c r="E32" s="39">
        <f>VLOOKUP(C32,A!C$21:E$973,3,FALSE)</f>
        <v>2982.0119716237846</v>
      </c>
      <c r="F32" s="18" t="s">
        <v>59</v>
      </c>
      <c r="G32" s="16" t="str">
        <f t="shared" si="4"/>
        <v>34121.485</v>
      </c>
      <c r="H32" s="11">
        <f t="shared" si="5"/>
        <v>2982</v>
      </c>
      <c r="I32" s="40" t="s">
        <v>113</v>
      </c>
      <c r="J32" s="41" t="s">
        <v>114</v>
      </c>
      <c r="K32" s="40">
        <v>2982</v>
      </c>
      <c r="L32" s="40" t="s">
        <v>115</v>
      </c>
      <c r="M32" s="41" t="s">
        <v>65</v>
      </c>
      <c r="N32" s="41"/>
      <c r="O32" s="42" t="s">
        <v>105</v>
      </c>
      <c r="P32" s="42" t="s">
        <v>106</v>
      </c>
    </row>
    <row r="33" spans="1:16" ht="12.75" customHeight="1" thickBot="1">
      <c r="A33" s="11" t="str">
        <f t="shared" si="0"/>
        <v> AHSB 6.3.64 </v>
      </c>
      <c r="B33" s="18" t="str">
        <f t="shared" si="1"/>
        <v>I</v>
      </c>
      <c r="C33" s="11">
        <f t="shared" si="2"/>
        <v>34655.327</v>
      </c>
      <c r="D33" s="16" t="str">
        <f t="shared" si="3"/>
        <v>vis</v>
      </c>
      <c r="E33" s="39">
        <f>VLOOKUP(C33,A!C$21:E$973,3,FALSE)</f>
        <v>3237.994235146044</v>
      </c>
      <c r="F33" s="18" t="s">
        <v>59</v>
      </c>
      <c r="G33" s="16" t="str">
        <f t="shared" si="4"/>
        <v>34655.327</v>
      </c>
      <c r="H33" s="11">
        <f t="shared" si="5"/>
        <v>3238</v>
      </c>
      <c r="I33" s="40" t="s">
        <v>116</v>
      </c>
      <c r="J33" s="41" t="s">
        <v>117</v>
      </c>
      <c r="K33" s="40">
        <v>3238</v>
      </c>
      <c r="L33" s="40" t="s">
        <v>93</v>
      </c>
      <c r="M33" s="41" t="s">
        <v>65</v>
      </c>
      <c r="N33" s="41"/>
      <c r="O33" s="42" t="s">
        <v>105</v>
      </c>
      <c r="P33" s="42" t="s">
        <v>106</v>
      </c>
    </row>
    <row r="34" spans="1:16" ht="12.75" customHeight="1" thickBot="1">
      <c r="A34" s="11" t="str">
        <f t="shared" si="0"/>
        <v> AHSB 6.3.64 </v>
      </c>
      <c r="B34" s="18" t="str">
        <f t="shared" si="1"/>
        <v>I</v>
      </c>
      <c r="C34" s="11">
        <f t="shared" si="2"/>
        <v>35066.203</v>
      </c>
      <c r="D34" s="16" t="str">
        <f t="shared" si="3"/>
        <v>vis</v>
      </c>
      <c r="E34" s="39">
        <f>VLOOKUP(C34,A!C$21:E$973,3,FALSE)</f>
        <v>3435.0131443120026</v>
      </c>
      <c r="F34" s="18" t="s">
        <v>59</v>
      </c>
      <c r="G34" s="16" t="str">
        <f t="shared" si="4"/>
        <v>35066.203</v>
      </c>
      <c r="H34" s="11">
        <f t="shared" si="5"/>
        <v>3435</v>
      </c>
      <c r="I34" s="40" t="s">
        <v>118</v>
      </c>
      <c r="J34" s="41" t="s">
        <v>119</v>
      </c>
      <c r="K34" s="40">
        <v>3435</v>
      </c>
      <c r="L34" s="40" t="s">
        <v>120</v>
      </c>
      <c r="M34" s="41" t="s">
        <v>65</v>
      </c>
      <c r="N34" s="41"/>
      <c r="O34" s="42" t="s">
        <v>105</v>
      </c>
      <c r="P34" s="42" t="s">
        <v>106</v>
      </c>
    </row>
    <row r="35" spans="1:16" ht="12.75" customHeight="1" thickBot="1">
      <c r="A35" s="11" t="str">
        <f t="shared" si="0"/>
        <v> AHSB 6.3.64 </v>
      </c>
      <c r="B35" s="18" t="str">
        <f t="shared" si="1"/>
        <v>I</v>
      </c>
      <c r="C35" s="11">
        <f t="shared" si="2"/>
        <v>35195.507</v>
      </c>
      <c r="D35" s="16" t="str">
        <f t="shared" si="3"/>
        <v>vis</v>
      </c>
      <c r="E35" s="39">
        <f>VLOOKUP(C35,A!C$21:E$973,3,FALSE)</f>
        <v>3497.0156293215778</v>
      </c>
      <c r="F35" s="18" t="s">
        <v>59</v>
      </c>
      <c r="G35" s="16" t="str">
        <f t="shared" si="4"/>
        <v>35195.507</v>
      </c>
      <c r="H35" s="11">
        <f t="shared" si="5"/>
        <v>3497</v>
      </c>
      <c r="I35" s="40" t="s">
        <v>121</v>
      </c>
      <c r="J35" s="41" t="s">
        <v>122</v>
      </c>
      <c r="K35" s="40">
        <v>3497</v>
      </c>
      <c r="L35" s="40" t="s">
        <v>123</v>
      </c>
      <c r="M35" s="41" t="s">
        <v>65</v>
      </c>
      <c r="N35" s="41"/>
      <c r="O35" s="42" t="s">
        <v>105</v>
      </c>
      <c r="P35" s="42" t="s">
        <v>106</v>
      </c>
    </row>
    <row r="36" spans="1:16" ht="12.75" customHeight="1" thickBot="1">
      <c r="A36" s="11" t="str">
        <f t="shared" si="0"/>
        <v> AHSB 6.3.64 </v>
      </c>
      <c r="B36" s="18" t="str">
        <f t="shared" si="1"/>
        <v>I</v>
      </c>
      <c r="C36" s="11">
        <f t="shared" si="2"/>
        <v>35341.427</v>
      </c>
      <c r="D36" s="16" t="str">
        <f t="shared" si="3"/>
        <v>vis</v>
      </c>
      <c r="E36" s="39">
        <f>VLOOKUP(C36,A!C$21:E$973,3,FALSE)</f>
        <v>3566.9856427209916</v>
      </c>
      <c r="F36" s="18" t="s">
        <v>59</v>
      </c>
      <c r="G36" s="16" t="str">
        <f t="shared" si="4"/>
        <v>35341.427</v>
      </c>
      <c r="H36" s="11">
        <f t="shared" si="5"/>
        <v>3567</v>
      </c>
      <c r="I36" s="40" t="s">
        <v>124</v>
      </c>
      <c r="J36" s="41" t="s">
        <v>125</v>
      </c>
      <c r="K36" s="40">
        <v>3567</v>
      </c>
      <c r="L36" s="40" t="s">
        <v>126</v>
      </c>
      <c r="M36" s="41" t="s">
        <v>65</v>
      </c>
      <c r="N36" s="41"/>
      <c r="O36" s="42" t="s">
        <v>105</v>
      </c>
      <c r="P36" s="42" t="s">
        <v>106</v>
      </c>
    </row>
    <row r="37" spans="1:16" ht="12.75" customHeight="1" thickBot="1">
      <c r="A37" s="11" t="str">
        <f t="shared" si="0"/>
        <v> AHSB 6.3.64 </v>
      </c>
      <c r="B37" s="18" t="str">
        <f t="shared" si="1"/>
        <v>I</v>
      </c>
      <c r="C37" s="11">
        <f t="shared" si="2"/>
        <v>35368.541</v>
      </c>
      <c r="D37" s="16" t="str">
        <f t="shared" si="3"/>
        <v>vis</v>
      </c>
      <c r="E37" s="39">
        <f>VLOOKUP(C37,A!C$21:E$973,3,FALSE)</f>
        <v>3579.9870609180257</v>
      </c>
      <c r="F37" s="18" t="s">
        <v>59</v>
      </c>
      <c r="G37" s="16" t="str">
        <f t="shared" si="4"/>
        <v>35368.541</v>
      </c>
      <c r="H37" s="11">
        <f t="shared" si="5"/>
        <v>3580</v>
      </c>
      <c r="I37" s="40" t="s">
        <v>127</v>
      </c>
      <c r="J37" s="41" t="s">
        <v>128</v>
      </c>
      <c r="K37" s="40">
        <v>3580</v>
      </c>
      <c r="L37" s="40" t="s">
        <v>129</v>
      </c>
      <c r="M37" s="41" t="s">
        <v>65</v>
      </c>
      <c r="N37" s="41"/>
      <c r="O37" s="42" t="s">
        <v>105</v>
      </c>
      <c r="P37" s="42" t="s">
        <v>106</v>
      </c>
    </row>
    <row r="38" spans="2:6" ht="12.75">
      <c r="B38" s="18"/>
      <c r="E38" s="39"/>
      <c r="F38" s="18"/>
    </row>
    <row r="39" spans="2:6" ht="12.75">
      <c r="B39" s="18"/>
      <c r="E39" s="39"/>
      <c r="F39" s="18"/>
    </row>
    <row r="40" spans="2:6" ht="12.75">
      <c r="B40" s="18"/>
      <c r="E40" s="39"/>
      <c r="F40" s="18"/>
    </row>
    <row r="41" spans="2:6" ht="12.75">
      <c r="B41" s="18"/>
      <c r="E41" s="39"/>
      <c r="F41" s="18"/>
    </row>
    <row r="42" spans="2:6" ht="12.75">
      <c r="B42" s="18"/>
      <c r="E42" s="39"/>
      <c r="F42" s="18"/>
    </row>
    <row r="43" spans="2:6" ht="12.75">
      <c r="B43" s="18"/>
      <c r="E43" s="39"/>
      <c r="F43" s="18"/>
    </row>
    <row r="44" spans="2:6" ht="12.75">
      <c r="B44" s="18"/>
      <c r="E44" s="39"/>
      <c r="F44" s="18"/>
    </row>
    <row r="45" spans="2:6" ht="12.75">
      <c r="B45" s="18"/>
      <c r="E45" s="39"/>
      <c r="F45" s="18"/>
    </row>
    <row r="46" spans="2:6" ht="12.75">
      <c r="B46" s="18"/>
      <c r="E46" s="39"/>
      <c r="F46" s="18"/>
    </row>
    <row r="47" spans="2:6" ht="12.75">
      <c r="B47" s="18"/>
      <c r="F47" s="18"/>
    </row>
    <row r="48" spans="2:6" ht="12.75">
      <c r="B48" s="18"/>
      <c r="F48" s="18"/>
    </row>
    <row r="49" spans="2:6" ht="12.75">
      <c r="B49" s="18"/>
      <c r="F49" s="18"/>
    </row>
    <row r="50" spans="2:6" ht="12.75">
      <c r="B50" s="18"/>
      <c r="F50" s="18"/>
    </row>
    <row r="51" spans="2:6" ht="12.75">
      <c r="B51" s="18"/>
      <c r="F51" s="18"/>
    </row>
    <row r="52" spans="2:6" ht="12.75">
      <c r="B52" s="18"/>
      <c r="F52" s="18"/>
    </row>
    <row r="53" spans="2:6" ht="12.75">
      <c r="B53" s="18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  <row r="799" spans="2:6" ht="12.75">
      <c r="B799" s="18"/>
      <c r="F799" s="18"/>
    </row>
    <row r="800" spans="2:6" ht="12.75">
      <c r="B800" s="18"/>
      <c r="F800" s="18"/>
    </row>
    <row r="801" spans="2:6" ht="12.75">
      <c r="B801" s="18"/>
      <c r="F801" s="18"/>
    </row>
    <row r="802" spans="2:6" ht="12.75">
      <c r="B802" s="18"/>
      <c r="F802" s="18"/>
    </row>
    <row r="803" spans="2:6" ht="12.75">
      <c r="B803" s="18"/>
      <c r="F803" s="18"/>
    </row>
    <row r="804" spans="2:6" ht="12.75">
      <c r="B804" s="18"/>
      <c r="F804" s="18"/>
    </row>
    <row r="805" spans="2:6" ht="12.75">
      <c r="B805" s="18"/>
      <c r="F805" s="18"/>
    </row>
    <row r="806" spans="2:6" ht="12.75">
      <c r="B806" s="18"/>
      <c r="F806" s="18"/>
    </row>
    <row r="807" spans="2:6" ht="12.75">
      <c r="B807" s="18"/>
      <c r="F807" s="18"/>
    </row>
    <row r="808" spans="2:6" ht="12.75">
      <c r="B808" s="18"/>
      <c r="F808" s="18"/>
    </row>
    <row r="809" spans="2:6" ht="12.75">
      <c r="B809" s="18"/>
      <c r="F809" s="18"/>
    </row>
    <row r="810" spans="2:6" ht="12.75">
      <c r="B810" s="18"/>
      <c r="F810" s="18"/>
    </row>
    <row r="811" spans="2:6" ht="12.75">
      <c r="B811" s="18"/>
      <c r="F811" s="18"/>
    </row>
    <row r="812" spans="2:6" ht="12.75">
      <c r="B812" s="18"/>
      <c r="F812" s="18"/>
    </row>
    <row r="813" spans="2:6" ht="12.75">
      <c r="B813" s="18"/>
      <c r="F813" s="18"/>
    </row>
    <row r="814" spans="2:6" ht="12.75">
      <c r="B814" s="18"/>
      <c r="F814" s="18"/>
    </row>
    <row r="815" spans="2:6" ht="12.75">
      <c r="B815" s="18"/>
      <c r="F815" s="18"/>
    </row>
    <row r="816" spans="2:6" ht="12.75">
      <c r="B816" s="18"/>
      <c r="F816" s="18"/>
    </row>
    <row r="817" spans="2:6" ht="12.75">
      <c r="B817" s="18"/>
      <c r="F817" s="18"/>
    </row>
    <row r="818" spans="2:6" ht="12.75">
      <c r="B818" s="18"/>
      <c r="F818" s="18"/>
    </row>
    <row r="819" spans="2:6" ht="12.75">
      <c r="B819" s="18"/>
      <c r="F819" s="18"/>
    </row>
    <row r="820" spans="2:6" ht="12.75">
      <c r="B820" s="18"/>
      <c r="F820" s="18"/>
    </row>
    <row r="821" spans="2:6" ht="12.75">
      <c r="B821" s="18"/>
      <c r="F821" s="18"/>
    </row>
    <row r="822" spans="2:6" ht="12.75">
      <c r="B822" s="18"/>
      <c r="F822" s="18"/>
    </row>
    <row r="823" spans="2:6" ht="12.75">
      <c r="B823" s="18"/>
      <c r="F823" s="18"/>
    </row>
    <row r="824" spans="2:6" ht="12.75">
      <c r="B824" s="18"/>
      <c r="F824" s="18"/>
    </row>
    <row r="825" spans="2:6" ht="12.75">
      <c r="B825" s="18"/>
      <c r="F825" s="18"/>
    </row>
    <row r="826" spans="2:6" ht="12.75">
      <c r="B826" s="18"/>
      <c r="F826" s="18"/>
    </row>
    <row r="827" spans="2:6" ht="12.75">
      <c r="B827" s="18"/>
      <c r="F827" s="18"/>
    </row>
    <row r="828" spans="2:6" ht="12.75">
      <c r="B828" s="18"/>
      <c r="F828" s="18"/>
    </row>
    <row r="829" spans="2:6" ht="12.75">
      <c r="B829" s="18"/>
      <c r="F829" s="18"/>
    </row>
    <row r="830" spans="2:6" ht="12.75">
      <c r="B830" s="18"/>
      <c r="F830" s="18"/>
    </row>
    <row r="831" spans="2:6" ht="12.75">
      <c r="B831" s="18"/>
      <c r="F831" s="18"/>
    </row>
    <row r="832" spans="2:6" ht="12.75">
      <c r="B832" s="18"/>
      <c r="F832" s="18"/>
    </row>
    <row r="833" spans="2:6" ht="12.75">
      <c r="B833" s="18"/>
      <c r="F833" s="18"/>
    </row>
    <row r="834" spans="2:6" ht="12.75">
      <c r="B834" s="18"/>
      <c r="F834" s="18"/>
    </row>
  </sheetData>
  <sheetProtection/>
  <hyperlinks>
    <hyperlink ref="P16" r:id="rId1" display="http://www.bav-astro.de/sfs/BAVM_link.php?BAVMnr=183"/>
    <hyperlink ref="P17" r:id="rId2" display="http://www.bav-astro.de/sfs/BAVM_link.php?BAVMnr=1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