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5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<sst xmlns="http://schemas.openxmlformats.org/spreadsheetml/2006/main" count="326" uniqueCount="179">
  <si>
    <t>IBVS 6230</t>
  </si>
  <si>
    <t>s5</t>
  </si>
  <si>
    <t>s6</t>
  </si>
  <si>
    <t>s7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</si>
  <si>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</si>
  <si>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</si>
  <si>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</si>
  <si>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</si>
  <si>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</si>
  <si>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</si>
  <si>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</si>
  <si>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</si>
  <si>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</si>
  <si>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</si>
  <si>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</si>
  <si>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</si>
  <si>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</si>
  <si>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</si>
  <si>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</si>
  <si>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</si>
  <si>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</si>
  <si>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</si>
  <si>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</si>
  <si>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</si>
  <si>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</si>
  <si>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</si>
  <si>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</si>
  <si>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</si>
  <si>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</si>
  <si>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Locher K</t>
  </si>
  <si>
    <t>BBSAG Bull.92</t>
  </si>
  <si>
    <t>B</t>
  </si>
  <si>
    <t>IBVS 5263</t>
  </si>
  <si>
    <t>I</t>
  </si>
  <si>
    <t>IBVS 4887</t>
  </si>
  <si>
    <t>II</t>
  </si>
  <si>
    <t>IBVS 4888</t>
  </si>
  <si>
    <t>IBVS 5296</t>
  </si>
  <si>
    <t>E</t>
  </si>
  <si>
    <t># of data points:</t>
  </si>
  <si>
    <t>V401 Lyr / gsc 3121-0833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</si>
  <si>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</si>
  <si>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</si>
  <si>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</si>
  <si>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</si>
  <si>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</si>
  <si>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</si>
  <si>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</si>
  <si>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</si>
  <si>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Add cycle</t>
  </si>
  <si>
    <t>Old Cycle</t>
  </si>
  <si>
    <t>IBVS 5918</t>
  </si>
  <si>
    <t>IBVS 6010</t>
  </si>
  <si>
    <t>IBVS 6118</t>
  </si>
  <si>
    <t>VSX</t>
  </si>
  <si>
    <t>Period confirmed by ToMcat</t>
  </si>
  <si>
    <t>Minima from the Lichtenknecker Database of the BAV</t>
  </si>
  <si>
    <t>C</t>
  </si>
  <si>
    <t>CCD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</si>
  <si>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</si>
  <si>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</si>
  <si>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</si>
  <si>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</si>
  <si>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</si>
  <si>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</si>
  <si>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</si>
  <si>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2433149.420 </t>
  </si>
  <si>
    <t> 20.08.1949 22:04 </t>
  </si>
  <si>
    <t> 2.095 </t>
  </si>
  <si>
    <t>P </t>
  </si>
  <si>
    <t> W.J.Miller </t>
  </si>
  <si>
    <t> RIA 7.16.459 </t>
  </si>
  <si>
    <t>2433504.502 </t>
  </si>
  <si>
    <t> 11.08.1950 00:02 </t>
  </si>
  <si>
    <t> 2.127 </t>
  </si>
  <si>
    <t>2433738.599 </t>
  </si>
  <si>
    <t> 02.04.1951 02:22 </t>
  </si>
  <si>
    <t> 2.043 </t>
  </si>
  <si>
    <t>2437870.421 </t>
  </si>
  <si>
    <t> 24.07.1962 22:06 </t>
  </si>
  <si>
    <t> 0.012 </t>
  </si>
  <si>
    <t>2437878.391 </t>
  </si>
  <si>
    <t> 01.08.1962 21:23 </t>
  </si>
  <si>
    <t> 0.008 </t>
  </si>
  <si>
    <t>2438204.475 </t>
  </si>
  <si>
    <t> 23.06.1963 23:24 </t>
  </si>
  <si>
    <t> 0.000 </t>
  </si>
  <si>
    <t>2438671.322 </t>
  </si>
  <si>
    <t> 02.10.1964 19:43 </t>
  </si>
  <si>
    <t> 0.162 </t>
  </si>
  <si>
    <t> J.Manek </t>
  </si>
  <si>
    <t> BRNO 30.47 </t>
  </si>
  <si>
    <t>2439055.285 </t>
  </si>
  <si>
    <t> 21.10.1965 18:50 </t>
  </si>
  <si>
    <t> 0.118 </t>
  </si>
  <si>
    <t>2440354.506 </t>
  </si>
  <si>
    <t> 13.05.1969 00:08 </t>
  </si>
  <si>
    <t>2447329.468 </t>
  </si>
  <si>
    <t> 16.06.1988 23:13 </t>
  </si>
  <si>
    <t> -0.120 </t>
  </si>
  <si>
    <t>2447379.462 </t>
  </si>
  <si>
    <t> 05.08.1988 23:05 </t>
  </si>
  <si>
    <t> -0.068 </t>
  </si>
  <si>
    <t>2447445.246 </t>
  </si>
  <si>
    <t> 10.10.1988 17:54 </t>
  </si>
  <si>
    <t> -0.174 </t>
  </si>
  <si>
    <t>2447495.218 </t>
  </si>
  <si>
    <t> 29.11.1988 17:13 </t>
  </si>
  <si>
    <t> -0.144 </t>
  </si>
  <si>
    <t>2447605.648 </t>
  </si>
  <si>
    <t> 20.03.1989 03:33 </t>
  </si>
  <si>
    <t> -0.090 </t>
  </si>
  <si>
    <t>2447613.539 </t>
  </si>
  <si>
    <t> 28.03.1989 00:56 </t>
  </si>
  <si>
    <t> -0.173 </t>
  </si>
  <si>
    <t>2447788.439 </t>
  </si>
  <si>
    <t> 18.09.1989 22:32 </t>
  </si>
  <si>
    <t> -0.280 </t>
  </si>
  <si>
    <t>2450643.3897 </t>
  </si>
  <si>
    <t> 13.07.1997 21:21 </t>
  </si>
  <si>
    <t> -0.4153 </t>
  </si>
  <si>
    <t>E </t>
  </si>
  <si>
    <t>?</t>
  </si>
  <si>
    <t> J.Safar </t>
  </si>
  <si>
    <t>IBVS 4887 </t>
  </si>
  <si>
    <t>2450927.4432 </t>
  </si>
  <si>
    <t> 23.04.1998 22:38 </t>
  </si>
  <si>
    <t> -0.4855 </t>
  </si>
  <si>
    <t>IBVS 4888 </t>
  </si>
  <si>
    <t>2451278.5794 </t>
  </si>
  <si>
    <t> 10.04.1999 01:54 </t>
  </si>
  <si>
    <t> -0.6219 </t>
  </si>
  <si>
    <t> M.Netolicky </t>
  </si>
  <si>
    <t> BRNO 32 </t>
  </si>
  <si>
    <t>2451399.5437 </t>
  </si>
  <si>
    <t> 09.08.1999 01:02 </t>
  </si>
  <si>
    <t> -0.5256 </t>
  </si>
  <si>
    <t> M.Zejda </t>
  </si>
  <si>
    <t>IBVS 5263 </t>
  </si>
  <si>
    <t>2451699.37575 </t>
  </si>
  <si>
    <t> 03.06.2000 21:01 </t>
  </si>
  <si>
    <t> -0.34541 </t>
  </si>
  <si>
    <t>C </t>
  </si>
  <si>
    <t>o</t>
  </si>
  <si>
    <t> J.Šafár </t>
  </si>
  <si>
    <t>OEJV 0074 </t>
  </si>
  <si>
    <t>2452096.5163 </t>
  </si>
  <si>
    <t> 06.07.2001 00:23 </t>
  </si>
  <si>
    <t> -0.6423 </t>
  </si>
  <si>
    <t> F.Agerer </t>
  </si>
  <si>
    <t>BAVM 152 </t>
  </si>
  <si>
    <t>2452129.3928 </t>
  </si>
  <si>
    <t> 07.08.2001 21:25 </t>
  </si>
  <si>
    <t> -0.5009 </t>
  </si>
  <si>
    <t>2452156.357 </t>
  </si>
  <si>
    <t> 03.09.2001 20:34 </t>
  </si>
  <si>
    <t> -0.396 </t>
  </si>
  <si>
    <t>2453515.4609 </t>
  </si>
  <si>
    <t> 24.05.2005 23:03 </t>
  </si>
  <si>
    <t> -0.6375 </t>
  </si>
  <si>
    <t>-I</t>
  </si>
  <si>
    <t> Agerer </t>
  </si>
  <si>
    <t>BAVM 178 </t>
  </si>
  <si>
    <t>2454258.467 </t>
  </si>
  <si>
    <t> 06.06.2007 23:12 </t>
  </si>
  <si>
    <t>19127</t>
  </si>
  <si>
    <t> -0.466 </t>
  </si>
  <si>
    <t> W.Moschner &amp; P.Frank </t>
  </si>
  <si>
    <t>BAVM 234 </t>
  </si>
  <si>
    <t>2454509.6397 </t>
  </si>
  <si>
    <t> 13.02.2008 03:21 </t>
  </si>
  <si>
    <t>19426</t>
  </si>
  <si>
    <t> -0.2621 </t>
  </si>
  <si>
    <t>BAVM 209 </t>
  </si>
  <si>
    <t>2455784.5840 </t>
  </si>
  <si>
    <t> 11.08.2011 02:00 </t>
  </si>
  <si>
    <t>20945</t>
  </si>
  <si>
    <t> -0.3071 </t>
  </si>
  <si>
    <t>BAVM 220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</si>
</sst>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6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0" fillId="0" borderId="0" xfId="60" applyFont="1" applyAlignment="1">
      <alignment horizontal="left" vertical="center" wrapText="1"/>
      <protection/>
    </xf>
    <xf numFmtId="0" fontId="30" fillId="0" borderId="0" xfId="60" applyFont="1" applyAlignment="1">
      <alignment horizontal="center" vertical="center" wrapText="1"/>
      <protection/>
    </xf>
    <xf numFmtId="0" fontId="30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V401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0475"/>
          <c:w val="0.9002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0.0014</c:v>
                  </c:pt>
                  <c:pt idx="18">
                    <c:v>0.0025</c:v>
                  </c:pt>
                  <c:pt idx="19">
                    <c:v>NaN</c:v>
                  </c:pt>
                  <c:pt idx="20">
                    <c:v>0.0061</c:v>
                  </c:pt>
                  <c:pt idx="21">
                    <c:v>0.0061</c:v>
                  </c:pt>
                  <c:pt idx="22">
                    <c:v>0.0019</c:v>
                  </c:pt>
                  <c:pt idx="23">
                    <c:v>0.0006</c:v>
                  </c:pt>
                  <c:pt idx="24">
                    <c:v>0.0004</c:v>
                  </c:pt>
                  <c:pt idx="25">
                    <c:v>0.006</c:v>
                  </c:pt>
                  <c:pt idx="26">
                    <c:v>0.0005</c:v>
                  </c:pt>
                  <c:pt idx="27">
                    <c:v>0.0003</c:v>
                  </c:pt>
                  <c:pt idx="28">
                    <c:v>0.0007</c:v>
                  </c:pt>
                  <c:pt idx="29">
                    <c:v>0.0008</c:v>
                  </c:pt>
                  <c:pt idx="30">
                    <c:v>0.0005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15938892"/>
        <c:axId val="9232301"/>
      </c:scatterChart>
      <c:val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crossBetween val="midCat"/>
        <c:dispUnits/>
      </c:valAx>
      <c:valAx>
        <c:axId val="923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75"/>
          <c:y val="0.9305"/>
          <c:w val="0.732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15</xdr:col>
      <xdr:colOff>400050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00575" y="0"/>
        <a:ext cx="53816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bav-astro.de/sfs/BAVM_link.php?BAVMnr=152" TargetMode="External" /><Relationship Id="rId6" Type="http://schemas.openxmlformats.org/officeDocument/2006/relationships/hyperlink" Target="http://www.bav-astro.de/sfs/BAVM_link.php?BAVMnr=152" TargetMode="External" /><Relationship Id="rId7" Type="http://schemas.openxmlformats.org/officeDocument/2006/relationships/hyperlink" Target="http://www.bav-astro.de/sfs/BAVM_link.php?BAVMnr=152" TargetMode="External" /><Relationship Id="rId8" Type="http://schemas.openxmlformats.org/officeDocument/2006/relationships/hyperlink" Target="http://www.bav-astro.de/sfs/BAVM_link.php?BAVMnr=178" TargetMode="External" /><Relationship Id="rId9" Type="http://schemas.openxmlformats.org/officeDocument/2006/relationships/hyperlink" Target="http://www.bav-astro.de/sfs/BAVM_link.php?BAVMnr=234" TargetMode="External" /><Relationship Id="rId10" Type="http://schemas.openxmlformats.org/officeDocument/2006/relationships/hyperlink" Target="http://www.bav-astro.de/sfs/BAVM_link.php?BAVMnr=209" TargetMode="External" /><Relationship Id="rId11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40</v>
      </c>
    </row>
    <row r="2" spans="1:3" ht="12.75">
      <c r="A2" t="s">
        <v>28</v>
      </c>
      <c r="B2" s="11" t="s">
        <v>38</v>
      </c>
      <c r="C2" s="10"/>
    </row>
    <row r="3" ht="13.5" thickBot="1">
      <c r="C3" s="10"/>
    </row>
    <row r="4" spans="1:4" ht="14.25" thickBot="1" thickTop="1">
      <c r="A4" s="7" t="s">
        <v>4</v>
      </c>
      <c r="C4" s="3">
        <v>38204.475</v>
      </c>
      <c r="D4" s="4">
        <v>0.839361</v>
      </c>
    </row>
    <row r="5" spans="1:4" ht="13.5" thickTop="1">
      <c r="A5" s="15" t="s">
        <v>42</v>
      </c>
      <c r="B5" s="12"/>
      <c r="C5" s="16">
        <v>-9.5</v>
      </c>
      <c r="D5" s="12" t="s">
        <v>43</v>
      </c>
    </row>
    <row r="6" spans="1:3" ht="12.75">
      <c r="A6" s="7" t="s">
        <v>5</v>
      </c>
      <c r="C6" s="13" t="s">
        <v>55</v>
      </c>
    </row>
    <row r="7" spans="1:3" ht="12.75">
      <c r="A7" t="s">
        <v>6</v>
      </c>
      <c r="C7">
        <f>+C4</f>
        <v>38204.475</v>
      </c>
    </row>
    <row r="8" spans="1:4" ht="12.75">
      <c r="A8" t="s">
        <v>7</v>
      </c>
      <c r="C8" s="13">
        <v>1.315044</v>
      </c>
      <c r="D8" t="s">
        <v>54</v>
      </c>
    </row>
    <row r="9" spans="1:4" ht="12.75">
      <c r="A9" s="28" t="s">
        <v>47</v>
      </c>
      <c r="B9" s="29">
        <v>41</v>
      </c>
      <c r="C9" s="27" t="str">
        <f>"F"&amp;B9</f>
        <v>F41</v>
      </c>
      <c r="D9" s="10" t="str">
        <f>"G"&amp;B9</f>
        <v>G41</v>
      </c>
    </row>
    <row r="10" spans="1:5" ht="13.5" thickBot="1">
      <c r="A10" s="12"/>
      <c r="B10" s="12"/>
      <c r="C10" s="6" t="s">
        <v>24</v>
      </c>
      <c r="D10" s="6" t="s">
        <v>25</v>
      </c>
      <c r="E10" s="12"/>
    </row>
    <row r="11" spans="1:5" ht="12.75">
      <c r="A11" s="12" t="s">
        <v>20</v>
      </c>
      <c r="B11" s="12"/>
      <c r="C11" s="26">
        <f ca="1">INTERCEPT(INDIRECT($D$9):G991,INDIRECT($C$9):F991)</f>
        <v>-0.16915047669448496</v>
      </c>
      <c r="D11" s="5"/>
      <c r="E11" s="12"/>
    </row>
    <row r="12" spans="1:5" ht="12.75">
      <c r="A12" s="12" t="s">
        <v>21</v>
      </c>
      <c r="B12" s="12"/>
      <c r="C12" s="26">
        <f ca="1">SLOPE(INDIRECT($D$9):G991,INDIRECT($C$9):F991)</f>
        <v>8.447588618317093E-06</v>
      </c>
      <c r="D12" s="5"/>
      <c r="E12" s="12"/>
    </row>
    <row r="13" spans="1:3" ht="12.75">
      <c r="A13" s="12" t="s">
        <v>23</v>
      </c>
      <c r="B13" s="12"/>
      <c r="C13" s="5" t="s">
        <v>18</v>
      </c>
    </row>
    <row r="14" spans="1:3" ht="12.75">
      <c r="A14" s="12"/>
      <c r="B14" s="12"/>
      <c r="C14" s="12"/>
    </row>
    <row r="15" spans="1:6" ht="12.75">
      <c r="A15" s="17" t="s">
        <v>22</v>
      </c>
      <c r="B15" s="12"/>
      <c r="C15" s="18">
        <f>(C7+C11)+(C8+C12)*INT(MAX(F21:F3532))</f>
        <v>56516.41118219482</v>
      </c>
      <c r="E15" s="19" t="s">
        <v>49</v>
      </c>
      <c r="F15" s="16">
        <v>1</v>
      </c>
    </row>
    <row r="16" spans="1:6" ht="12.75">
      <c r="A16" s="21" t="s">
        <v>8</v>
      </c>
      <c r="B16" s="12"/>
      <c r="C16" s="22">
        <f>+C8+C12</f>
        <v>1.3150524475886185</v>
      </c>
      <c r="E16" s="19" t="s">
        <v>44</v>
      </c>
      <c r="F16" s="20">
        <f ca="1">NOW()+15018.5+$C$5/24</f>
        <v>59903.68439074074</v>
      </c>
    </row>
    <row r="17" spans="1:6" ht="13.5" thickBot="1">
      <c r="A17" s="19" t="s">
        <v>39</v>
      </c>
      <c r="B17" s="12"/>
      <c r="C17" s="12">
        <f>COUNT(C21:C2190)</f>
        <v>31</v>
      </c>
      <c r="E17" s="19" t="s">
        <v>50</v>
      </c>
      <c r="F17" s="20">
        <f>ROUND(2*(F16-$C$7)/$C$8,0)/2+F15</f>
        <v>16501.5</v>
      </c>
    </row>
    <row r="18" spans="1:20" ht="14.25" thickBot="1" thickTop="1">
      <c r="A18" s="21" t="s">
        <v>9</v>
      </c>
      <c r="B18" s="12"/>
      <c r="C18" s="24">
        <f>+C15</f>
        <v>56516.41118219482</v>
      </c>
      <c r="D18" s="25">
        <f>+C16</f>
        <v>1.3150524475886185</v>
      </c>
      <c r="E18" s="19" t="s">
        <v>45</v>
      </c>
      <c r="F18" s="10">
        <f>ROUND(2*(F16-$C$15)/$C$16,0)/2+F15</f>
        <v>2577</v>
      </c>
      <c r="T18">
        <f>SUM(T21:T36)</f>
        <v>0.046130418846955</v>
      </c>
    </row>
    <row r="19" spans="5:6" ht="13.5" thickTop="1">
      <c r="E19" s="19" t="s">
        <v>46</v>
      </c>
      <c r="F19" s="23">
        <f>+$C$15+$C$16*F18-15018.5-$C$5/24</f>
        <v>44887.19717296402</v>
      </c>
    </row>
    <row r="20" spans="1:17" ht="13.5" thickBot="1">
      <c r="A20" s="6" t="s">
        <v>10</v>
      </c>
      <c r="B20" s="6" t="s">
        <v>11</v>
      </c>
      <c r="C20" s="6" t="s">
        <v>12</v>
      </c>
      <c r="D20" s="6" t="s">
        <v>17</v>
      </c>
      <c r="E20" s="6" t="s">
        <v>13</v>
      </c>
      <c r="F20" s="6" t="s">
        <v>14</v>
      </c>
      <c r="G20" s="6" t="s">
        <v>15</v>
      </c>
      <c r="H20" s="9" t="s">
        <v>62</v>
      </c>
      <c r="I20" s="9" t="s">
        <v>65</v>
      </c>
      <c r="J20" s="9" t="s">
        <v>59</v>
      </c>
      <c r="K20" s="9" t="s">
        <v>58</v>
      </c>
      <c r="L20" s="9" t="s">
        <v>1</v>
      </c>
      <c r="M20" s="9" t="s">
        <v>2</v>
      </c>
      <c r="N20" s="9" t="s">
        <v>3</v>
      </c>
      <c r="O20" s="9" t="s">
        <v>27</v>
      </c>
      <c r="P20" s="8" t="s">
        <v>26</v>
      </c>
      <c r="Q20" s="6" t="s">
        <v>19</v>
      </c>
    </row>
    <row r="21" spans="1:20" ht="12.75">
      <c r="A21" s="55" t="s">
        <v>71</v>
      </c>
      <c r="B21" s="56" t="s">
        <v>33</v>
      </c>
      <c r="C21" s="55">
        <v>33149.42</v>
      </c>
      <c r="D21" s="14"/>
      <c r="E21">
        <f aca="true" t="shared" si="0" ref="E21:E50">+(C21-C$7)/C$8</f>
        <v>-3844.019667782979</v>
      </c>
      <c r="F21">
        <f aca="true" t="shared" si="1" ref="F21:F51">ROUND(2*E21,0)/2</f>
        <v>-3844</v>
      </c>
      <c r="G21">
        <f>+C21-(C$7+F21*C$8)</f>
        <v>-0.02586400000291178</v>
      </c>
      <c r="H21">
        <f>+G21</f>
        <v>-0.02586400000291178</v>
      </c>
      <c r="Q21" s="2">
        <f aca="true" t="shared" si="2" ref="Q21:Q50">+C21-15018.5</f>
        <v>18130.92</v>
      </c>
      <c r="T21">
        <f>+(O21-G21)^2</f>
        <v>0.0006689464961506206</v>
      </c>
    </row>
    <row r="22" spans="1:20" ht="12.75">
      <c r="A22" s="55" t="s">
        <v>71</v>
      </c>
      <c r="B22" s="56" t="s">
        <v>33</v>
      </c>
      <c r="C22" s="55">
        <v>33504.502</v>
      </c>
      <c r="D22" s="14"/>
      <c r="E22">
        <f t="shared" si="0"/>
        <v>-3574.004367914684</v>
      </c>
      <c r="F22">
        <f t="shared" si="1"/>
        <v>-3574</v>
      </c>
      <c r="G22">
        <f>+C22-(C$7+F22*C$8)</f>
        <v>-0.005743999994592741</v>
      </c>
      <c r="H22">
        <f>+G22</f>
        <v>-0.005743999994592741</v>
      </c>
      <c r="Q22" s="2">
        <f t="shared" si="2"/>
        <v>18486.002</v>
      </c>
      <c r="T22">
        <f>+(O22-G22)^2</f>
        <v>3.299353593788141E-05</v>
      </c>
    </row>
    <row r="23" spans="1:20" ht="12.75">
      <c r="A23" s="55" t="s">
        <v>71</v>
      </c>
      <c r="B23" s="56" t="s">
        <v>33</v>
      </c>
      <c r="C23" s="55">
        <v>33738.599</v>
      </c>
      <c r="D23" s="14"/>
      <c r="E23">
        <f t="shared" si="0"/>
        <v>-3395.9897919765394</v>
      </c>
      <c r="F23">
        <f t="shared" si="1"/>
        <v>-3396</v>
      </c>
      <c r="G23">
        <f>+C23-(C$7+F23*C$8)</f>
        <v>0.013424000004306436</v>
      </c>
      <c r="H23">
        <f>+G23</f>
        <v>0.013424000004306436</v>
      </c>
      <c r="Q23" s="2">
        <f t="shared" si="2"/>
        <v>18720.099000000002</v>
      </c>
      <c r="T23">
        <f>+(O23-G23)^2</f>
        <v>0.00018020377611561918</v>
      </c>
    </row>
    <row r="24" spans="1:20" ht="12.75">
      <c r="A24" s="55" t="s">
        <v>71</v>
      </c>
      <c r="B24" s="56" t="s">
        <v>33</v>
      </c>
      <c r="C24" s="55">
        <v>37870.421</v>
      </c>
      <c r="D24" s="14"/>
      <c r="E24">
        <f t="shared" si="0"/>
        <v>-254.02496038155104</v>
      </c>
      <c r="F24">
        <f t="shared" si="1"/>
        <v>-254</v>
      </c>
      <c r="G24">
        <f>+C24-(C$7+F24*C$8)</f>
        <v>-0.032823999994434416</v>
      </c>
      <c r="H24">
        <f>+G24</f>
        <v>-0.032823999994434416</v>
      </c>
      <c r="Q24" s="2">
        <f t="shared" si="2"/>
        <v>22851.921000000002</v>
      </c>
      <c r="T24">
        <f>+(O24-G24)^2</f>
        <v>0.0010774149756346307</v>
      </c>
    </row>
    <row r="25" spans="1:20" ht="12.75">
      <c r="A25" s="55" t="s">
        <v>71</v>
      </c>
      <c r="B25" s="56" t="s">
        <v>35</v>
      </c>
      <c r="C25" s="55">
        <v>37878.391</v>
      </c>
      <c r="D25" s="5"/>
      <c r="E25">
        <f t="shared" si="0"/>
        <v>-247.96432666891394</v>
      </c>
      <c r="F25">
        <f t="shared" si="1"/>
        <v>-248</v>
      </c>
      <c r="G25">
        <f>+C25-(C$7+F25*C$8)</f>
        <v>0.046912000005249865</v>
      </c>
      <c r="H25">
        <f>+G25</f>
        <v>0.046912000005249865</v>
      </c>
      <c r="Q25" s="2">
        <f t="shared" si="2"/>
        <v>22859.891000000003</v>
      </c>
      <c r="T25">
        <f>+(O25-G25)^2</f>
        <v>0.002200735744492563</v>
      </c>
    </row>
    <row r="26" spans="1:20" ht="12.75">
      <c r="A26" t="s">
        <v>16</v>
      </c>
      <c r="C26" s="14">
        <v>38204.475</v>
      </c>
      <c r="D26" s="14" t="s">
        <v>18</v>
      </c>
      <c r="E26">
        <f t="shared" si="0"/>
        <v>0</v>
      </c>
      <c r="F26">
        <f t="shared" si="1"/>
        <v>0</v>
      </c>
      <c r="H26" s="10">
        <v>0</v>
      </c>
      <c r="Q26" s="2">
        <f t="shared" si="2"/>
        <v>23185.975</v>
      </c>
      <c r="T26">
        <f>+(O26-H26)^2</f>
        <v>0</v>
      </c>
    </row>
    <row r="27" spans="1:20" ht="12.75">
      <c r="A27" s="55" t="s">
        <v>91</v>
      </c>
      <c r="B27" s="56" t="s">
        <v>33</v>
      </c>
      <c r="C27" s="55">
        <v>38671.322</v>
      </c>
      <c r="D27" s="5"/>
      <c r="E27">
        <f t="shared" si="0"/>
        <v>355.0048515486946</v>
      </c>
      <c r="F27">
        <f t="shared" si="1"/>
        <v>355</v>
      </c>
      <c r="G27">
        <f aca="true" t="shared" si="3" ref="G27:G50">+C27-(C$7+F27*C$8)</f>
        <v>0.006379999998898711</v>
      </c>
      <c r="I27">
        <f aca="true" t="shared" si="4" ref="I27:I37">+G27</f>
        <v>0.006379999998898711</v>
      </c>
      <c r="Q27" s="2">
        <f t="shared" si="2"/>
        <v>23652.822</v>
      </c>
      <c r="T27">
        <f aca="true" t="shared" si="5" ref="T27:T50">+(O27-G27)^2</f>
        <v>4.070439998594755E-05</v>
      </c>
    </row>
    <row r="28" spans="1:20" ht="12.75">
      <c r="A28" s="55" t="s">
        <v>91</v>
      </c>
      <c r="B28" s="56" t="s">
        <v>35</v>
      </c>
      <c r="C28" s="55">
        <v>39055.285</v>
      </c>
      <c r="D28" s="5"/>
      <c r="E28">
        <f t="shared" si="0"/>
        <v>646.9821542092925</v>
      </c>
      <c r="F28">
        <f t="shared" si="1"/>
        <v>647</v>
      </c>
      <c r="G28">
        <f t="shared" si="3"/>
        <v>-0.023467999992135447</v>
      </c>
      <c r="I28">
        <f t="shared" si="4"/>
        <v>-0.023467999992135447</v>
      </c>
      <c r="Q28" s="2">
        <f t="shared" si="2"/>
        <v>24036.785000000003</v>
      </c>
      <c r="T28">
        <f t="shared" si="5"/>
        <v>0.0005507470236308693</v>
      </c>
    </row>
    <row r="29" spans="1:20" ht="12.75">
      <c r="A29" s="55" t="s">
        <v>91</v>
      </c>
      <c r="B29" s="56" t="s">
        <v>35</v>
      </c>
      <c r="C29" s="55">
        <v>40354.506</v>
      </c>
      <c r="D29" s="5"/>
      <c r="E29">
        <f t="shared" si="0"/>
        <v>1634.9498571910922</v>
      </c>
      <c r="F29">
        <f t="shared" si="1"/>
        <v>1635</v>
      </c>
      <c r="G29">
        <f t="shared" si="3"/>
        <v>-0.06594000000040978</v>
      </c>
      <c r="I29">
        <f t="shared" si="4"/>
        <v>-0.06594000000040978</v>
      </c>
      <c r="Q29" s="2">
        <f t="shared" si="2"/>
        <v>25336.006</v>
      </c>
      <c r="T29">
        <f t="shared" si="5"/>
        <v>0.004348083600054042</v>
      </c>
    </row>
    <row r="30" spans="1:20" ht="12.75">
      <c r="A30" s="55" t="s">
        <v>91</v>
      </c>
      <c r="B30" s="56" t="s">
        <v>35</v>
      </c>
      <c r="C30" s="55">
        <v>47329.468</v>
      </c>
      <c r="D30" s="5"/>
      <c r="E30">
        <f t="shared" si="0"/>
        <v>6938.9259979133785</v>
      </c>
      <c r="F30">
        <f t="shared" si="1"/>
        <v>6939</v>
      </c>
      <c r="G30">
        <f t="shared" si="3"/>
        <v>-0.09731599999940954</v>
      </c>
      <c r="I30">
        <f t="shared" si="4"/>
        <v>-0.09731599999940954</v>
      </c>
      <c r="Q30" s="2">
        <f t="shared" si="2"/>
        <v>32310.968</v>
      </c>
      <c r="T30">
        <f t="shared" si="5"/>
        <v>0.009470403855885079</v>
      </c>
    </row>
    <row r="31" spans="1:20" ht="12.75">
      <c r="A31" s="55" t="s">
        <v>91</v>
      </c>
      <c r="B31" s="56" t="s">
        <v>33</v>
      </c>
      <c r="C31" s="55">
        <v>47379.462</v>
      </c>
      <c r="D31" s="5"/>
      <c r="E31">
        <f t="shared" si="0"/>
        <v>6976.942976812943</v>
      </c>
      <c r="F31">
        <f t="shared" si="1"/>
        <v>6977</v>
      </c>
      <c r="G31">
        <f t="shared" si="3"/>
        <v>-0.07498800000030315</v>
      </c>
      <c r="I31">
        <f t="shared" si="4"/>
        <v>-0.07498800000030315</v>
      </c>
      <c r="Q31" s="2">
        <f t="shared" si="2"/>
        <v>32360.962</v>
      </c>
      <c r="T31">
        <f t="shared" si="5"/>
        <v>0.005623200144045465</v>
      </c>
    </row>
    <row r="32" spans="1:20" ht="12.75">
      <c r="A32" s="55" t="s">
        <v>91</v>
      </c>
      <c r="B32" s="56" t="s">
        <v>35</v>
      </c>
      <c r="C32" s="55">
        <v>47445.246</v>
      </c>
      <c r="E32">
        <f t="shared" si="0"/>
        <v>7026.967158513327</v>
      </c>
      <c r="F32">
        <f t="shared" si="1"/>
        <v>7027</v>
      </c>
      <c r="G32">
        <f t="shared" si="3"/>
        <v>-0.04318799999600742</v>
      </c>
      <c r="I32">
        <f t="shared" si="4"/>
        <v>-0.04318799999600742</v>
      </c>
      <c r="Q32" s="2">
        <f t="shared" si="2"/>
        <v>32426.746</v>
      </c>
      <c r="T32">
        <f t="shared" si="5"/>
        <v>0.0018652033436551369</v>
      </c>
    </row>
    <row r="33" spans="1:20" ht="12.75">
      <c r="A33" s="55" t="s">
        <v>91</v>
      </c>
      <c r="B33" s="56" t="s">
        <v>33</v>
      </c>
      <c r="C33" s="55">
        <v>47495.218</v>
      </c>
      <c r="E33">
        <f t="shared" si="0"/>
        <v>7064.9674079346405</v>
      </c>
      <c r="F33">
        <f t="shared" si="1"/>
        <v>7065</v>
      </c>
      <c r="G33">
        <f t="shared" si="3"/>
        <v>-0.042859999994107056</v>
      </c>
      <c r="I33">
        <f t="shared" si="4"/>
        <v>-0.042859999994107056</v>
      </c>
      <c r="Q33" s="2">
        <f t="shared" si="2"/>
        <v>32476.718</v>
      </c>
      <c r="T33">
        <f t="shared" si="5"/>
        <v>0.0018369795994948568</v>
      </c>
    </row>
    <row r="34" spans="1:20" ht="12.75">
      <c r="A34" s="55" t="s">
        <v>91</v>
      </c>
      <c r="B34" s="56" t="s">
        <v>35</v>
      </c>
      <c r="C34" s="55">
        <v>47605.648</v>
      </c>
      <c r="E34">
        <f t="shared" si="0"/>
        <v>7148.941784457404</v>
      </c>
      <c r="F34">
        <f t="shared" si="1"/>
        <v>7149</v>
      </c>
      <c r="G34">
        <f t="shared" si="3"/>
        <v>-0.0765559999999823</v>
      </c>
      <c r="I34">
        <f t="shared" si="4"/>
        <v>-0.0765559999999823</v>
      </c>
      <c r="Q34" s="2">
        <f t="shared" si="2"/>
        <v>32587.148</v>
      </c>
      <c r="T34">
        <f t="shared" si="5"/>
        <v>0.00586082113599729</v>
      </c>
    </row>
    <row r="35" spans="1:20" ht="12.75">
      <c r="A35" s="55" t="s">
        <v>91</v>
      </c>
      <c r="B35" s="56" t="s">
        <v>33</v>
      </c>
      <c r="C35" s="55">
        <v>47613.539</v>
      </c>
      <c r="E35">
        <f t="shared" si="0"/>
        <v>7154.942344134492</v>
      </c>
      <c r="F35">
        <f t="shared" si="1"/>
        <v>7155</v>
      </c>
      <c r="G35">
        <f t="shared" si="3"/>
        <v>-0.0758200000054785</v>
      </c>
      <c r="I35">
        <f t="shared" si="4"/>
        <v>-0.0758200000054785</v>
      </c>
      <c r="Q35" s="2">
        <f t="shared" si="2"/>
        <v>32595.038999999997</v>
      </c>
      <c r="T35">
        <f t="shared" si="5"/>
        <v>0.005748672400830761</v>
      </c>
    </row>
    <row r="36" spans="1:31" ht="12.75">
      <c r="A36" t="s">
        <v>30</v>
      </c>
      <c r="C36" s="14">
        <v>47750.298</v>
      </c>
      <c r="D36" s="14"/>
      <c r="E36">
        <f t="shared" si="0"/>
        <v>7258.938103972189</v>
      </c>
      <c r="F36">
        <f t="shared" si="1"/>
        <v>7259</v>
      </c>
      <c r="G36">
        <f t="shared" si="3"/>
        <v>-0.08139599999412894</v>
      </c>
      <c r="I36">
        <f t="shared" si="4"/>
        <v>-0.08139599999412894</v>
      </c>
      <c r="Q36" s="2">
        <f t="shared" si="2"/>
        <v>32731.798000000003</v>
      </c>
      <c r="T36">
        <f t="shared" si="5"/>
        <v>0.006625308815044239</v>
      </c>
      <c r="AB36">
        <v>6</v>
      </c>
      <c r="AC36" t="s">
        <v>29</v>
      </c>
      <c r="AE36" t="s">
        <v>31</v>
      </c>
    </row>
    <row r="37" spans="1:20" ht="12.75">
      <c r="A37" s="55" t="s">
        <v>91</v>
      </c>
      <c r="B37" s="56" t="s">
        <v>35</v>
      </c>
      <c r="C37" s="55">
        <v>47788.439</v>
      </c>
      <c r="E37">
        <f t="shared" si="0"/>
        <v>7287.941696247425</v>
      </c>
      <c r="F37">
        <f t="shared" si="1"/>
        <v>7288</v>
      </c>
      <c r="G37">
        <f t="shared" si="3"/>
        <v>-0.07667200000287266</v>
      </c>
      <c r="I37">
        <f t="shared" si="4"/>
        <v>-0.07667200000287266</v>
      </c>
      <c r="Q37" s="2">
        <f t="shared" si="2"/>
        <v>32769.939</v>
      </c>
      <c r="T37">
        <f t="shared" si="5"/>
        <v>0.005878595584440506</v>
      </c>
    </row>
    <row r="38" spans="1:20" ht="12.75">
      <c r="A38" t="s">
        <v>34</v>
      </c>
      <c r="B38" s="5" t="s">
        <v>35</v>
      </c>
      <c r="C38" s="14">
        <v>50643.3897</v>
      </c>
      <c r="D38" s="14">
        <v>0.0014</v>
      </c>
      <c r="E38">
        <f t="shared" si="0"/>
        <v>9458.934225774956</v>
      </c>
      <c r="F38">
        <f t="shared" si="1"/>
        <v>9459</v>
      </c>
      <c r="G38">
        <f t="shared" si="3"/>
        <v>-0.0864960000035353</v>
      </c>
      <c r="K38">
        <f>+G38</f>
        <v>-0.0864960000035353</v>
      </c>
      <c r="Q38" s="2">
        <f t="shared" si="2"/>
        <v>35624.8897</v>
      </c>
      <c r="T38">
        <f t="shared" si="5"/>
        <v>0.0074815580166115786</v>
      </c>
    </row>
    <row r="39" spans="1:20" ht="12.75">
      <c r="A39" t="s">
        <v>36</v>
      </c>
      <c r="B39" s="5" t="s">
        <v>33</v>
      </c>
      <c r="C39" s="14">
        <v>50927.4432</v>
      </c>
      <c r="D39" s="14">
        <v>0.0025</v>
      </c>
      <c r="E39">
        <f t="shared" si="0"/>
        <v>9674.937264456552</v>
      </c>
      <c r="F39">
        <f t="shared" si="1"/>
        <v>9675</v>
      </c>
      <c r="G39">
        <f t="shared" si="3"/>
        <v>-0.08249999999679858</v>
      </c>
      <c r="K39">
        <f>+G39</f>
        <v>-0.08249999999679858</v>
      </c>
      <c r="Q39" s="2">
        <f t="shared" si="2"/>
        <v>35908.9432</v>
      </c>
      <c r="T39">
        <f t="shared" si="5"/>
        <v>0.006806249999471765</v>
      </c>
    </row>
    <row r="40" spans="1:20" ht="12.75">
      <c r="A40" s="55" t="s">
        <v>133</v>
      </c>
      <c r="B40" s="56" t="s">
        <v>33</v>
      </c>
      <c r="C40" s="55">
        <v>51278.5794</v>
      </c>
      <c r="E40">
        <f t="shared" si="0"/>
        <v>9941.952056357051</v>
      </c>
      <c r="F40">
        <f t="shared" si="1"/>
        <v>9942</v>
      </c>
      <c r="G40">
        <f t="shared" si="3"/>
        <v>-0.0630479999963427</v>
      </c>
      <c r="J40">
        <f>+G40</f>
        <v>-0.0630479999963427</v>
      </c>
      <c r="O40">
        <f aca="true" t="shared" si="6" ref="O40:O50">+C$11+C$12*F40</f>
        <v>-0.08516455065117642</v>
      </c>
      <c r="Q40" s="2">
        <f t="shared" si="2"/>
        <v>36260.0794</v>
      </c>
      <c r="T40">
        <f t="shared" si="5"/>
        <v>0.0004891418128678262</v>
      </c>
    </row>
    <row r="41" spans="1:20" ht="12.75">
      <c r="A41" s="30" t="s">
        <v>32</v>
      </c>
      <c r="B41" s="31" t="s">
        <v>33</v>
      </c>
      <c r="C41" s="32">
        <v>51399.5437</v>
      </c>
      <c r="D41" s="32">
        <v>0.0061</v>
      </c>
      <c r="E41">
        <f t="shared" si="0"/>
        <v>10033.937039369026</v>
      </c>
      <c r="F41">
        <f t="shared" si="1"/>
        <v>10034</v>
      </c>
      <c r="G41">
        <f t="shared" si="3"/>
        <v>-0.08279599999514176</v>
      </c>
      <c r="K41">
        <f>+G41</f>
        <v>-0.08279599999514176</v>
      </c>
      <c r="O41">
        <f t="shared" si="6"/>
        <v>-0.08438737249829126</v>
      </c>
      <c r="Q41" s="2">
        <f t="shared" si="2"/>
        <v>36381.0437</v>
      </c>
      <c r="T41">
        <f t="shared" si="5"/>
        <v>2.532466443780311E-06</v>
      </c>
    </row>
    <row r="42" spans="1:20" ht="12.75">
      <c r="A42" s="33" t="s">
        <v>32</v>
      </c>
      <c r="B42" s="34" t="s">
        <v>33</v>
      </c>
      <c r="C42" s="35">
        <v>51399.5437</v>
      </c>
      <c r="D42" s="35">
        <v>0.0061</v>
      </c>
      <c r="E42">
        <f t="shared" si="0"/>
        <v>10033.937039369026</v>
      </c>
      <c r="F42">
        <f t="shared" si="1"/>
        <v>10034</v>
      </c>
      <c r="G42">
        <f t="shared" si="3"/>
        <v>-0.08279599999514176</v>
      </c>
      <c r="K42">
        <f>+G42</f>
        <v>-0.08279599999514176</v>
      </c>
      <c r="O42">
        <f t="shared" si="6"/>
        <v>-0.08438737249829126</v>
      </c>
      <c r="Q42" s="2">
        <f t="shared" si="2"/>
        <v>36381.0437</v>
      </c>
      <c r="T42">
        <f t="shared" si="5"/>
        <v>2.532466443780311E-06</v>
      </c>
    </row>
    <row r="43" spans="1:20" ht="12.75">
      <c r="A43" s="33" t="s">
        <v>48</v>
      </c>
      <c r="B43" s="36" t="s">
        <v>33</v>
      </c>
      <c r="C43" s="33">
        <v>51699.37575</v>
      </c>
      <c r="D43" s="33">
        <v>0.0019</v>
      </c>
      <c r="E43">
        <f t="shared" si="0"/>
        <v>10261.938573918438</v>
      </c>
      <c r="F43">
        <f t="shared" si="1"/>
        <v>10262</v>
      </c>
      <c r="G43">
        <f t="shared" si="3"/>
        <v>-0.08077799999591662</v>
      </c>
      <c r="K43">
        <f>+G43</f>
        <v>-0.08077799999591662</v>
      </c>
      <c r="O43">
        <f t="shared" si="6"/>
        <v>-0.08246132229331496</v>
      </c>
      <c r="Q43" s="2">
        <f t="shared" si="2"/>
        <v>36680.87575</v>
      </c>
      <c r="T43">
        <f t="shared" si="5"/>
        <v>2.8335739569184355E-06</v>
      </c>
    </row>
    <row r="44" spans="1:20" ht="12.75">
      <c r="A44" s="33" t="s">
        <v>37</v>
      </c>
      <c r="B44" s="34"/>
      <c r="C44" s="37">
        <v>52096.5163</v>
      </c>
      <c r="D44" s="37">
        <v>0.0006</v>
      </c>
      <c r="E44">
        <f t="shared" si="0"/>
        <v>10563.93649185883</v>
      </c>
      <c r="F44">
        <f t="shared" si="1"/>
        <v>10564</v>
      </c>
      <c r="G44">
        <f t="shared" si="3"/>
        <v>-0.0835159999987809</v>
      </c>
      <c r="J44">
        <f aca="true" t="shared" si="7" ref="J44:J50">+G44</f>
        <v>-0.0835159999987809</v>
      </c>
      <c r="O44">
        <f t="shared" si="6"/>
        <v>-0.07991015053058319</v>
      </c>
      <c r="Q44" s="2">
        <f t="shared" si="2"/>
        <v>37078.0163</v>
      </c>
      <c r="T44">
        <f t="shared" si="5"/>
        <v>1.3002150387301716E-05</v>
      </c>
    </row>
    <row r="45" spans="1:20" ht="12.75">
      <c r="A45" s="33" t="s">
        <v>37</v>
      </c>
      <c r="B45" s="34"/>
      <c r="C45" s="37">
        <v>52129.3928</v>
      </c>
      <c r="D45" s="37">
        <v>0.0004</v>
      </c>
      <c r="E45" s="30">
        <f t="shared" si="0"/>
        <v>10588.936796031161</v>
      </c>
      <c r="F45">
        <f t="shared" si="1"/>
        <v>10589</v>
      </c>
      <c r="G45">
        <f t="shared" si="3"/>
        <v>-0.08311599999433383</v>
      </c>
      <c r="J45">
        <f t="shared" si="7"/>
        <v>-0.08311599999433383</v>
      </c>
      <c r="O45">
        <f t="shared" si="6"/>
        <v>-0.07969896081512527</v>
      </c>
      <c r="Q45" s="2">
        <f t="shared" si="2"/>
        <v>37110.8928</v>
      </c>
      <c r="T45">
        <f t="shared" si="5"/>
        <v>1.1676156752246318E-05</v>
      </c>
    </row>
    <row r="46" spans="1:20" ht="12.75">
      <c r="A46" s="33" t="s">
        <v>37</v>
      </c>
      <c r="B46" s="34"/>
      <c r="C46" s="37">
        <v>52156.357</v>
      </c>
      <c r="D46" s="37">
        <v>0.006</v>
      </c>
      <c r="E46" s="30">
        <f t="shared" si="0"/>
        <v>10609.441205009112</v>
      </c>
      <c r="F46">
        <f t="shared" si="1"/>
        <v>10609.5</v>
      </c>
      <c r="G46">
        <f t="shared" si="3"/>
        <v>-0.07731799999601208</v>
      </c>
      <c r="J46">
        <f t="shared" si="7"/>
        <v>-0.07731799999601208</v>
      </c>
      <c r="O46">
        <f t="shared" si="6"/>
        <v>-0.07952578524844976</v>
      </c>
      <c r="Q46" s="2">
        <f t="shared" si="2"/>
        <v>37137.857</v>
      </c>
      <c r="T46">
        <f t="shared" si="5"/>
        <v>4.874315720881336E-06</v>
      </c>
    </row>
    <row r="47" spans="1:20" ht="12.75">
      <c r="A47" s="38" t="s">
        <v>41</v>
      </c>
      <c r="B47" s="39"/>
      <c r="C47" s="40">
        <v>53515.4609</v>
      </c>
      <c r="D47" s="40">
        <v>0.0005</v>
      </c>
      <c r="E47" s="30">
        <f t="shared" si="0"/>
        <v>11642.945711322205</v>
      </c>
      <c r="F47">
        <f t="shared" si="1"/>
        <v>11643</v>
      </c>
      <c r="G47">
        <f t="shared" si="3"/>
        <v>-0.07139200000528945</v>
      </c>
      <c r="J47">
        <f t="shared" si="7"/>
        <v>-0.07139200000528945</v>
      </c>
      <c r="O47">
        <f t="shared" si="6"/>
        <v>-0.07079520241141905</v>
      </c>
      <c r="Q47" s="2">
        <f t="shared" si="2"/>
        <v>38496.9609</v>
      </c>
      <c r="T47">
        <f t="shared" si="5"/>
        <v>3.5616736804949105E-07</v>
      </c>
    </row>
    <row r="48" spans="1:20" ht="12.75">
      <c r="A48" s="39" t="s">
        <v>53</v>
      </c>
      <c r="B48" s="57" t="s">
        <v>33</v>
      </c>
      <c r="C48" s="40">
        <v>54258.467</v>
      </c>
      <c r="D48" s="32">
        <v>0.0003</v>
      </c>
      <c r="E48" s="30">
        <f t="shared" si="0"/>
        <v>12207.950456410581</v>
      </c>
      <c r="F48">
        <f t="shared" si="1"/>
        <v>12208</v>
      </c>
      <c r="G48">
        <f t="shared" si="3"/>
        <v>-0.06515200000285404</v>
      </c>
      <c r="J48">
        <f t="shared" si="7"/>
        <v>-0.06515200000285404</v>
      </c>
      <c r="O48">
        <f t="shared" si="6"/>
        <v>-0.0660223148420699</v>
      </c>
      <c r="Q48" s="2">
        <f t="shared" si="2"/>
        <v>39239.967</v>
      </c>
      <c r="T48">
        <f t="shared" si="5"/>
        <v>7.574479193593291E-07</v>
      </c>
    </row>
    <row r="49" spans="1:20" ht="12.75">
      <c r="A49" s="33" t="s">
        <v>51</v>
      </c>
      <c r="B49" s="36" t="s">
        <v>35</v>
      </c>
      <c r="C49" s="33">
        <v>54509.6397</v>
      </c>
      <c r="D49" s="33">
        <v>0.0007</v>
      </c>
      <c r="E49" s="30">
        <f t="shared" si="0"/>
        <v>12398.94992106728</v>
      </c>
      <c r="F49">
        <f t="shared" si="1"/>
        <v>12399</v>
      </c>
      <c r="G49">
        <f t="shared" si="3"/>
        <v>-0.06585600000107661</v>
      </c>
      <c r="J49">
        <f t="shared" si="7"/>
        <v>-0.06585600000107661</v>
      </c>
      <c r="O49">
        <f t="shared" si="6"/>
        <v>-0.06440882541597133</v>
      </c>
      <c r="Q49" s="2">
        <f t="shared" si="2"/>
        <v>39491.1397</v>
      </c>
      <c r="T49">
        <f t="shared" si="5"/>
        <v>2.094314279774637E-06</v>
      </c>
    </row>
    <row r="50" spans="1:20" ht="12.75">
      <c r="A50" s="33" t="s">
        <v>52</v>
      </c>
      <c r="B50" s="36" t="s">
        <v>35</v>
      </c>
      <c r="C50" s="33">
        <v>55784.584</v>
      </c>
      <c r="D50" s="33">
        <v>0.0008</v>
      </c>
      <c r="E50" s="30">
        <f t="shared" si="0"/>
        <v>13368.456872925926</v>
      </c>
      <c r="F50">
        <f t="shared" si="1"/>
        <v>13368.5</v>
      </c>
      <c r="G50">
        <f t="shared" si="3"/>
        <v>-0.056713999998464715</v>
      </c>
      <c r="J50">
        <f t="shared" si="7"/>
        <v>-0.056713999998464715</v>
      </c>
      <c r="O50">
        <f t="shared" si="6"/>
        <v>-0.05621888825051291</v>
      </c>
      <c r="Q50" s="2">
        <f t="shared" si="2"/>
        <v>40766.084</v>
      </c>
      <c r="T50">
        <f t="shared" si="5"/>
        <v>2.4513564295989083E-07</v>
      </c>
    </row>
    <row r="51" spans="1:17" ht="12.75">
      <c r="A51" s="58" t="s">
        <v>0</v>
      </c>
      <c r="B51" s="59" t="s">
        <v>33</v>
      </c>
      <c r="C51" s="60">
        <v>56516.4128</v>
      </c>
      <c r="D51" s="60">
        <v>0.0005</v>
      </c>
      <c r="E51">
        <f>+(C51-C$7)/C$8</f>
        <v>13924.962054501597</v>
      </c>
      <c r="F51">
        <f t="shared" si="1"/>
        <v>13925</v>
      </c>
      <c r="G51">
        <f>+C51-(C$7+F51*C$8)</f>
        <v>-0.049900000005436596</v>
      </c>
      <c r="K51">
        <f>+G51</f>
        <v>-0.049900000005436596</v>
      </c>
      <c r="O51">
        <f>+C$11+C$12*F51</f>
        <v>-0.05151780518441944</v>
      </c>
      <c r="Q51" s="2">
        <f>+C51-15018.5</f>
        <v>41497.9128</v>
      </c>
    </row>
  </sheetData>
  <sheetProtection/>
  <hyperlinks>
    <hyperlink ref="H63060" r:id="rId1" display="http://vsolj.cetus-net.org/bulletin.html"/>
    <hyperlink ref="H63053" r:id="rId2" display="http://vsolj.cetus-net.org/bulletin.html"/>
    <hyperlink ref="AP550" r:id="rId3" display="http://cdsbib.u-strasbg.fr/cgi-bin/cdsbib?1990RMxAA..21..381G"/>
    <hyperlink ref="AP553" r:id="rId4" display="http://cdsbib.u-strasbg.fr/cgi-bin/cdsbib?1990RMxAA..21..381G"/>
    <hyperlink ref="AP551" r:id="rId5" display="http://cdsbib.u-strasbg.fr/cgi-bin/cdsbib?1990RMxAA..21..381G"/>
    <hyperlink ref="AP529" r:id="rId6" display="http://cdsbib.u-strasbg.fr/cgi-bin/cdsbib?1990RMxAA..21..381G"/>
    <hyperlink ref="I63060" r:id="rId7" display="http://vsolj.cetus-net.org/bulletin.html"/>
    <hyperlink ref="AQ663" r:id="rId8" display="http://cdsbib.u-strasbg.fr/cgi-bin/cdsbib?1990RMxAA..21..381G"/>
    <hyperlink ref="AQ64468" r:id="rId9" display="http://cdsbib.u-strasbg.fr/cgi-bin/cdsbib?1990RMxAA..21..381G"/>
    <hyperlink ref="AQ664" r:id="rId10" display="http://cdsbib.u-strasbg.fr/cgi-bin/cdsbib?1990RMxAA..21..381G"/>
    <hyperlink ref="H63057" r:id="rId11" display="https://www.aavso.org/ejaavso"/>
  </hyperlinks>
  <printOptions/>
  <pageMargins left="0.75" right="0.75" top="1" bottom="1" header="0.5" footer="0.5"/>
  <pageSetup orientation="portrait" paperSize="9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3"/>
  <sheetViews>
    <sheetView zoomScalePageLayoutView="0" workbookViewId="0" topLeftCell="A1">
      <selection activeCell="A23" sqref="A23:C38"/>
    </sheetView>
  </sheetViews>
  <sheetFormatPr defaultColWidth="9.140625" defaultRowHeight="12.75"/>
  <cols>
    <col min="1" max="1" width="19.7109375" style="42" customWidth="1"/>
    <col min="2" max="2" width="4.421875" style="12" customWidth="1"/>
    <col min="3" max="3" width="12.7109375" style="42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42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1" t="s">
        <v>56</v>
      </c>
      <c r="I1" s="43" t="s">
        <v>57</v>
      </c>
      <c r="J1" s="44" t="s">
        <v>58</v>
      </c>
    </row>
    <row r="2" spans="9:10" ht="12.75">
      <c r="I2" s="45" t="s">
        <v>38</v>
      </c>
      <c r="J2" s="46" t="s">
        <v>59</v>
      </c>
    </row>
    <row r="3" spans="1:10" ht="12.75">
      <c r="A3" s="47" t="s">
        <v>60</v>
      </c>
      <c r="I3" s="45" t="s">
        <v>61</v>
      </c>
      <c r="J3" s="46" t="s">
        <v>62</v>
      </c>
    </row>
    <row r="4" spans="9:10" ht="12.75">
      <c r="I4" s="45" t="s">
        <v>63</v>
      </c>
      <c r="J4" s="46" t="s">
        <v>62</v>
      </c>
    </row>
    <row r="5" spans="9:10" ht="13.5" thickBot="1">
      <c r="I5" s="48" t="s">
        <v>64</v>
      </c>
      <c r="J5" s="49" t="s">
        <v>65</v>
      </c>
    </row>
    <row r="10" ht="13.5" thickBot="1"/>
    <row r="11" spans="1:16" ht="12.75" customHeight="1" thickBot="1">
      <c r="A11" s="42" t="str">
        <f aca="true" t="shared" si="0" ref="A11:A38">P11</f>
        <v> RIA 7.16.459 </v>
      </c>
      <c r="B11" s="5" t="str">
        <f aca="true" t="shared" si="1" ref="B11:B38">IF(H11=INT(H11),"I","II")</f>
        <v>I</v>
      </c>
      <c r="C11" s="42">
        <f aca="true" t="shared" si="2" ref="C11:C38">1*G11</f>
        <v>38204.475</v>
      </c>
      <c r="D11" s="12" t="str">
        <f aca="true" t="shared" si="3" ref="D11:D38">VLOOKUP(F11,I$1:J$5,2,FALSE)</f>
        <v>vis</v>
      </c>
      <c r="E11" s="50">
        <f>VLOOKUP(C11,A!C$21:E$973,3,FALSE)</f>
        <v>0</v>
      </c>
      <c r="F11" s="5" t="s">
        <v>64</v>
      </c>
      <c r="G11" s="12" t="str">
        <f aca="true" t="shared" si="4" ref="G11:G38">MID(I11,3,LEN(I11)-3)</f>
        <v>38204.475</v>
      </c>
      <c r="H11" s="42">
        <f aca="true" t="shared" si="5" ref="H11:H38">1*K11</f>
        <v>0</v>
      </c>
      <c r="I11" s="51" t="s">
        <v>84</v>
      </c>
      <c r="J11" s="52" t="s">
        <v>85</v>
      </c>
      <c r="K11" s="51">
        <v>0</v>
      </c>
      <c r="L11" s="51" t="s">
        <v>86</v>
      </c>
      <c r="M11" s="52" t="s">
        <v>69</v>
      </c>
      <c r="N11" s="52"/>
      <c r="O11" s="53" t="s">
        <v>70</v>
      </c>
      <c r="P11" s="53" t="s">
        <v>71</v>
      </c>
    </row>
    <row r="12" spans="1:16" ht="12.75" customHeight="1" thickBot="1">
      <c r="A12" s="42" t="str">
        <f t="shared" si="0"/>
        <v>IBVS 4887 </v>
      </c>
      <c r="B12" s="5" t="str">
        <f t="shared" si="1"/>
        <v>I</v>
      </c>
      <c r="C12" s="42">
        <f t="shared" si="2"/>
        <v>50643.3897</v>
      </c>
      <c r="D12" s="12" t="str">
        <f t="shared" si="3"/>
        <v>vis</v>
      </c>
      <c r="E12" s="50">
        <f>VLOOKUP(C12,A!C$21:E$973,3,FALSE)</f>
        <v>9458.934225774956</v>
      </c>
      <c r="F12" s="5" t="s">
        <v>64</v>
      </c>
      <c r="G12" s="12" t="str">
        <f t="shared" si="4"/>
        <v>50643.3897</v>
      </c>
      <c r="H12" s="42">
        <f t="shared" si="5"/>
        <v>14820</v>
      </c>
      <c r="I12" s="51" t="s">
        <v>118</v>
      </c>
      <c r="J12" s="52" t="s">
        <v>119</v>
      </c>
      <c r="K12" s="51">
        <v>14820</v>
      </c>
      <c r="L12" s="51" t="s">
        <v>120</v>
      </c>
      <c r="M12" s="52" t="s">
        <v>121</v>
      </c>
      <c r="N12" s="52" t="s">
        <v>122</v>
      </c>
      <c r="O12" s="53" t="s">
        <v>123</v>
      </c>
      <c r="P12" s="54" t="s">
        <v>124</v>
      </c>
    </row>
    <row r="13" spans="1:16" ht="12.75" customHeight="1" thickBot="1">
      <c r="A13" s="42" t="str">
        <f t="shared" si="0"/>
        <v>IBVS 4888 </v>
      </c>
      <c r="B13" s="5" t="str">
        <f t="shared" si="1"/>
        <v>II</v>
      </c>
      <c r="C13" s="42">
        <f t="shared" si="2"/>
        <v>50927.4432</v>
      </c>
      <c r="D13" s="12" t="str">
        <f t="shared" si="3"/>
        <v>vis</v>
      </c>
      <c r="E13" s="50">
        <f>VLOOKUP(C13,A!C$21:E$973,3,FALSE)</f>
        <v>9674.937264456552</v>
      </c>
      <c r="F13" s="5" t="s">
        <v>64</v>
      </c>
      <c r="G13" s="12" t="str">
        <f t="shared" si="4"/>
        <v>50927.4432</v>
      </c>
      <c r="H13" s="42">
        <f t="shared" si="5"/>
        <v>15158.5</v>
      </c>
      <c r="I13" s="51" t="s">
        <v>125</v>
      </c>
      <c r="J13" s="52" t="s">
        <v>126</v>
      </c>
      <c r="K13" s="51">
        <v>15158.5</v>
      </c>
      <c r="L13" s="51" t="s">
        <v>127</v>
      </c>
      <c r="M13" s="52" t="s">
        <v>121</v>
      </c>
      <c r="N13" s="52" t="s">
        <v>122</v>
      </c>
      <c r="O13" s="53" t="s">
        <v>123</v>
      </c>
      <c r="P13" s="54" t="s">
        <v>128</v>
      </c>
    </row>
    <row r="14" spans="1:16" ht="12.75" customHeight="1" thickBot="1">
      <c r="A14" s="42" t="str">
        <f t="shared" si="0"/>
        <v>IBVS 5263 </v>
      </c>
      <c r="B14" s="5" t="str">
        <f t="shared" si="1"/>
        <v>I</v>
      </c>
      <c r="C14" s="42">
        <f t="shared" si="2"/>
        <v>51399.5437</v>
      </c>
      <c r="D14" s="12" t="str">
        <f t="shared" si="3"/>
        <v>vis</v>
      </c>
      <c r="E14" s="50">
        <f>VLOOKUP(C14,A!C$21:E$973,3,FALSE)</f>
        <v>10033.937039369026</v>
      </c>
      <c r="F14" s="5" t="s">
        <v>64</v>
      </c>
      <c r="G14" s="12" t="str">
        <f t="shared" si="4"/>
        <v>51399.5437</v>
      </c>
      <c r="H14" s="42">
        <f t="shared" si="5"/>
        <v>15721</v>
      </c>
      <c r="I14" s="51" t="s">
        <v>134</v>
      </c>
      <c r="J14" s="52" t="s">
        <v>135</v>
      </c>
      <c r="K14" s="51">
        <v>15721</v>
      </c>
      <c r="L14" s="51" t="s">
        <v>136</v>
      </c>
      <c r="M14" s="52" t="s">
        <v>121</v>
      </c>
      <c r="N14" s="52" t="s">
        <v>122</v>
      </c>
      <c r="O14" s="53" t="s">
        <v>137</v>
      </c>
      <c r="P14" s="54" t="s">
        <v>138</v>
      </c>
    </row>
    <row r="15" spans="1:16" ht="12.75" customHeight="1" thickBot="1">
      <c r="A15" s="42" t="str">
        <f t="shared" si="0"/>
        <v>OEJV 0074 </v>
      </c>
      <c r="B15" s="5" t="str">
        <f t="shared" si="1"/>
        <v>I</v>
      </c>
      <c r="C15" s="42">
        <f t="shared" si="2"/>
        <v>51699.37575</v>
      </c>
      <c r="D15" s="12" t="str">
        <f t="shared" si="3"/>
        <v>vis</v>
      </c>
      <c r="E15" s="50">
        <f>VLOOKUP(C15,A!C$21:E$973,3,FALSE)</f>
        <v>10261.938573918438</v>
      </c>
      <c r="F15" s="5" t="s">
        <v>64</v>
      </c>
      <c r="G15" s="12" t="str">
        <f t="shared" si="4"/>
        <v>51699.37575</v>
      </c>
      <c r="H15" s="42">
        <f t="shared" si="5"/>
        <v>16078</v>
      </c>
      <c r="I15" s="51" t="s">
        <v>139</v>
      </c>
      <c r="J15" s="52" t="s">
        <v>140</v>
      </c>
      <c r="K15" s="51">
        <v>16078</v>
      </c>
      <c r="L15" s="51" t="s">
        <v>141</v>
      </c>
      <c r="M15" s="52" t="s">
        <v>142</v>
      </c>
      <c r="N15" s="52" t="s">
        <v>143</v>
      </c>
      <c r="O15" s="53" t="s">
        <v>144</v>
      </c>
      <c r="P15" s="54" t="s">
        <v>145</v>
      </c>
    </row>
    <row r="16" spans="1:16" ht="12.75" customHeight="1" thickBot="1">
      <c r="A16" s="42" t="str">
        <f t="shared" si="0"/>
        <v>BAVM 152 </v>
      </c>
      <c r="B16" s="5" t="str">
        <f t="shared" si="1"/>
        <v>II</v>
      </c>
      <c r="C16" s="42">
        <f t="shared" si="2"/>
        <v>52096.5163</v>
      </c>
      <c r="D16" s="12" t="str">
        <f t="shared" si="3"/>
        <v>vis</v>
      </c>
      <c r="E16" s="50">
        <f>VLOOKUP(C16,A!C$21:E$973,3,FALSE)</f>
        <v>10563.93649185883</v>
      </c>
      <c r="F16" s="5" t="s">
        <v>64</v>
      </c>
      <c r="G16" s="12" t="str">
        <f t="shared" si="4"/>
        <v>52096.5163</v>
      </c>
      <c r="H16" s="42">
        <f t="shared" si="5"/>
        <v>16551.5</v>
      </c>
      <c r="I16" s="51" t="s">
        <v>146</v>
      </c>
      <c r="J16" s="52" t="s">
        <v>147</v>
      </c>
      <c r="K16" s="51">
        <v>16551.5</v>
      </c>
      <c r="L16" s="51" t="s">
        <v>148</v>
      </c>
      <c r="M16" s="52" t="s">
        <v>121</v>
      </c>
      <c r="N16" s="52" t="s">
        <v>143</v>
      </c>
      <c r="O16" s="53" t="s">
        <v>149</v>
      </c>
      <c r="P16" s="54" t="s">
        <v>150</v>
      </c>
    </row>
    <row r="17" spans="1:16" ht="12.75" customHeight="1" thickBot="1">
      <c r="A17" s="42" t="str">
        <f t="shared" si="0"/>
        <v>BAVM 152 </v>
      </c>
      <c r="B17" s="5" t="str">
        <f t="shared" si="1"/>
        <v>II</v>
      </c>
      <c r="C17" s="42">
        <f t="shared" si="2"/>
        <v>52129.3928</v>
      </c>
      <c r="D17" s="12" t="str">
        <f t="shared" si="3"/>
        <v>vis</v>
      </c>
      <c r="E17" s="50">
        <f>VLOOKUP(C17,A!C$21:E$973,3,FALSE)</f>
        <v>10588.936796031161</v>
      </c>
      <c r="F17" s="5" t="s">
        <v>64</v>
      </c>
      <c r="G17" s="12" t="str">
        <f t="shared" si="4"/>
        <v>52129.3928</v>
      </c>
      <c r="H17" s="42">
        <f t="shared" si="5"/>
        <v>16590.5</v>
      </c>
      <c r="I17" s="51" t="s">
        <v>151</v>
      </c>
      <c r="J17" s="52" t="s">
        <v>152</v>
      </c>
      <c r="K17" s="51">
        <v>16590.5</v>
      </c>
      <c r="L17" s="51" t="s">
        <v>153</v>
      </c>
      <c r="M17" s="52" t="s">
        <v>121</v>
      </c>
      <c r="N17" s="52" t="s">
        <v>143</v>
      </c>
      <c r="O17" s="53" t="s">
        <v>149</v>
      </c>
      <c r="P17" s="54" t="s">
        <v>150</v>
      </c>
    </row>
    <row r="18" spans="1:16" ht="12.75" customHeight="1" thickBot="1">
      <c r="A18" s="42" t="str">
        <f t="shared" si="0"/>
        <v>BAVM 152 </v>
      </c>
      <c r="B18" s="5" t="str">
        <f t="shared" si="1"/>
        <v>II</v>
      </c>
      <c r="C18" s="42">
        <f t="shared" si="2"/>
        <v>52156.357</v>
      </c>
      <c r="D18" s="12" t="str">
        <f t="shared" si="3"/>
        <v>vis</v>
      </c>
      <c r="E18" s="50">
        <f>VLOOKUP(C18,A!C$21:E$973,3,FALSE)</f>
        <v>10609.441205009112</v>
      </c>
      <c r="F18" s="5" t="s">
        <v>64</v>
      </c>
      <c r="G18" s="12" t="str">
        <f t="shared" si="4"/>
        <v>52156.357</v>
      </c>
      <c r="H18" s="42">
        <f t="shared" si="5"/>
        <v>16622.5</v>
      </c>
      <c r="I18" s="51" t="s">
        <v>154</v>
      </c>
      <c r="J18" s="52" t="s">
        <v>155</v>
      </c>
      <c r="K18" s="51">
        <v>16622.5</v>
      </c>
      <c r="L18" s="51" t="s">
        <v>156</v>
      </c>
      <c r="M18" s="52" t="s">
        <v>121</v>
      </c>
      <c r="N18" s="52" t="s">
        <v>143</v>
      </c>
      <c r="O18" s="53" t="s">
        <v>149</v>
      </c>
      <c r="P18" s="54" t="s">
        <v>150</v>
      </c>
    </row>
    <row r="19" spans="1:16" ht="12.75" customHeight="1" thickBot="1">
      <c r="A19" s="42" t="str">
        <f t="shared" si="0"/>
        <v>BAVM 178 </v>
      </c>
      <c r="B19" s="5" t="str">
        <f t="shared" si="1"/>
        <v>I</v>
      </c>
      <c r="C19" s="42">
        <f t="shared" si="2"/>
        <v>53515.4609</v>
      </c>
      <c r="D19" s="12" t="str">
        <f t="shared" si="3"/>
        <v>vis</v>
      </c>
      <c r="E19" s="50">
        <f>VLOOKUP(C19,A!C$21:E$973,3,FALSE)</f>
        <v>11642.945711322205</v>
      </c>
      <c r="F19" s="5" t="s">
        <v>64</v>
      </c>
      <c r="G19" s="12" t="str">
        <f t="shared" si="4"/>
        <v>53515.4609</v>
      </c>
      <c r="H19" s="42">
        <f t="shared" si="5"/>
        <v>18242</v>
      </c>
      <c r="I19" s="51" t="s">
        <v>157</v>
      </c>
      <c r="J19" s="52" t="s">
        <v>158</v>
      </c>
      <c r="K19" s="51">
        <v>18242</v>
      </c>
      <c r="L19" s="51" t="s">
        <v>159</v>
      </c>
      <c r="M19" s="52" t="s">
        <v>142</v>
      </c>
      <c r="N19" s="52" t="s">
        <v>160</v>
      </c>
      <c r="O19" s="53" t="s">
        <v>161</v>
      </c>
      <c r="P19" s="54" t="s">
        <v>162</v>
      </c>
    </row>
    <row r="20" spans="1:16" ht="12.75" customHeight="1" thickBot="1">
      <c r="A20" s="42" t="str">
        <f t="shared" si="0"/>
        <v>BAVM 234 </v>
      </c>
      <c r="B20" s="5" t="str">
        <f t="shared" si="1"/>
        <v>I</v>
      </c>
      <c r="C20" s="42">
        <f t="shared" si="2"/>
        <v>54258.467</v>
      </c>
      <c r="D20" s="12" t="str">
        <f t="shared" si="3"/>
        <v>vis</v>
      </c>
      <c r="E20" s="50">
        <f>VLOOKUP(C20,A!C$21:E$973,3,FALSE)</f>
        <v>12207.950456410581</v>
      </c>
      <c r="F20" s="5" t="s">
        <v>64</v>
      </c>
      <c r="G20" s="12" t="str">
        <f t="shared" si="4"/>
        <v>54258.467</v>
      </c>
      <c r="H20" s="42">
        <f t="shared" si="5"/>
        <v>19127</v>
      </c>
      <c r="I20" s="51" t="s">
        <v>163</v>
      </c>
      <c r="J20" s="52" t="s">
        <v>164</v>
      </c>
      <c r="K20" s="51" t="s">
        <v>165</v>
      </c>
      <c r="L20" s="51" t="s">
        <v>166</v>
      </c>
      <c r="M20" s="52" t="s">
        <v>142</v>
      </c>
      <c r="N20" s="52" t="s">
        <v>143</v>
      </c>
      <c r="O20" s="53" t="s">
        <v>167</v>
      </c>
      <c r="P20" s="54" t="s">
        <v>168</v>
      </c>
    </row>
    <row r="21" spans="1:16" ht="12.75" customHeight="1" thickBot="1">
      <c r="A21" s="42" t="str">
        <f t="shared" si="0"/>
        <v>BAVM 209 </v>
      </c>
      <c r="B21" s="5" t="str">
        <f t="shared" si="1"/>
        <v>I</v>
      </c>
      <c r="C21" s="42">
        <f t="shared" si="2"/>
        <v>54509.6397</v>
      </c>
      <c r="D21" s="12" t="str">
        <f t="shared" si="3"/>
        <v>vis</v>
      </c>
      <c r="E21" s="50">
        <f>VLOOKUP(C21,A!C$21:E$973,3,FALSE)</f>
        <v>12398.94992106728</v>
      </c>
      <c r="F21" s="5" t="s">
        <v>64</v>
      </c>
      <c r="G21" s="12" t="str">
        <f t="shared" si="4"/>
        <v>54509.6397</v>
      </c>
      <c r="H21" s="42">
        <f t="shared" si="5"/>
        <v>19426</v>
      </c>
      <c r="I21" s="51" t="s">
        <v>169</v>
      </c>
      <c r="J21" s="52" t="s">
        <v>170</v>
      </c>
      <c r="K21" s="51" t="s">
        <v>171</v>
      </c>
      <c r="L21" s="51" t="s">
        <v>172</v>
      </c>
      <c r="M21" s="52" t="s">
        <v>142</v>
      </c>
      <c r="N21" s="52" t="s">
        <v>143</v>
      </c>
      <c r="O21" s="53" t="s">
        <v>167</v>
      </c>
      <c r="P21" s="54" t="s">
        <v>173</v>
      </c>
    </row>
    <row r="22" spans="1:16" ht="12.75" customHeight="1" thickBot="1">
      <c r="A22" s="42" t="str">
        <f t="shared" si="0"/>
        <v>BAVM 220 </v>
      </c>
      <c r="B22" s="5" t="str">
        <f t="shared" si="1"/>
        <v>I</v>
      </c>
      <c r="C22" s="42">
        <f t="shared" si="2"/>
        <v>55784.584</v>
      </c>
      <c r="D22" s="12" t="str">
        <f t="shared" si="3"/>
        <v>vis</v>
      </c>
      <c r="E22" s="50">
        <f>VLOOKUP(C22,A!C$21:E$973,3,FALSE)</f>
        <v>13368.456872925926</v>
      </c>
      <c r="F22" s="5" t="s">
        <v>64</v>
      </c>
      <c r="G22" s="12" t="str">
        <f t="shared" si="4"/>
        <v>55784.5840</v>
      </c>
      <c r="H22" s="42">
        <f t="shared" si="5"/>
        <v>20945</v>
      </c>
      <c r="I22" s="51" t="s">
        <v>174</v>
      </c>
      <c r="J22" s="52" t="s">
        <v>175</v>
      </c>
      <c r="K22" s="51" t="s">
        <v>176</v>
      </c>
      <c r="L22" s="51" t="s">
        <v>177</v>
      </c>
      <c r="M22" s="52" t="s">
        <v>142</v>
      </c>
      <c r="N22" s="52" t="s">
        <v>160</v>
      </c>
      <c r="O22" s="53" t="s">
        <v>149</v>
      </c>
      <c r="P22" s="54" t="s">
        <v>178</v>
      </c>
    </row>
    <row r="23" spans="1:16" ht="12.75" customHeight="1" thickBot="1">
      <c r="A23" s="42" t="str">
        <f t="shared" si="0"/>
        <v> RIA 7.16.459 </v>
      </c>
      <c r="B23" s="5" t="str">
        <f t="shared" si="1"/>
        <v>I</v>
      </c>
      <c r="C23" s="42">
        <f t="shared" si="2"/>
        <v>33149.42</v>
      </c>
      <c r="D23" s="12" t="str">
        <f t="shared" si="3"/>
        <v>vis</v>
      </c>
      <c r="E23" s="50">
        <f>VLOOKUP(C23,A!C$21:E$973,3,FALSE)</f>
        <v>-3844.019667782979</v>
      </c>
      <c r="F23" s="5" t="s">
        <v>64</v>
      </c>
      <c r="G23" s="12" t="str">
        <f t="shared" si="4"/>
        <v>33149.420</v>
      </c>
      <c r="H23" s="42">
        <f t="shared" si="5"/>
        <v>-6025</v>
      </c>
      <c r="I23" s="51" t="s">
        <v>66</v>
      </c>
      <c r="J23" s="52" t="s">
        <v>67</v>
      </c>
      <c r="K23" s="51">
        <v>-6025</v>
      </c>
      <c r="L23" s="51" t="s">
        <v>68</v>
      </c>
      <c r="M23" s="52" t="s">
        <v>69</v>
      </c>
      <c r="N23" s="52"/>
      <c r="O23" s="53" t="s">
        <v>70</v>
      </c>
      <c r="P23" s="53" t="s">
        <v>71</v>
      </c>
    </row>
    <row r="24" spans="1:16" ht="12.75" customHeight="1" thickBot="1">
      <c r="A24" s="42" t="str">
        <f t="shared" si="0"/>
        <v> RIA 7.16.459 </v>
      </c>
      <c r="B24" s="5" t="str">
        <f t="shared" si="1"/>
        <v>I</v>
      </c>
      <c r="C24" s="42">
        <f t="shared" si="2"/>
        <v>33504.502</v>
      </c>
      <c r="D24" s="12" t="str">
        <f t="shared" si="3"/>
        <v>vis</v>
      </c>
      <c r="E24" s="50">
        <f>VLOOKUP(C24,A!C$21:E$973,3,FALSE)</f>
        <v>-3574.004367914684</v>
      </c>
      <c r="F24" s="5" t="s">
        <v>64</v>
      </c>
      <c r="G24" s="12" t="str">
        <f t="shared" si="4"/>
        <v>33504.502</v>
      </c>
      <c r="H24" s="42">
        <f t="shared" si="5"/>
        <v>-5602</v>
      </c>
      <c r="I24" s="51" t="s">
        <v>72</v>
      </c>
      <c r="J24" s="52" t="s">
        <v>73</v>
      </c>
      <c r="K24" s="51">
        <v>-5602</v>
      </c>
      <c r="L24" s="51" t="s">
        <v>74</v>
      </c>
      <c r="M24" s="52" t="s">
        <v>69</v>
      </c>
      <c r="N24" s="52"/>
      <c r="O24" s="53" t="s">
        <v>70</v>
      </c>
      <c r="P24" s="53" t="s">
        <v>71</v>
      </c>
    </row>
    <row r="25" spans="1:16" ht="12.75" customHeight="1" thickBot="1">
      <c r="A25" s="42" t="str">
        <f t="shared" si="0"/>
        <v> RIA 7.16.459 </v>
      </c>
      <c r="B25" s="5" t="str">
        <f t="shared" si="1"/>
        <v>I</v>
      </c>
      <c r="C25" s="42">
        <f t="shared" si="2"/>
        <v>33738.599</v>
      </c>
      <c r="D25" s="12" t="str">
        <f t="shared" si="3"/>
        <v>vis</v>
      </c>
      <c r="E25" s="50">
        <f>VLOOKUP(C25,A!C$21:E$973,3,FALSE)</f>
        <v>-3395.9897919765394</v>
      </c>
      <c r="F25" s="5" t="s">
        <v>64</v>
      </c>
      <c r="G25" s="12" t="str">
        <f t="shared" si="4"/>
        <v>33738.599</v>
      </c>
      <c r="H25" s="42">
        <f t="shared" si="5"/>
        <v>-5323</v>
      </c>
      <c r="I25" s="51" t="s">
        <v>75</v>
      </c>
      <c r="J25" s="52" t="s">
        <v>76</v>
      </c>
      <c r="K25" s="51">
        <v>-5323</v>
      </c>
      <c r="L25" s="51" t="s">
        <v>77</v>
      </c>
      <c r="M25" s="52" t="s">
        <v>69</v>
      </c>
      <c r="N25" s="52"/>
      <c r="O25" s="53" t="s">
        <v>70</v>
      </c>
      <c r="P25" s="53" t="s">
        <v>71</v>
      </c>
    </row>
    <row r="26" spans="1:16" ht="12.75" customHeight="1" thickBot="1">
      <c r="A26" s="42" t="str">
        <f t="shared" si="0"/>
        <v> RIA 7.16.459 </v>
      </c>
      <c r="B26" s="5" t="str">
        <f t="shared" si="1"/>
        <v>I</v>
      </c>
      <c r="C26" s="42">
        <f t="shared" si="2"/>
        <v>37870.421</v>
      </c>
      <c r="D26" s="12" t="str">
        <f t="shared" si="3"/>
        <v>vis</v>
      </c>
      <c r="E26" s="50">
        <f>VLOOKUP(C26,A!C$21:E$973,3,FALSE)</f>
        <v>-254.02496038155104</v>
      </c>
      <c r="F26" s="5" t="s">
        <v>64</v>
      </c>
      <c r="G26" s="12" t="str">
        <f t="shared" si="4"/>
        <v>37870.421</v>
      </c>
      <c r="H26" s="42">
        <f t="shared" si="5"/>
        <v>-398</v>
      </c>
      <c r="I26" s="51" t="s">
        <v>78</v>
      </c>
      <c r="J26" s="52" t="s">
        <v>79</v>
      </c>
      <c r="K26" s="51">
        <v>-398</v>
      </c>
      <c r="L26" s="51" t="s">
        <v>80</v>
      </c>
      <c r="M26" s="52" t="s">
        <v>69</v>
      </c>
      <c r="N26" s="52"/>
      <c r="O26" s="53" t="s">
        <v>70</v>
      </c>
      <c r="P26" s="53" t="s">
        <v>71</v>
      </c>
    </row>
    <row r="27" spans="1:16" ht="12.75" customHeight="1" thickBot="1">
      <c r="A27" s="42" t="str">
        <f t="shared" si="0"/>
        <v> RIA 7.16.459 </v>
      </c>
      <c r="B27" s="5" t="str">
        <f t="shared" si="1"/>
        <v>II</v>
      </c>
      <c r="C27" s="42">
        <f t="shared" si="2"/>
        <v>37878.391</v>
      </c>
      <c r="D27" s="12" t="str">
        <f t="shared" si="3"/>
        <v>vis</v>
      </c>
      <c r="E27" s="50">
        <f>VLOOKUP(C27,A!C$21:E$973,3,FALSE)</f>
        <v>-247.96432666891394</v>
      </c>
      <c r="F27" s="5" t="s">
        <v>64</v>
      </c>
      <c r="G27" s="12" t="str">
        <f t="shared" si="4"/>
        <v>37878.391</v>
      </c>
      <c r="H27" s="42">
        <f t="shared" si="5"/>
        <v>-388.5</v>
      </c>
      <c r="I27" s="51" t="s">
        <v>81</v>
      </c>
      <c r="J27" s="52" t="s">
        <v>82</v>
      </c>
      <c r="K27" s="51">
        <v>-388.5</v>
      </c>
      <c r="L27" s="51" t="s">
        <v>83</v>
      </c>
      <c r="M27" s="52" t="s">
        <v>69</v>
      </c>
      <c r="N27" s="52"/>
      <c r="O27" s="53" t="s">
        <v>70</v>
      </c>
      <c r="P27" s="53" t="s">
        <v>71</v>
      </c>
    </row>
    <row r="28" spans="1:16" ht="12.75" customHeight="1" thickBot="1">
      <c r="A28" s="42" t="str">
        <f t="shared" si="0"/>
        <v> BRNO 30.47 </v>
      </c>
      <c r="B28" s="5" t="str">
        <f t="shared" si="1"/>
        <v>I</v>
      </c>
      <c r="C28" s="42">
        <f t="shared" si="2"/>
        <v>38671.322</v>
      </c>
      <c r="D28" s="12" t="str">
        <f t="shared" si="3"/>
        <v>vis</v>
      </c>
      <c r="E28" s="50">
        <f>VLOOKUP(C28,A!C$21:E$973,3,FALSE)</f>
        <v>355.0048515486946</v>
      </c>
      <c r="F28" s="5" t="s">
        <v>64</v>
      </c>
      <c r="G28" s="12" t="str">
        <f t="shared" si="4"/>
        <v>38671.322</v>
      </c>
      <c r="H28" s="42">
        <f t="shared" si="5"/>
        <v>556</v>
      </c>
      <c r="I28" s="51" t="s">
        <v>87</v>
      </c>
      <c r="J28" s="52" t="s">
        <v>88</v>
      </c>
      <c r="K28" s="51">
        <v>556</v>
      </c>
      <c r="L28" s="51" t="s">
        <v>89</v>
      </c>
      <c r="M28" s="52" t="s">
        <v>69</v>
      </c>
      <c r="N28" s="52"/>
      <c r="O28" s="53" t="s">
        <v>90</v>
      </c>
      <c r="P28" s="53" t="s">
        <v>91</v>
      </c>
    </row>
    <row r="29" spans="1:16" ht="12.75" customHeight="1" thickBot="1">
      <c r="A29" s="42" t="str">
        <f t="shared" si="0"/>
        <v> BRNO 30.47 </v>
      </c>
      <c r="B29" s="5" t="str">
        <f t="shared" si="1"/>
        <v>II</v>
      </c>
      <c r="C29" s="42">
        <f t="shared" si="2"/>
        <v>39055.285</v>
      </c>
      <c r="D29" s="12" t="str">
        <f t="shared" si="3"/>
        <v>vis</v>
      </c>
      <c r="E29" s="50">
        <f>VLOOKUP(C29,A!C$21:E$973,3,FALSE)</f>
        <v>646.9821542092925</v>
      </c>
      <c r="F29" s="5" t="s">
        <v>64</v>
      </c>
      <c r="G29" s="12" t="str">
        <f t="shared" si="4"/>
        <v>39055.285</v>
      </c>
      <c r="H29" s="42">
        <f t="shared" si="5"/>
        <v>1013.5</v>
      </c>
      <c r="I29" s="51" t="s">
        <v>92</v>
      </c>
      <c r="J29" s="52" t="s">
        <v>93</v>
      </c>
      <c r="K29" s="51">
        <v>1013.5</v>
      </c>
      <c r="L29" s="51" t="s">
        <v>94</v>
      </c>
      <c r="M29" s="52" t="s">
        <v>69</v>
      </c>
      <c r="N29" s="52"/>
      <c r="O29" s="53" t="s">
        <v>90</v>
      </c>
      <c r="P29" s="53" t="s">
        <v>91</v>
      </c>
    </row>
    <row r="30" spans="1:16" ht="12.75" customHeight="1" thickBot="1">
      <c r="A30" s="42" t="str">
        <f t="shared" si="0"/>
        <v> BRNO 30.47 </v>
      </c>
      <c r="B30" s="5" t="str">
        <f t="shared" si="1"/>
        <v>II</v>
      </c>
      <c r="C30" s="42">
        <f t="shared" si="2"/>
        <v>40354.506</v>
      </c>
      <c r="D30" s="12" t="str">
        <f t="shared" si="3"/>
        <v>vis</v>
      </c>
      <c r="E30" s="50">
        <f>VLOOKUP(C30,A!C$21:E$973,3,FALSE)</f>
        <v>1634.9498571910922</v>
      </c>
      <c r="F30" s="5" t="s">
        <v>64</v>
      </c>
      <c r="G30" s="12" t="str">
        <f t="shared" si="4"/>
        <v>40354.506</v>
      </c>
      <c r="H30" s="42">
        <f t="shared" si="5"/>
        <v>2561.5</v>
      </c>
      <c r="I30" s="51" t="s">
        <v>95</v>
      </c>
      <c r="J30" s="52" t="s">
        <v>96</v>
      </c>
      <c r="K30" s="51">
        <v>2561.5</v>
      </c>
      <c r="L30" s="51" t="s">
        <v>83</v>
      </c>
      <c r="M30" s="52" t="s">
        <v>69</v>
      </c>
      <c r="N30" s="52"/>
      <c r="O30" s="53" t="s">
        <v>90</v>
      </c>
      <c r="P30" s="53" t="s">
        <v>91</v>
      </c>
    </row>
    <row r="31" spans="1:16" ht="12.75" customHeight="1" thickBot="1">
      <c r="A31" s="42" t="str">
        <f t="shared" si="0"/>
        <v> BRNO 30.47 </v>
      </c>
      <c r="B31" s="5" t="str">
        <f t="shared" si="1"/>
        <v>II</v>
      </c>
      <c r="C31" s="42">
        <f t="shared" si="2"/>
        <v>47329.468</v>
      </c>
      <c r="D31" s="12" t="str">
        <f t="shared" si="3"/>
        <v>vis</v>
      </c>
      <c r="E31" s="50">
        <f>VLOOKUP(C31,A!C$21:E$973,3,FALSE)</f>
        <v>6938.9259979133785</v>
      </c>
      <c r="F31" s="5" t="s">
        <v>64</v>
      </c>
      <c r="G31" s="12" t="str">
        <f t="shared" si="4"/>
        <v>47329.468</v>
      </c>
      <c r="H31" s="42">
        <f t="shared" si="5"/>
        <v>10871.5</v>
      </c>
      <c r="I31" s="51" t="s">
        <v>97</v>
      </c>
      <c r="J31" s="52" t="s">
        <v>98</v>
      </c>
      <c r="K31" s="51">
        <v>10871.5</v>
      </c>
      <c r="L31" s="51" t="s">
        <v>99</v>
      </c>
      <c r="M31" s="52" t="s">
        <v>69</v>
      </c>
      <c r="N31" s="52"/>
      <c r="O31" s="53" t="s">
        <v>90</v>
      </c>
      <c r="P31" s="53" t="s">
        <v>91</v>
      </c>
    </row>
    <row r="32" spans="1:16" ht="12.75" customHeight="1" thickBot="1">
      <c r="A32" s="42" t="str">
        <f t="shared" si="0"/>
        <v> BRNO 30.47 </v>
      </c>
      <c r="B32" s="5" t="str">
        <f t="shared" si="1"/>
        <v>I</v>
      </c>
      <c r="C32" s="42">
        <f t="shared" si="2"/>
        <v>47379.462</v>
      </c>
      <c r="D32" s="12" t="str">
        <f t="shared" si="3"/>
        <v>vis</v>
      </c>
      <c r="E32" s="50">
        <f>VLOOKUP(C32,A!C$21:E$973,3,FALSE)</f>
        <v>6976.942976812943</v>
      </c>
      <c r="F32" s="5" t="s">
        <v>64</v>
      </c>
      <c r="G32" s="12" t="str">
        <f t="shared" si="4"/>
        <v>47379.462</v>
      </c>
      <c r="H32" s="42">
        <f t="shared" si="5"/>
        <v>10931</v>
      </c>
      <c r="I32" s="51" t="s">
        <v>100</v>
      </c>
      <c r="J32" s="52" t="s">
        <v>101</v>
      </c>
      <c r="K32" s="51">
        <v>10931</v>
      </c>
      <c r="L32" s="51" t="s">
        <v>102</v>
      </c>
      <c r="M32" s="52" t="s">
        <v>69</v>
      </c>
      <c r="N32" s="52"/>
      <c r="O32" s="53" t="s">
        <v>90</v>
      </c>
      <c r="P32" s="53" t="s">
        <v>91</v>
      </c>
    </row>
    <row r="33" spans="1:16" ht="12.75" customHeight="1" thickBot="1">
      <c r="A33" s="42" t="str">
        <f t="shared" si="0"/>
        <v> BRNO 30.47 </v>
      </c>
      <c r="B33" s="5" t="str">
        <f t="shared" si="1"/>
        <v>II</v>
      </c>
      <c r="C33" s="42">
        <f t="shared" si="2"/>
        <v>47445.246</v>
      </c>
      <c r="D33" s="12" t="str">
        <f t="shared" si="3"/>
        <v>vis</v>
      </c>
      <c r="E33" s="50">
        <f>VLOOKUP(C33,A!C$21:E$973,3,FALSE)</f>
        <v>7026.967158513327</v>
      </c>
      <c r="F33" s="5" t="s">
        <v>64</v>
      </c>
      <c r="G33" s="12" t="str">
        <f t="shared" si="4"/>
        <v>47445.246</v>
      </c>
      <c r="H33" s="42">
        <f t="shared" si="5"/>
        <v>11009.5</v>
      </c>
      <c r="I33" s="51" t="s">
        <v>103</v>
      </c>
      <c r="J33" s="52" t="s">
        <v>104</v>
      </c>
      <c r="K33" s="51">
        <v>11009.5</v>
      </c>
      <c r="L33" s="51" t="s">
        <v>105</v>
      </c>
      <c r="M33" s="52" t="s">
        <v>69</v>
      </c>
      <c r="N33" s="52"/>
      <c r="O33" s="53" t="s">
        <v>90</v>
      </c>
      <c r="P33" s="53" t="s">
        <v>91</v>
      </c>
    </row>
    <row r="34" spans="1:16" ht="12.75" customHeight="1" thickBot="1">
      <c r="A34" s="42" t="str">
        <f t="shared" si="0"/>
        <v> BRNO 30.47 </v>
      </c>
      <c r="B34" s="5" t="str">
        <f t="shared" si="1"/>
        <v>I</v>
      </c>
      <c r="C34" s="42">
        <f t="shared" si="2"/>
        <v>47495.218</v>
      </c>
      <c r="D34" s="12" t="str">
        <f t="shared" si="3"/>
        <v>vis</v>
      </c>
      <c r="E34" s="50">
        <f>VLOOKUP(C34,A!C$21:E$973,3,FALSE)</f>
        <v>7064.9674079346405</v>
      </c>
      <c r="F34" s="5" t="s">
        <v>64</v>
      </c>
      <c r="G34" s="12" t="str">
        <f t="shared" si="4"/>
        <v>47495.218</v>
      </c>
      <c r="H34" s="42">
        <f t="shared" si="5"/>
        <v>11069</v>
      </c>
      <c r="I34" s="51" t="s">
        <v>106</v>
      </c>
      <c r="J34" s="52" t="s">
        <v>107</v>
      </c>
      <c r="K34" s="51">
        <v>11069</v>
      </c>
      <c r="L34" s="51" t="s">
        <v>108</v>
      </c>
      <c r="M34" s="52" t="s">
        <v>69</v>
      </c>
      <c r="N34" s="52"/>
      <c r="O34" s="53" t="s">
        <v>90</v>
      </c>
      <c r="P34" s="53" t="s">
        <v>91</v>
      </c>
    </row>
    <row r="35" spans="1:16" ht="12.75" customHeight="1" thickBot="1">
      <c r="A35" s="42" t="str">
        <f t="shared" si="0"/>
        <v> BRNO 30.47 </v>
      </c>
      <c r="B35" s="5" t="str">
        <f t="shared" si="1"/>
        <v>II</v>
      </c>
      <c r="C35" s="42">
        <f t="shared" si="2"/>
        <v>47605.648</v>
      </c>
      <c r="D35" s="12" t="str">
        <f t="shared" si="3"/>
        <v>vis</v>
      </c>
      <c r="E35" s="50">
        <f>VLOOKUP(C35,A!C$21:E$973,3,FALSE)</f>
        <v>7148.941784457404</v>
      </c>
      <c r="F35" s="5" t="s">
        <v>64</v>
      </c>
      <c r="G35" s="12" t="str">
        <f t="shared" si="4"/>
        <v>47605.648</v>
      </c>
      <c r="H35" s="42">
        <f t="shared" si="5"/>
        <v>11200.5</v>
      </c>
      <c r="I35" s="51" t="s">
        <v>109</v>
      </c>
      <c r="J35" s="52" t="s">
        <v>110</v>
      </c>
      <c r="K35" s="51">
        <v>11200.5</v>
      </c>
      <c r="L35" s="51" t="s">
        <v>111</v>
      </c>
      <c r="M35" s="52" t="s">
        <v>69</v>
      </c>
      <c r="N35" s="52"/>
      <c r="O35" s="53" t="s">
        <v>90</v>
      </c>
      <c r="P35" s="53" t="s">
        <v>91</v>
      </c>
    </row>
    <row r="36" spans="1:16" ht="12.75" customHeight="1" thickBot="1">
      <c r="A36" s="42" t="str">
        <f t="shared" si="0"/>
        <v> BRNO 30.47 </v>
      </c>
      <c r="B36" s="5" t="str">
        <f t="shared" si="1"/>
        <v>I</v>
      </c>
      <c r="C36" s="42">
        <f t="shared" si="2"/>
        <v>47613.539</v>
      </c>
      <c r="D36" s="12" t="str">
        <f t="shared" si="3"/>
        <v>vis</v>
      </c>
      <c r="E36" s="50">
        <f>VLOOKUP(C36,A!C$21:E$973,3,FALSE)</f>
        <v>7154.942344134492</v>
      </c>
      <c r="F36" s="5" t="s">
        <v>64</v>
      </c>
      <c r="G36" s="12" t="str">
        <f t="shared" si="4"/>
        <v>47613.539</v>
      </c>
      <c r="H36" s="42">
        <f t="shared" si="5"/>
        <v>11210</v>
      </c>
      <c r="I36" s="51" t="s">
        <v>112</v>
      </c>
      <c r="J36" s="52" t="s">
        <v>113</v>
      </c>
      <c r="K36" s="51">
        <v>11210</v>
      </c>
      <c r="L36" s="51" t="s">
        <v>114</v>
      </c>
      <c r="M36" s="52" t="s">
        <v>69</v>
      </c>
      <c r="N36" s="52"/>
      <c r="O36" s="53" t="s">
        <v>90</v>
      </c>
      <c r="P36" s="53" t="s">
        <v>91</v>
      </c>
    </row>
    <row r="37" spans="1:16" ht="12.75" customHeight="1" thickBot="1">
      <c r="A37" s="42" t="str">
        <f t="shared" si="0"/>
        <v> BRNO 30.47 </v>
      </c>
      <c r="B37" s="5" t="str">
        <f t="shared" si="1"/>
        <v>II</v>
      </c>
      <c r="C37" s="42">
        <f t="shared" si="2"/>
        <v>47788.439</v>
      </c>
      <c r="D37" s="12" t="str">
        <f t="shared" si="3"/>
        <v>vis</v>
      </c>
      <c r="E37" s="50">
        <f>VLOOKUP(C37,A!C$21:E$973,3,FALSE)</f>
        <v>7287.941696247425</v>
      </c>
      <c r="F37" s="5" t="s">
        <v>64</v>
      </c>
      <c r="G37" s="12" t="str">
        <f t="shared" si="4"/>
        <v>47788.439</v>
      </c>
      <c r="H37" s="42">
        <f t="shared" si="5"/>
        <v>11418.5</v>
      </c>
      <c r="I37" s="51" t="s">
        <v>115</v>
      </c>
      <c r="J37" s="52" t="s">
        <v>116</v>
      </c>
      <c r="K37" s="51">
        <v>11418.5</v>
      </c>
      <c r="L37" s="51" t="s">
        <v>117</v>
      </c>
      <c r="M37" s="52" t="s">
        <v>69</v>
      </c>
      <c r="N37" s="52"/>
      <c r="O37" s="53" t="s">
        <v>90</v>
      </c>
      <c r="P37" s="53" t="s">
        <v>91</v>
      </c>
    </row>
    <row r="38" spans="1:16" ht="12.75" customHeight="1" thickBot="1">
      <c r="A38" s="42" t="str">
        <f t="shared" si="0"/>
        <v> BRNO 32 </v>
      </c>
      <c r="B38" s="5" t="str">
        <f t="shared" si="1"/>
        <v>I</v>
      </c>
      <c r="C38" s="42">
        <f t="shared" si="2"/>
        <v>51278.5794</v>
      </c>
      <c r="D38" s="12" t="str">
        <f t="shared" si="3"/>
        <v>vis</v>
      </c>
      <c r="E38" s="50">
        <f>VLOOKUP(C38,A!C$21:E$973,3,FALSE)</f>
        <v>9941.952056357051</v>
      </c>
      <c r="F38" s="5" t="s">
        <v>64</v>
      </c>
      <c r="G38" s="12" t="str">
        <f t="shared" si="4"/>
        <v>51278.5794</v>
      </c>
      <c r="H38" s="42">
        <f t="shared" si="5"/>
        <v>15577</v>
      </c>
      <c r="I38" s="51" t="s">
        <v>129</v>
      </c>
      <c r="J38" s="52" t="s">
        <v>130</v>
      </c>
      <c r="K38" s="51">
        <v>15577</v>
      </c>
      <c r="L38" s="51" t="s">
        <v>131</v>
      </c>
      <c r="M38" s="52" t="s">
        <v>121</v>
      </c>
      <c r="N38" s="52" t="s">
        <v>122</v>
      </c>
      <c r="O38" s="53" t="s">
        <v>132</v>
      </c>
      <c r="P38" s="53" t="s">
        <v>133</v>
      </c>
    </row>
    <row r="39" spans="2:6" ht="12.75">
      <c r="B39" s="5"/>
      <c r="E39" s="50"/>
      <c r="F39" s="5"/>
    </row>
    <row r="40" spans="2:6" ht="12.75">
      <c r="B40" s="5"/>
      <c r="E40" s="50"/>
      <c r="F40" s="5"/>
    </row>
    <row r="41" spans="2:6" ht="12.75">
      <c r="B41" s="5"/>
      <c r="E41" s="50"/>
      <c r="F41" s="5"/>
    </row>
    <row r="42" spans="2:6" ht="12.75">
      <c r="B42" s="5"/>
      <c r="E42" s="50"/>
      <c r="F42" s="5"/>
    </row>
    <row r="43" spans="2:6" ht="12.75">
      <c r="B43" s="5"/>
      <c r="E43" s="50"/>
      <c r="F43" s="5"/>
    </row>
    <row r="44" spans="2:6" ht="12.75">
      <c r="B44" s="5"/>
      <c r="E44" s="50"/>
      <c r="F44" s="5"/>
    </row>
    <row r="45" spans="2:6" ht="12.75">
      <c r="B45" s="5"/>
      <c r="E45" s="50"/>
      <c r="F45" s="5"/>
    </row>
    <row r="46" spans="2:6" ht="12.75">
      <c r="B46" s="5"/>
      <c r="E46" s="50"/>
      <c r="F46" s="5"/>
    </row>
    <row r="47" spans="2:6" ht="12.75">
      <c r="B47" s="5"/>
      <c r="E47" s="50"/>
      <c r="F47" s="5"/>
    </row>
    <row r="48" spans="2:6" ht="12.75">
      <c r="B48" s="5"/>
      <c r="E48" s="50"/>
      <c r="F48" s="5"/>
    </row>
    <row r="49" spans="2:6" ht="12.75">
      <c r="B49" s="5"/>
      <c r="E49" s="50"/>
      <c r="F49" s="5"/>
    </row>
    <row r="50" spans="2:6" ht="12.75">
      <c r="B50" s="5"/>
      <c r="E50" s="50"/>
      <c r="F50" s="5"/>
    </row>
    <row r="51" spans="2:6" ht="12.75">
      <c r="B51" s="5"/>
      <c r="E51" s="50"/>
      <c r="F51" s="5"/>
    </row>
    <row r="52" spans="2:6" ht="12.75">
      <c r="B52" s="5"/>
      <c r="E52" s="50"/>
      <c r="F52" s="5"/>
    </row>
    <row r="53" spans="2:6" ht="12.75">
      <c r="B53" s="5"/>
      <c r="E53" s="50"/>
      <c r="F53" s="5"/>
    </row>
    <row r="54" spans="2:6" ht="12.75">
      <c r="B54" s="5"/>
      <c r="E54" s="50"/>
      <c r="F54" s="5"/>
    </row>
    <row r="55" spans="2:6" ht="12.75">
      <c r="B55" s="5"/>
      <c r="E55" s="50"/>
      <c r="F55" s="5"/>
    </row>
    <row r="56" spans="2:6" ht="12.75">
      <c r="B56" s="5"/>
      <c r="E56" s="50"/>
      <c r="F56" s="5"/>
    </row>
    <row r="57" spans="2:6" ht="12.75">
      <c r="B57" s="5"/>
      <c r="E57" s="50"/>
      <c r="F57" s="5"/>
    </row>
    <row r="58" spans="2:6" ht="12.75">
      <c r="B58" s="5"/>
      <c r="E58" s="50"/>
      <c r="F58" s="5"/>
    </row>
    <row r="59" spans="2:6" ht="12.75">
      <c r="B59" s="5"/>
      <c r="E59" s="50"/>
      <c r="F59" s="5"/>
    </row>
    <row r="60" spans="2:6" ht="12.75">
      <c r="B60" s="5"/>
      <c r="E60" s="50"/>
      <c r="F60" s="5"/>
    </row>
    <row r="61" spans="2:6" ht="12.75">
      <c r="B61" s="5"/>
      <c r="E61" s="50"/>
      <c r="F61" s="5"/>
    </row>
    <row r="62" spans="2:6" ht="12.75">
      <c r="B62" s="5"/>
      <c r="E62" s="50"/>
      <c r="F62" s="5"/>
    </row>
    <row r="63" spans="2:6" ht="12.75">
      <c r="B63" s="5"/>
      <c r="E63" s="50"/>
      <c r="F63" s="5"/>
    </row>
    <row r="64" spans="2:6" ht="12.75">
      <c r="B64" s="5"/>
      <c r="E64" s="50"/>
      <c r="F64" s="5"/>
    </row>
    <row r="65" spans="2:6" ht="12.75">
      <c r="B65" s="5"/>
      <c r="E65" s="50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</sheetData>
  <sheetProtection/>
  <hyperlinks>
    <hyperlink ref="P12" r:id="rId1" display="http://www.konkoly.hu/cgi-bin/IBVS?4887"/>
    <hyperlink ref="P13" r:id="rId2" display="http://www.konkoly.hu/cgi-bin/IBVS?4888"/>
    <hyperlink ref="P14" r:id="rId3" display="http://www.konkoly.hu/cgi-bin/IBVS?5263"/>
    <hyperlink ref="P15" r:id="rId4" display="http://var.astro.cz/oejv/issues/oejv0074.pdf"/>
    <hyperlink ref="P16" r:id="rId5" display="http://www.bav-astro.de/sfs/BAVM_link.php?BAVMnr=152"/>
    <hyperlink ref="P17" r:id="rId6" display="http://www.bav-astro.de/sfs/BAVM_link.php?BAVMnr=152"/>
    <hyperlink ref="P18" r:id="rId7" display="http://www.bav-astro.de/sfs/BAVM_link.php?BAVMnr=152"/>
    <hyperlink ref="P19" r:id="rId8" display="http://www.bav-astro.de/sfs/BAVM_link.php?BAVMnr=178"/>
    <hyperlink ref="P20" r:id="rId9" display="http://www.bav-astro.de/sfs/BAVM_link.php?BAVMnr=234"/>
    <hyperlink ref="P21" r:id="rId10" display="http://www.bav-astro.de/sfs/BAVM_link.php?BAVMnr=209"/>
    <hyperlink ref="P22" r:id="rId11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