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6C12E88-318B-4887-B98F-463618BFE2F4}" xr6:coauthVersionLast="47" xr6:coauthVersionMax="47" xr10:uidLastSave="{00000000-0000-0000-0000-000000000000}"/>
  <bookViews>
    <workbookView xWindow="14985" yWindow="75" windowWidth="13425" windowHeight="13845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6" i="1" l="1"/>
  <c r="F36" i="1" s="1"/>
  <c r="G36" i="1" s="1"/>
  <c r="J36" i="1" s="1"/>
  <c r="Q36" i="1"/>
  <c r="E38" i="1"/>
  <c r="F38" i="1" s="1"/>
  <c r="G38" i="1" s="1"/>
  <c r="J38" i="1" s="1"/>
  <c r="Q38" i="1"/>
  <c r="E39" i="1"/>
  <c r="F39" i="1"/>
  <c r="G39" i="1" s="1"/>
  <c r="J39" i="1" s="1"/>
  <c r="Q39" i="1"/>
  <c r="E42" i="1"/>
  <c r="F42" i="1" s="1"/>
  <c r="G42" i="1" s="1"/>
  <c r="J42" i="1" s="1"/>
  <c r="Q42" i="1"/>
  <c r="E44" i="1"/>
  <c r="F44" i="1" s="1"/>
  <c r="G44" i="1" s="1"/>
  <c r="J44" i="1" s="1"/>
  <c r="Q44" i="1"/>
  <c r="E45" i="1"/>
  <c r="F45" i="1" s="1"/>
  <c r="G45" i="1" s="1"/>
  <c r="J45" i="1" s="1"/>
  <c r="Q45" i="1"/>
  <c r="E46" i="1"/>
  <c r="F46" i="1" s="1"/>
  <c r="G46" i="1" s="1"/>
  <c r="J46" i="1" s="1"/>
  <c r="Q46" i="1"/>
  <c r="E21" i="1"/>
  <c r="F21" i="1" s="1"/>
  <c r="G21" i="1" s="1"/>
  <c r="I21" i="1" s="1"/>
  <c r="E29" i="1"/>
  <c r="F29" i="1" s="1"/>
  <c r="G29" i="1" s="1"/>
  <c r="I29" i="1" s="1"/>
  <c r="E30" i="1"/>
  <c r="F30" i="1" s="1"/>
  <c r="G30" i="1" s="1"/>
  <c r="I30" i="1" s="1"/>
  <c r="E31" i="1"/>
  <c r="F31" i="1"/>
  <c r="G31" i="1" s="1"/>
  <c r="I31" i="1" s="1"/>
  <c r="E32" i="1"/>
  <c r="F32" i="1" s="1"/>
  <c r="G32" i="1" s="1"/>
  <c r="I32" i="1" s="1"/>
  <c r="E23" i="1"/>
  <c r="F23" i="1"/>
  <c r="G23" i="1" s="1"/>
  <c r="I23" i="1" s="1"/>
  <c r="E24" i="1"/>
  <c r="F24" i="1" s="1"/>
  <c r="G24" i="1" s="1"/>
  <c r="I24" i="1" s="1"/>
  <c r="E25" i="1"/>
  <c r="F25" i="1"/>
  <c r="G25" i="1" s="1"/>
  <c r="I25" i="1" s="1"/>
  <c r="E26" i="1"/>
  <c r="F26" i="1" s="1"/>
  <c r="G26" i="1" s="1"/>
  <c r="I26" i="1" s="1"/>
  <c r="E27" i="1"/>
  <c r="F27" i="1" s="1"/>
  <c r="G27" i="1" s="1"/>
  <c r="I27" i="1" s="1"/>
  <c r="E28" i="1"/>
  <c r="F28" i="1" s="1"/>
  <c r="G28" i="1" s="1"/>
  <c r="I28" i="1" s="1"/>
  <c r="E33" i="1"/>
  <c r="F33" i="1" s="1"/>
  <c r="G33" i="1" s="1"/>
  <c r="I33" i="1" s="1"/>
  <c r="E34" i="1"/>
  <c r="F34" i="1" s="1"/>
  <c r="G34" i="1" s="1"/>
  <c r="I34" i="1" s="1"/>
  <c r="E35" i="1"/>
  <c r="F35" i="1" s="1"/>
  <c r="G35" i="1" s="1"/>
  <c r="I35" i="1" s="1"/>
  <c r="E37" i="1"/>
  <c r="F37" i="1" s="1"/>
  <c r="G37" i="1" s="1"/>
  <c r="I37" i="1" s="1"/>
  <c r="E40" i="1"/>
  <c r="F40" i="1" s="1"/>
  <c r="G40" i="1" s="1"/>
  <c r="I40" i="1" s="1"/>
  <c r="E41" i="1"/>
  <c r="F41" i="1" s="1"/>
  <c r="G41" i="1" s="1"/>
  <c r="I41" i="1" s="1"/>
  <c r="E43" i="1"/>
  <c r="F43" i="1" s="1"/>
  <c r="G43" i="1" s="1"/>
  <c r="I43" i="1" s="1"/>
  <c r="Q21" i="1"/>
  <c r="Q29" i="1"/>
  <c r="Q30" i="1"/>
  <c r="Q31" i="1"/>
  <c r="Q32" i="1"/>
  <c r="F11" i="1"/>
  <c r="Q33" i="1"/>
  <c r="Q34" i="1"/>
  <c r="Q35" i="1"/>
  <c r="Q37" i="1"/>
  <c r="Q40" i="1"/>
  <c r="Q41" i="1"/>
  <c r="Q43" i="1"/>
  <c r="G11" i="1"/>
  <c r="Q23" i="1"/>
  <c r="Q24" i="1"/>
  <c r="Q25" i="1"/>
  <c r="Q26" i="1"/>
  <c r="Q27" i="1"/>
  <c r="Q28" i="1"/>
  <c r="C22" i="1"/>
  <c r="A22" i="1"/>
  <c r="H20" i="1"/>
  <c r="E14" i="1"/>
  <c r="E15" i="1" s="1"/>
  <c r="C17" i="1"/>
  <c r="Q22" i="1"/>
  <c r="E22" i="1"/>
  <c r="F22" i="1"/>
  <c r="G22" i="1" s="1"/>
  <c r="H22" i="1" s="1"/>
  <c r="C11" i="1"/>
  <c r="C12" i="1" l="1"/>
  <c r="O42" i="1" l="1"/>
  <c r="S42" i="1" s="1"/>
  <c r="O38" i="1"/>
  <c r="S38" i="1" s="1"/>
  <c r="O39" i="1"/>
  <c r="S39" i="1" s="1"/>
  <c r="O36" i="1"/>
  <c r="S36" i="1" s="1"/>
  <c r="O32" i="1"/>
  <c r="S32" i="1" s="1"/>
  <c r="O21" i="1"/>
  <c r="S21" i="1" s="1"/>
  <c r="O30" i="1"/>
  <c r="S30" i="1" s="1"/>
  <c r="O23" i="1"/>
  <c r="S23" i="1" s="1"/>
  <c r="O25" i="1"/>
  <c r="S25" i="1" s="1"/>
  <c r="C16" i="1"/>
  <c r="D18" i="1" s="1"/>
  <c r="O29" i="1"/>
  <c r="S29" i="1" s="1"/>
  <c r="O28" i="1"/>
  <c r="S28" i="1" s="1"/>
  <c r="O26" i="1"/>
  <c r="S26" i="1" s="1"/>
  <c r="O46" i="1"/>
  <c r="S46" i="1" s="1"/>
  <c r="O34" i="1"/>
  <c r="S34" i="1" s="1"/>
  <c r="O44" i="1"/>
  <c r="S44" i="1" s="1"/>
  <c r="O22" i="1"/>
  <c r="S22" i="1" s="1"/>
  <c r="O43" i="1"/>
  <c r="S43" i="1" s="1"/>
  <c r="O40" i="1"/>
  <c r="S40" i="1" s="1"/>
  <c r="O35" i="1"/>
  <c r="S35" i="1" s="1"/>
  <c r="C15" i="1"/>
  <c r="O45" i="1"/>
  <c r="S45" i="1" s="1"/>
  <c r="O37" i="1"/>
  <c r="S37" i="1" s="1"/>
  <c r="O31" i="1"/>
  <c r="S31" i="1" s="1"/>
  <c r="O41" i="1"/>
  <c r="S41" i="1" s="1"/>
  <c r="O33" i="1"/>
  <c r="S33" i="1" s="1"/>
  <c r="O24" i="1"/>
  <c r="S24" i="1" s="1"/>
  <c r="O27" i="1"/>
  <c r="S27" i="1" s="1"/>
  <c r="S19" i="1" l="1"/>
  <c r="E16" i="1"/>
  <c r="E17" i="1" s="1"/>
  <c r="C18" i="1"/>
</calcChain>
</file>

<file path=xl/sharedStrings.xml><?xml version="1.0" encoding="utf-8"?>
<sst xmlns="http://schemas.openxmlformats.org/spreadsheetml/2006/main" count="98" uniqueCount="56">
  <si>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</si>
  <si>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</si>
  <si>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</si>
  <si>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</si>
  <si>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</si>
  <si>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</si>
  <si>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</si>
  <si>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</si>
  <si>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</si>
  <si>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</si>
  <si>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</si>
  <si>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</si>
  <si>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</si>
  <si>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</si>
  <si>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</si>
  <si>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</si>
  <si>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</si>
  <si>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</si>
  <si>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</si>
  <si>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</si>
  <si>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</si>
  <si>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</si>
  <si>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</si>
  <si>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</si>
  <si>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</si>
  <si>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</si>
  <si>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</si>
  <si>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</si>
  <si>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</si>
  <si>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</si>
  <si>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</si>
  <si>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</si>
  <si>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</si>
  <si>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</si>
  <si>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</si>
  <si>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</si>
  <si>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</si>
  <si>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</si>
  <si>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</si>
  <si>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</si>
  <si>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</si>
  <si>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</si>
  <si>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G2135-2603</t>
  </si>
  <si>
    <t>G2135-2603_Lyr.xls</t>
  </si>
  <si>
    <t>EW</t>
  </si>
  <si>
    <t>Lyr</t>
  </si>
  <si>
    <t>VSX</t>
  </si>
  <si>
    <t>IBVS 5959</t>
  </si>
  <si>
    <t>I</t>
  </si>
  <si>
    <t>IBVS 6118</t>
  </si>
  <si>
    <t>IBVS 5984</t>
  </si>
  <si>
    <t>JBAV, 60</t>
  </si>
  <si>
    <t>II</t>
  </si>
  <si>
    <t>JBAV, 76</t>
  </si>
  <si>
    <t>CCD</t>
  </si>
  <si>
    <t>V0748 Lyr / GSC 2135-2603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</si>
</sst>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8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" applyNumberFormat="0" applyFont="0" applyFill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0" fillId="3" borderId="0" xfId="0" applyFill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4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5" fillId="0" borderId="0" xfId="0" applyFo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5" fontId="17" fillId="0" borderId="0" xfId="0" applyNumberFormat="1" applyFont="1" applyAlignment="1">
      <alignment vertical="center" wrapText="1"/>
    </xf>
    <xf numFmtId="165" fontId="17" fillId="0" borderId="0" xfId="0" applyNumberFormat="1" applyFont="1" applyAlignment="1" applyProtection="1">
      <alignment vertical="center" wrapText="1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2135-2603 - O-C Diagr.</a:t>
            </a:r>
          </a:p>
        </c:rich>
      </c:tx>
      <c:layout>
        <c:manualLayout>
          <c:xMode val="edge"/>
          <c:yMode val="edge"/>
          <c:x val="0.3413533834586466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2105263157894737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IBVS 5984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8C-44B0-822F-C123D602015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4.9089999920397531E-2</c:v>
                </c:pt>
                <c:pt idx="2">
                  <c:v>-0.16018000007898081</c:v>
                </c:pt>
                <c:pt idx="3">
                  <c:v>-0.160290000072564</c:v>
                </c:pt>
                <c:pt idx="4">
                  <c:v>-0.20489000008092262</c:v>
                </c:pt>
                <c:pt idx="5">
                  <c:v>-0.207100000079663</c:v>
                </c:pt>
                <c:pt idx="6">
                  <c:v>-0.20507000007637544</c:v>
                </c:pt>
                <c:pt idx="7">
                  <c:v>-0.20618000008107629</c:v>
                </c:pt>
                <c:pt idx="8">
                  <c:v>-0.21000000007916242</c:v>
                </c:pt>
                <c:pt idx="9">
                  <c:v>-0.20949000008113217</c:v>
                </c:pt>
                <c:pt idx="10">
                  <c:v>-0.21150000007764902</c:v>
                </c:pt>
                <c:pt idx="11">
                  <c:v>-0.21400000007997733</c:v>
                </c:pt>
                <c:pt idx="12">
                  <c:v>-0.36858000007487135</c:v>
                </c:pt>
                <c:pt idx="13">
                  <c:v>-0.37783000007766532</c:v>
                </c:pt>
                <c:pt idx="14">
                  <c:v>-0.37794000007852446</c:v>
                </c:pt>
                <c:pt idx="16">
                  <c:v>-0.3806400000830763</c:v>
                </c:pt>
                <c:pt idx="19">
                  <c:v>-0.38077000007615425</c:v>
                </c:pt>
                <c:pt idx="20">
                  <c:v>-0.38532000007398892</c:v>
                </c:pt>
                <c:pt idx="22">
                  <c:v>-0.38645000007818453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8C-44B0-822F-C123D602015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5">
                  <c:v>-0.37684000008448493</c:v>
                </c:pt>
                <c:pt idx="17">
                  <c:v>-0.38034000008337898</c:v>
                </c:pt>
                <c:pt idx="18">
                  <c:v>-0.38307000007625902</c:v>
                </c:pt>
                <c:pt idx="21">
                  <c:v>-0.38522000007651513</c:v>
                </c:pt>
                <c:pt idx="23">
                  <c:v>-0.42717000007542083</c:v>
                </c:pt>
                <c:pt idx="24">
                  <c:v>-0.40762000007816823</c:v>
                </c:pt>
                <c:pt idx="25">
                  <c:v>-0.43136000008234987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8C-44B0-822F-C123D602015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8C-44B0-822F-C123D602015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8C-44B0-822F-C123D602015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8C-44B0-822F-C123D602015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5.9999999999999995E-4</c:v>
                  </c:pt>
                  <c:pt idx="1">
                    <c:v>0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5.9999999999999995E-4</c:v>
                  </c:pt>
                  <c:pt idx="5">
                    <c:v>2.0000000000000001E-4</c:v>
                  </c:pt>
                  <c:pt idx="6">
                    <c:v>6.9999999999999999E-4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5.9999999999999995E-4</c:v>
                  </c:pt>
                  <c:pt idx="11">
                    <c:v>5.0000000000000001E-4</c:v>
                  </c:pt>
                  <c:pt idx="12">
                    <c:v>8.9999999999999998E-4</c:v>
                  </c:pt>
                  <c:pt idx="13">
                    <c:v>4.0000000000000002E-4</c:v>
                  </c:pt>
                  <c:pt idx="14">
                    <c:v>1.5E-3</c:v>
                  </c:pt>
                  <c:pt idx="15">
                    <c:v>4.1999999999999997E-3</c:v>
                  </c:pt>
                  <c:pt idx="16">
                    <c:v>5.0000000000000001E-4</c:v>
                  </c:pt>
                  <c:pt idx="17">
                    <c:v>3.5000000000000001E-3</c:v>
                  </c:pt>
                  <c:pt idx="18">
                    <c:v>4.8999999999999998E-3</c:v>
                  </c:pt>
                  <c:pt idx="19">
                    <c:v>1.5E-3</c:v>
                  </c:pt>
                  <c:pt idx="20">
                    <c:v>6.9999999999999999E-4</c:v>
                  </c:pt>
                  <c:pt idx="21">
                    <c:v>3.5000000000000001E-3</c:v>
                  </c:pt>
                  <c:pt idx="22">
                    <c:v>3.3999999999999998E-3</c:v>
                  </c:pt>
                  <c:pt idx="23">
                    <c:v>3.5000000000000001E-3</c:v>
                  </c:pt>
                  <c:pt idx="24">
                    <c:v>3.5000000000000001E-3</c:v>
                  </c:pt>
                  <c:pt idx="25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8C-44B0-822F-C123D602015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-6.9935538236315348E-2</c:v>
                </c:pt>
                <c:pt idx="1">
                  <c:v>-9.4770908525134423E-2</c:v>
                </c:pt>
                <c:pt idx="2">
                  <c:v>-0.19777581307185113</c:v>
                </c:pt>
                <c:pt idx="3">
                  <c:v>-0.19779231497901978</c:v>
                </c:pt>
                <c:pt idx="4">
                  <c:v>-0.22568053809403921</c:v>
                </c:pt>
                <c:pt idx="5">
                  <c:v>-0.22569704000120785</c:v>
                </c:pt>
                <c:pt idx="6">
                  <c:v>-0.22614259149476143</c:v>
                </c:pt>
                <c:pt idx="7">
                  <c:v>-0.22632411247361658</c:v>
                </c:pt>
                <c:pt idx="8">
                  <c:v>-0.22833734514819196</c:v>
                </c:pt>
                <c:pt idx="9">
                  <c:v>-0.22914593859945581</c:v>
                </c:pt>
                <c:pt idx="10">
                  <c:v>-0.22916244050662446</c:v>
                </c:pt>
                <c:pt idx="11">
                  <c:v>-0.2301525549367435</c:v>
                </c:pt>
                <c:pt idx="12">
                  <c:v>-0.32781084156081741</c:v>
                </c:pt>
                <c:pt idx="13">
                  <c:v>-0.33399905674906138</c:v>
                </c:pt>
                <c:pt idx="14">
                  <c:v>-0.3350056730863491</c:v>
                </c:pt>
                <c:pt idx="15">
                  <c:v>-0.3350056730863491</c:v>
                </c:pt>
                <c:pt idx="16">
                  <c:v>-0.33599578751646808</c:v>
                </c:pt>
                <c:pt idx="17">
                  <c:v>-0.33599578751646808</c:v>
                </c:pt>
                <c:pt idx="18">
                  <c:v>-0.33654035045303354</c:v>
                </c:pt>
                <c:pt idx="19">
                  <c:v>-0.33654035045303354</c:v>
                </c:pt>
                <c:pt idx="20">
                  <c:v>-0.33909814606417443</c:v>
                </c:pt>
                <c:pt idx="21">
                  <c:v>-0.33909814606417443</c:v>
                </c:pt>
                <c:pt idx="22">
                  <c:v>-0.3396427090007399</c:v>
                </c:pt>
                <c:pt idx="23">
                  <c:v>-0.36591374521323156</c:v>
                </c:pt>
                <c:pt idx="24">
                  <c:v>-0.46847309826639466</c:v>
                </c:pt>
                <c:pt idx="25">
                  <c:v>-0.59774903902560306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8C-44B0-822F-C123D6020158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-752.5</c:v>
                </c:pt>
                <c:pt idx="1">
                  <c:v>0</c:v>
                </c:pt>
                <c:pt idx="2">
                  <c:v>3121</c:v>
                </c:pt>
                <c:pt idx="3">
                  <c:v>3121.5</c:v>
                </c:pt>
                <c:pt idx="4">
                  <c:v>3966.5</c:v>
                </c:pt>
                <c:pt idx="5">
                  <c:v>3967</c:v>
                </c:pt>
                <c:pt idx="6">
                  <c:v>3980.5</c:v>
                </c:pt>
                <c:pt idx="7">
                  <c:v>3986</c:v>
                </c:pt>
                <c:pt idx="8">
                  <c:v>4047</c:v>
                </c:pt>
                <c:pt idx="9">
                  <c:v>4071.5</c:v>
                </c:pt>
                <c:pt idx="10">
                  <c:v>4072</c:v>
                </c:pt>
                <c:pt idx="11">
                  <c:v>4102</c:v>
                </c:pt>
                <c:pt idx="12">
                  <c:v>7061</c:v>
                </c:pt>
                <c:pt idx="13">
                  <c:v>7248.5</c:v>
                </c:pt>
                <c:pt idx="14">
                  <c:v>7279</c:v>
                </c:pt>
                <c:pt idx="15">
                  <c:v>7279</c:v>
                </c:pt>
                <c:pt idx="16">
                  <c:v>7309</c:v>
                </c:pt>
                <c:pt idx="17">
                  <c:v>7309</c:v>
                </c:pt>
                <c:pt idx="18">
                  <c:v>7325.5</c:v>
                </c:pt>
                <c:pt idx="19">
                  <c:v>7325.5</c:v>
                </c:pt>
                <c:pt idx="20">
                  <c:v>7403</c:v>
                </c:pt>
                <c:pt idx="21">
                  <c:v>7403</c:v>
                </c:pt>
                <c:pt idx="22">
                  <c:v>7419.5</c:v>
                </c:pt>
                <c:pt idx="23">
                  <c:v>8215.5</c:v>
                </c:pt>
                <c:pt idx="24">
                  <c:v>11323</c:v>
                </c:pt>
                <c:pt idx="25">
                  <c:v>15240</c:v>
                </c:pt>
              </c:numCache>
            </c:numRef>
          </c:xVal>
          <c:yVal>
            <c:numRef>
              <c:f>Active!$R$21:$R$999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8C-44B0-822F-C123D6020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004728"/>
        <c:axId val="1"/>
      </c:scatterChart>
      <c:valAx>
        <c:axId val="831004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004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195488721804512"/>
          <c:y val="0.92375366568914952"/>
          <c:w val="0.77744360902255638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66676</xdr:rowOff>
    </xdr:from>
    <xdr:to>
      <xdr:col>17</xdr:col>
      <xdr:colOff>114300</xdr:colOff>
      <xdr:row>18</xdr:row>
      <xdr:rowOff>133351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506205B-69D3-BB79-4B1D-0DE60D88C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40"/>
  <sheetViews>
    <sheetView tabSelected="1" workbookViewId="0">
      <pane xSplit="14" ySplit="22" topLeftCell="O32" activePane="bottomRight" state="frozen"/>
      <selection pane="topRight" activeCell="O1" sqref="O1"/>
      <selection pane="bottomLeft" activeCell="A23" sqref="A23"/>
      <selection pane="bottomRight" activeCell="E6" sqref="E6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55</v>
      </c>
      <c r="E1" t="s">
        <v>43</v>
      </c>
    </row>
    <row r="2" spans="1:7" x14ac:dyDescent="0.2">
      <c r="A2" t="s">
        <v>23</v>
      </c>
      <c r="B2" t="s">
        <v>44</v>
      </c>
      <c r="C2" s="31" t="s">
        <v>41</v>
      </c>
      <c r="D2" s="3" t="s">
        <v>45</v>
      </c>
      <c r="E2" s="32" t="s">
        <v>42</v>
      </c>
      <c r="F2" t="s">
        <v>42</v>
      </c>
    </row>
    <row r="3" spans="1:7" ht="13.5" thickBot="1" x14ac:dyDescent="0.25"/>
    <row r="4" spans="1:7" ht="14.25" thickTop="1" thickBot="1" x14ac:dyDescent="0.25">
      <c r="A4" s="5" t="s">
        <v>0</v>
      </c>
      <c r="C4" s="28" t="s">
        <v>40</v>
      </c>
      <c r="D4" s="29" t="s">
        <v>40</v>
      </c>
    </row>
    <row r="6" spans="1:7" x14ac:dyDescent="0.2">
      <c r="A6" s="5" t="s">
        <v>1</v>
      </c>
    </row>
    <row r="7" spans="1:7" x14ac:dyDescent="0.2">
      <c r="A7" t="s">
        <v>2</v>
      </c>
      <c r="C7" s="8">
        <v>53944.640360000078</v>
      </c>
      <c r="D7" s="30" t="s">
        <v>46</v>
      </c>
    </row>
    <row r="8" spans="1:7" x14ac:dyDescent="0.2">
      <c r="A8" t="s">
        <v>3</v>
      </c>
      <c r="C8" s="8">
        <v>0.36202000000000001</v>
      </c>
      <c r="D8" s="30" t="s">
        <v>46</v>
      </c>
    </row>
    <row r="9" spans="1:7" x14ac:dyDescent="0.2">
      <c r="A9" s="9" t="s">
        <v>30</v>
      </c>
      <c r="B9" s="10"/>
      <c r="C9" s="11">
        <v>-9.5</v>
      </c>
      <c r="D9" s="10" t="s">
        <v>31</v>
      </c>
      <c r="E9" s="10"/>
    </row>
    <row r="10" spans="1:7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7" x14ac:dyDescent="0.2">
      <c r="A11" s="10" t="s">
        <v>15</v>
      </c>
      <c r="B11" s="10"/>
      <c r="C11" s="22">
        <f ca="1">INTERCEPT(INDIRECT($G$11):G992,INDIRECT($F$11):F992)</f>
        <v>-9.4770908525134423E-2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7" x14ac:dyDescent="0.2">
      <c r="A12" s="10" t="s">
        <v>16</v>
      </c>
      <c r="B12" s="10"/>
      <c r="C12" s="22">
        <f ca="1">SLOPE(INDIRECT($G$11):G992,INDIRECT($F$11):F992)</f>
        <v>-3.3003814337301092E-5</v>
      </c>
      <c r="D12" s="3"/>
      <c r="E12" s="10"/>
    </row>
    <row r="13" spans="1:7" x14ac:dyDescent="0.2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7" x14ac:dyDescent="0.2">
      <c r="A14" s="10"/>
      <c r="B14" s="10"/>
      <c r="C14" s="10"/>
      <c r="D14" s="14" t="s">
        <v>32</v>
      </c>
      <c r="E14" s="15">
        <f ca="1">NOW()+15018.5+$C$9/24</f>
        <v>60171.830425462962</v>
      </c>
    </row>
    <row r="15" spans="1:7" x14ac:dyDescent="0.2">
      <c r="A15" s="12" t="s">
        <v>17</v>
      </c>
      <c r="B15" s="10"/>
      <c r="C15" s="13">
        <f ca="1">(C7+C11)+(C8+C12)*INT(MAX(F21:F3533))</f>
        <v>59461.227410961052</v>
      </c>
      <c r="D15" s="14" t="s">
        <v>38</v>
      </c>
      <c r="E15" s="15">
        <f ca="1">ROUND(2*(E14-$C$7)/$C$8,0)/2+E13</f>
        <v>17202</v>
      </c>
    </row>
    <row r="16" spans="1:7" x14ac:dyDescent="0.2">
      <c r="A16" s="16" t="s">
        <v>4</v>
      </c>
      <c r="B16" s="10"/>
      <c r="C16" s="17">
        <f ca="1">+C8+C12</f>
        <v>0.36198699618566271</v>
      </c>
      <c r="D16" s="14" t="s">
        <v>39</v>
      </c>
      <c r="E16" s="24">
        <f ca="1">ROUND(2*(E14-$C$15)/$C$16,0)/2+E13</f>
        <v>1964</v>
      </c>
    </row>
    <row r="17" spans="1:19" ht="13.5" thickBot="1" x14ac:dyDescent="0.25">
      <c r="A17" s="14" t="s">
        <v>29</v>
      </c>
      <c r="B17" s="10"/>
      <c r="C17" s="10">
        <f>COUNT(C21:C2191)</f>
        <v>26</v>
      </c>
      <c r="D17" s="14" t="s">
        <v>33</v>
      </c>
      <c r="E17" s="18">
        <f ca="1">+$C$15+$C$16*E16-15018.5-$C$9/24</f>
        <v>45154.065704803026</v>
      </c>
    </row>
    <row r="18" spans="1:19" ht="14.25" thickTop="1" thickBot="1" x14ac:dyDescent="0.25">
      <c r="A18" s="16" t="s">
        <v>5</v>
      </c>
      <c r="B18" s="10"/>
      <c r="C18" s="19">
        <f ca="1">+C15</f>
        <v>59461.227410961052</v>
      </c>
      <c r="D18" s="20">
        <f ca="1">+C16</f>
        <v>0.36198699618566271</v>
      </c>
      <c r="E18" s="21" t="s">
        <v>34</v>
      </c>
    </row>
    <row r="19" spans="1:19" ht="13.5" thickTop="1" x14ac:dyDescent="0.2">
      <c r="A19" s="25" t="s">
        <v>35</v>
      </c>
      <c r="E19" s="26">
        <v>22</v>
      </c>
      <c r="S19">
        <f ca="1">SQRT(SUM(S21:S50)/(COUNT(S21:S50)-1))</f>
        <v>5.8564414437736537E-2</v>
      </c>
    </row>
    <row r="20" spans="1:19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IBVS 5984</v>
      </c>
      <c r="I20" s="7" t="s">
        <v>28</v>
      </c>
      <c r="J20" s="7" t="s">
        <v>54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9" x14ac:dyDescent="0.2">
      <c r="A21" s="43" t="s">
        <v>50</v>
      </c>
      <c r="B21" s="43"/>
      <c r="C21" s="36">
        <v>53672.269399999997</v>
      </c>
      <c r="D21" s="36">
        <v>5.9999999999999995E-4</v>
      </c>
      <c r="E21" s="38">
        <f>+(C21-C$7)/C$8</f>
        <v>-752.36439975714109</v>
      </c>
      <c r="F21">
        <f>ROUND(2*E21,0)/2</f>
        <v>-752.5</v>
      </c>
      <c r="G21">
        <f>+C21-(C$7+F21*C$8)</f>
        <v>4.9089999920397531E-2</v>
      </c>
      <c r="I21">
        <f>+G21</f>
        <v>4.9089999920397531E-2</v>
      </c>
      <c r="O21">
        <f ca="1">+C$11+C$12*$F21</f>
        <v>-6.9935538236315348E-2</v>
      </c>
      <c r="Q21" s="2">
        <f>+C21-15018.5</f>
        <v>38653.769399999997</v>
      </c>
      <c r="S21">
        <f ca="1">+(O21-G21)^2</f>
        <v>1.4167078733495113E-2</v>
      </c>
    </row>
    <row r="22" spans="1:19" x14ac:dyDescent="0.2">
      <c r="A22" t="str">
        <f>D8</f>
        <v>VSX</v>
      </c>
      <c r="C22" s="8">
        <f>C$7</f>
        <v>53944.640360000078</v>
      </c>
      <c r="D22" s="8" t="s">
        <v>13</v>
      </c>
      <c r="E22">
        <f>+(C22-C$7)/C$8</f>
        <v>0</v>
      </c>
      <c r="F22">
        <f>ROUND(2*E22,0)/2</f>
        <v>0</v>
      </c>
      <c r="G22">
        <f>+C22-(C$7+F22*C$8)</f>
        <v>0</v>
      </c>
      <c r="H22">
        <f>+G22</f>
        <v>0</v>
      </c>
      <c r="O22">
        <f ca="1">+C$11+C$12*$F22</f>
        <v>-9.4770908525134423E-2</v>
      </c>
      <c r="Q22" s="2">
        <f>+C22-15018.5</f>
        <v>38926.140360000078</v>
      </c>
      <c r="S22">
        <f ca="1">+(O22-G22)^2</f>
        <v>8.9815251026793969E-3</v>
      </c>
    </row>
    <row r="23" spans="1:19" x14ac:dyDescent="0.2">
      <c r="A23" s="34" t="s">
        <v>47</v>
      </c>
      <c r="B23" s="35" t="s">
        <v>48</v>
      </c>
      <c r="C23" s="34">
        <v>55074.344599999997</v>
      </c>
      <c r="D23" s="34">
        <v>2.9999999999999997E-4</v>
      </c>
      <c r="E23">
        <f>+(C23-C$7)/C$8</f>
        <v>3120.5575382573311</v>
      </c>
      <c r="F23" s="33">
        <f>ROUND(2*E23,0)/2+0.5</f>
        <v>3121</v>
      </c>
      <c r="G23">
        <f>+C23-(C$7+F23*C$8)</f>
        <v>-0.16018000007898081</v>
      </c>
      <c r="I23">
        <f>+G23</f>
        <v>-0.16018000007898081</v>
      </c>
      <c r="O23">
        <f ca="1">+C$11+C$12*$F23</f>
        <v>-0.19777581307185113</v>
      </c>
      <c r="Q23" s="2">
        <f>+C23-15018.5</f>
        <v>40055.844599999997</v>
      </c>
      <c r="S23">
        <f ca="1">+(O23-G23)^2</f>
        <v>1.4134451545948768E-3</v>
      </c>
    </row>
    <row r="24" spans="1:19" x14ac:dyDescent="0.2">
      <c r="A24" s="34" t="s">
        <v>47</v>
      </c>
      <c r="B24" s="35" t="s">
        <v>48</v>
      </c>
      <c r="C24" s="34">
        <v>55074.525500000003</v>
      </c>
      <c r="D24" s="34">
        <v>5.9999999999999995E-4</v>
      </c>
      <c r="E24">
        <f>+(C24-C$7)/C$8</f>
        <v>3121.0572344067336</v>
      </c>
      <c r="F24" s="33">
        <f>ROUND(2*E24,0)/2+0.5</f>
        <v>3121.5</v>
      </c>
      <c r="G24">
        <f>+C24-(C$7+F24*C$8)</f>
        <v>-0.160290000072564</v>
      </c>
      <c r="I24">
        <f>+G24</f>
        <v>-0.160290000072564</v>
      </c>
      <c r="O24">
        <f ca="1">+C$11+C$12*$F24</f>
        <v>-0.19779231497901978</v>
      </c>
      <c r="Q24" s="2">
        <f>+C24-15018.5</f>
        <v>40056.025500000003</v>
      </c>
      <c r="S24">
        <f ca="1">+(O24-G24)^2</f>
        <v>1.4064236233429755E-3</v>
      </c>
    </row>
    <row r="25" spans="1:19" x14ac:dyDescent="0.2">
      <c r="A25" s="34" t="s">
        <v>47</v>
      </c>
      <c r="B25" s="35" t="s">
        <v>48</v>
      </c>
      <c r="C25" s="34">
        <v>55380.387799999997</v>
      </c>
      <c r="D25" s="34">
        <v>5.9999999999999995E-4</v>
      </c>
      <c r="E25">
        <f>+(C25-C$7)/C$8</f>
        <v>3965.9340367933237</v>
      </c>
      <c r="F25" s="33">
        <f>ROUND(2*E25,0)/2+0.5</f>
        <v>3966.5</v>
      </c>
      <c r="G25">
        <f>+C25-(C$7+F25*C$8)</f>
        <v>-0.20489000008092262</v>
      </c>
      <c r="I25">
        <f>+G25</f>
        <v>-0.20489000008092262</v>
      </c>
      <c r="O25">
        <f ca="1">+C$11+C$12*$F25</f>
        <v>-0.22568053809403921</v>
      </c>
      <c r="Q25" s="2">
        <f>+C25-15018.5</f>
        <v>40361.887799999997</v>
      </c>
      <c r="S25">
        <f ca="1">+(O25-G25)^2</f>
        <v>4.3224647087484585E-4</v>
      </c>
    </row>
    <row r="26" spans="1:19" x14ac:dyDescent="0.2">
      <c r="A26" s="34" t="s">
        <v>47</v>
      </c>
      <c r="B26" s="35" t="s">
        <v>48</v>
      </c>
      <c r="C26" s="34">
        <v>55380.566599999998</v>
      </c>
      <c r="D26" s="34">
        <v>2.0000000000000001E-4</v>
      </c>
      <c r="E26" s="38">
        <f>+(C26-C$7)/C$8</f>
        <v>3966.4279321582248</v>
      </c>
      <c r="F26" s="33">
        <f>ROUND(2*E26,0)/2+0.5</f>
        <v>3967</v>
      </c>
      <c r="G26">
        <f>+C26-(C$7+F26*C$8)</f>
        <v>-0.207100000079663</v>
      </c>
      <c r="I26">
        <f>+G26</f>
        <v>-0.207100000079663</v>
      </c>
      <c r="O26">
        <f ca="1">+C$11+C$12*$F26</f>
        <v>-0.22569704000120785</v>
      </c>
      <c r="Q26" s="2">
        <f>+C26-15018.5</f>
        <v>40362.066599999998</v>
      </c>
      <c r="S26">
        <f ca="1">+(O26-G26)^2</f>
        <v>3.458498938435329E-4</v>
      </c>
    </row>
    <row r="27" spans="1:19" x14ac:dyDescent="0.2">
      <c r="A27" s="34" t="s">
        <v>47</v>
      </c>
      <c r="B27" s="35" t="s">
        <v>48</v>
      </c>
      <c r="C27" s="34">
        <v>55385.455900000001</v>
      </c>
      <c r="D27" s="34">
        <v>6.9999999999999999E-4</v>
      </c>
      <c r="E27" s="38">
        <f>+(C27-C$7)/C$8</f>
        <v>3979.9335395832363</v>
      </c>
      <c r="F27" s="33">
        <f>ROUND(2*E27,0)/2+0.5</f>
        <v>3980.5</v>
      </c>
      <c r="G27">
        <f>+C27-(C$7+F27*C$8)</f>
        <v>-0.20507000007637544</v>
      </c>
      <c r="I27">
        <f>+G27</f>
        <v>-0.20507000007637544</v>
      </c>
      <c r="O27">
        <f ca="1">+C$11+C$12*$F27</f>
        <v>-0.22614259149476143</v>
      </c>
      <c r="Q27" s="2">
        <f>+C27-15018.5</f>
        <v>40366.955900000001</v>
      </c>
      <c r="S27">
        <f ca="1">+(O27-G27)^2</f>
        <v>4.4405410908623504E-4</v>
      </c>
    </row>
    <row r="28" spans="1:19" x14ac:dyDescent="0.2">
      <c r="A28" s="34" t="s">
        <v>47</v>
      </c>
      <c r="B28" s="35" t="s">
        <v>48</v>
      </c>
      <c r="C28" s="34">
        <v>55387.445899999999</v>
      </c>
      <c r="D28" s="34">
        <v>2.9999999999999997E-4</v>
      </c>
      <c r="E28" s="38">
        <f>+(C28-C$7)/C$8</f>
        <v>3985.4304734542875</v>
      </c>
      <c r="F28" s="33">
        <f>ROUND(2*E28,0)/2+0.5</f>
        <v>3986</v>
      </c>
      <c r="G28">
        <f>+C28-(C$7+F28*C$8)</f>
        <v>-0.20618000008107629</v>
      </c>
      <c r="I28">
        <f>+G28</f>
        <v>-0.20618000008107629</v>
      </c>
      <c r="O28">
        <f ca="1">+C$11+C$12*$F28</f>
        <v>-0.22632411247361658</v>
      </c>
      <c r="Q28" s="2">
        <f>+C28-15018.5</f>
        <v>40368.945899999999</v>
      </c>
      <c r="S28">
        <f ca="1">+(O28-G28)^2</f>
        <v>4.0578526408329557E-4</v>
      </c>
    </row>
    <row r="29" spans="1:19" x14ac:dyDescent="0.2">
      <c r="A29" s="43" t="s">
        <v>50</v>
      </c>
      <c r="B29" s="43"/>
      <c r="C29" s="36">
        <v>55409.525300000001</v>
      </c>
      <c r="D29" s="36">
        <v>2.9999999999999997E-4</v>
      </c>
      <c r="E29" s="38">
        <f>+(C29-C$7)/C$8</f>
        <v>4046.4199215510844</v>
      </c>
      <c r="F29" s="33">
        <f>ROUND(2*E29,0)/2+0.5</f>
        <v>4047</v>
      </c>
      <c r="G29">
        <f>+C29-(C$7+F29*C$8)</f>
        <v>-0.21000000007916242</v>
      </c>
      <c r="I29">
        <f>+G29</f>
        <v>-0.21000000007916242</v>
      </c>
      <c r="O29">
        <f ca="1">+C$11+C$12*$F29</f>
        <v>-0.22833734514819196</v>
      </c>
      <c r="Q29" s="2">
        <f>+C29-15018.5</f>
        <v>40391.025300000001</v>
      </c>
      <c r="S29">
        <f ca="1">+(O29-G29)^2</f>
        <v>3.3625822418066186E-4</v>
      </c>
    </row>
    <row r="30" spans="1:19" x14ac:dyDescent="0.2">
      <c r="A30" s="43" t="s">
        <v>50</v>
      </c>
      <c r="B30" s="43"/>
      <c r="C30" s="36">
        <v>55418.395299999996</v>
      </c>
      <c r="D30" s="36">
        <v>4.0000000000000002E-4</v>
      </c>
      <c r="E30" s="38">
        <f>+(C30-C$7)/C$8</f>
        <v>4070.9213303130182</v>
      </c>
      <c r="F30" s="33">
        <f>ROUND(2*E30,0)/2+0.5</f>
        <v>4071.5</v>
      </c>
      <c r="G30">
        <f>+C30-(C$7+F30*C$8)</f>
        <v>-0.20949000008113217</v>
      </c>
      <c r="I30">
        <f>+G30</f>
        <v>-0.20949000008113217</v>
      </c>
      <c r="O30">
        <f ca="1">+C$11+C$12*$F30</f>
        <v>-0.22914593859945581</v>
      </c>
      <c r="Q30" s="2">
        <f>+C30-15018.5</f>
        <v>40399.895299999996</v>
      </c>
      <c r="S30">
        <f ca="1">+(O30-G30)^2</f>
        <v>3.8635591903611914E-4</v>
      </c>
    </row>
    <row r="31" spans="1:19" x14ac:dyDescent="0.2">
      <c r="A31" s="43" t="s">
        <v>50</v>
      </c>
      <c r="B31" s="43"/>
      <c r="C31" s="36">
        <v>55418.5743</v>
      </c>
      <c r="D31" s="36">
        <v>5.9999999999999995E-4</v>
      </c>
      <c r="E31" s="38">
        <f>+(C31-C$7)/C$8</f>
        <v>4071.4157781335907</v>
      </c>
      <c r="F31" s="33">
        <f>ROUND(2*E31,0)/2+0.5</f>
        <v>4072</v>
      </c>
      <c r="G31">
        <f>+C31-(C$7+F31*C$8)</f>
        <v>-0.21150000007764902</v>
      </c>
      <c r="I31">
        <f>+G31</f>
        <v>-0.21150000007764902</v>
      </c>
      <c r="O31">
        <f ca="1">+C$11+C$12*$F31</f>
        <v>-0.22916244050662446</v>
      </c>
      <c r="Q31" s="2">
        <f>+C31-15018.5</f>
        <v>40400.0743</v>
      </c>
      <c r="S31">
        <f ca="1">+(O31-G31)^2</f>
        <v>3.1196180190710612E-4</v>
      </c>
    </row>
    <row r="32" spans="1:19" x14ac:dyDescent="0.2">
      <c r="A32" s="43" t="s">
        <v>50</v>
      </c>
      <c r="B32" s="43"/>
      <c r="C32" s="36">
        <v>55429.432399999998</v>
      </c>
      <c r="D32" s="36">
        <v>5.0000000000000001E-4</v>
      </c>
      <c r="E32" s="38">
        <f>+(C32-C$7)/C$8</f>
        <v>4101.4088724377661</v>
      </c>
      <c r="F32" s="33">
        <f>ROUND(2*E32,0)/2+0.5</f>
        <v>4102</v>
      </c>
      <c r="G32">
        <f>+C32-(C$7+F32*C$8)</f>
        <v>-0.21400000007997733</v>
      </c>
      <c r="I32">
        <f>+G32</f>
        <v>-0.21400000007997733</v>
      </c>
      <c r="O32">
        <f ca="1">+C$11+C$12*$F32</f>
        <v>-0.2301525549367435</v>
      </c>
      <c r="Q32" s="2">
        <f>+C32-15018.5</f>
        <v>40410.932399999998</v>
      </c>
      <c r="S32">
        <f ca="1">+(O32-G32)^2</f>
        <v>2.6090502840084046E-4</v>
      </c>
    </row>
    <row r="33" spans="1:19" x14ac:dyDescent="0.2">
      <c r="A33" s="39" t="s">
        <v>49</v>
      </c>
      <c r="B33" s="40" t="s">
        <v>48</v>
      </c>
      <c r="C33" s="41">
        <v>56500.495000000003</v>
      </c>
      <c r="D33" s="42">
        <v>8.9999999999999998E-4</v>
      </c>
      <c r="E33" s="38">
        <f>+(C33-C$7)/C$8</f>
        <v>7059.981879453966</v>
      </c>
      <c r="F33" s="37">
        <f>ROUND(2*E33,0)/2+1</f>
        <v>7061</v>
      </c>
      <c r="G33">
        <f>+C33-(C$7+F33*C$8)</f>
        <v>-0.36858000007487135</v>
      </c>
      <c r="I33">
        <f>+G33</f>
        <v>-0.36858000007487135</v>
      </c>
      <c r="O33">
        <f ca="1">+C$11+C$12*$F33</f>
        <v>-0.32781084156081741</v>
      </c>
      <c r="Q33" s="2">
        <f>+C33-15018.5</f>
        <v>41481.995000000003</v>
      </c>
      <c r="S33">
        <f ca="1">+(O33-G33)^2</f>
        <v>1.6621242859440567E-3</v>
      </c>
    </row>
    <row r="34" spans="1:19" x14ac:dyDescent="0.2">
      <c r="A34" s="39" t="s">
        <v>49</v>
      </c>
      <c r="B34" s="40" t="s">
        <v>48</v>
      </c>
      <c r="C34" s="41">
        <v>56568.364500000003</v>
      </c>
      <c r="D34" s="42">
        <v>4.0000000000000002E-4</v>
      </c>
      <c r="E34" s="38">
        <f>+(C34-C$7)/C$8</f>
        <v>7247.4563283794423</v>
      </c>
      <c r="F34" s="37">
        <f>ROUND(2*E34,0)/2+1</f>
        <v>7248.5</v>
      </c>
      <c r="G34">
        <f>+C34-(C$7+F34*C$8)</f>
        <v>-0.37783000007766532</v>
      </c>
      <c r="I34">
        <f>+G34</f>
        <v>-0.37783000007766532</v>
      </c>
      <c r="O34">
        <f ca="1">+C$11+C$12*$F34</f>
        <v>-0.33399905674906138</v>
      </c>
      <c r="Q34" s="2">
        <f>+C34-15018.5</f>
        <v>41549.864500000003</v>
      </c>
      <c r="S34">
        <f ca="1">+(O34-G34)^2</f>
        <v>1.9211515930752897E-3</v>
      </c>
    </row>
    <row r="35" spans="1:19" x14ac:dyDescent="0.2">
      <c r="A35" s="39" t="s">
        <v>49</v>
      </c>
      <c r="B35" s="40" t="s">
        <v>48</v>
      </c>
      <c r="C35" s="41">
        <v>56579.406000000003</v>
      </c>
      <c r="D35" s="42">
        <v>1.5E-3</v>
      </c>
      <c r="E35" s="38">
        <f>+(C35-C$7)/C$8</f>
        <v>7277.9560245288239</v>
      </c>
      <c r="F35" s="37">
        <f>ROUND(2*E35,0)/2+1</f>
        <v>7279</v>
      </c>
      <c r="G35">
        <f>+C35-(C$7+F35*C$8)</f>
        <v>-0.37794000007852446</v>
      </c>
      <c r="I35">
        <f>+G35</f>
        <v>-0.37794000007852446</v>
      </c>
      <c r="O35">
        <f ca="1">+C$11+C$12*$F35</f>
        <v>-0.3350056730863491</v>
      </c>
      <c r="Q35" s="2">
        <f>+C35-15018.5</f>
        <v>41560.906000000003</v>
      </c>
      <c r="S35">
        <f ca="1">+(O35-G35)^2</f>
        <v>1.8433564342710382E-3</v>
      </c>
    </row>
    <row r="36" spans="1:19" x14ac:dyDescent="0.2">
      <c r="A36" s="44" t="s">
        <v>53</v>
      </c>
      <c r="B36" s="45" t="s">
        <v>48</v>
      </c>
      <c r="C36" s="47">
        <v>56579.407099999997</v>
      </c>
      <c r="D36" s="44">
        <v>4.1999999999999997E-3</v>
      </c>
      <c r="E36" s="38">
        <f>+(C36-C$7)/C$8</f>
        <v>7277.9590630349676</v>
      </c>
      <c r="F36" s="37">
        <f>ROUND(2*E36,0)/2+1</f>
        <v>7279</v>
      </c>
      <c r="G36">
        <f>+C36-(C$7+F36*C$8)</f>
        <v>-0.37684000008448493</v>
      </c>
      <c r="J36">
        <f>+G36</f>
        <v>-0.37684000008448493</v>
      </c>
      <c r="O36">
        <f ca="1">+C$11+C$12*$F36</f>
        <v>-0.3350056730863491</v>
      </c>
      <c r="Q36" s="2">
        <f>+C36-15018.5</f>
        <v>41560.907099999997</v>
      </c>
      <c r="S36">
        <f ca="1">+(O36-G36)^2</f>
        <v>1.7501109153869564E-3</v>
      </c>
    </row>
    <row r="37" spans="1:19" x14ac:dyDescent="0.2">
      <c r="A37" s="39" t="s">
        <v>49</v>
      </c>
      <c r="B37" s="40" t="s">
        <v>48</v>
      </c>
      <c r="C37" s="41">
        <v>56590.263899999998</v>
      </c>
      <c r="D37" s="42">
        <v>5.0000000000000001E-4</v>
      </c>
      <c r="E37" s="38">
        <f>+(C37-C$7)/C$8</f>
        <v>7307.9485663773285</v>
      </c>
      <c r="F37" s="37">
        <f>ROUND(2*E37,0)/2+1</f>
        <v>7309</v>
      </c>
      <c r="G37">
        <f>+C37-(C$7+F37*C$8)</f>
        <v>-0.3806400000830763</v>
      </c>
      <c r="I37">
        <f>+G37</f>
        <v>-0.3806400000830763</v>
      </c>
      <c r="O37">
        <f ca="1">+C$11+C$12*$F37</f>
        <v>-0.33599578751646808</v>
      </c>
      <c r="Q37" s="2">
        <f>+C37-15018.5</f>
        <v>41571.763899999998</v>
      </c>
      <c r="S37">
        <f ca="1">+(O37-G37)^2</f>
        <v>1.9931057156924994E-3</v>
      </c>
    </row>
    <row r="38" spans="1:19" x14ac:dyDescent="0.2">
      <c r="A38" s="44" t="s">
        <v>53</v>
      </c>
      <c r="B38" s="45" t="s">
        <v>48</v>
      </c>
      <c r="C38" s="47">
        <v>56590.264199999998</v>
      </c>
      <c r="D38" s="44">
        <v>3.5000000000000001E-3</v>
      </c>
      <c r="E38" s="38">
        <f>+(C38-C$7)/C$8</f>
        <v>7307.9493950608257</v>
      </c>
      <c r="F38" s="37">
        <f>ROUND(2*E38,0)/2+1</f>
        <v>7309</v>
      </c>
      <c r="G38">
        <f>+C38-(C$7+F38*C$8)</f>
        <v>-0.38034000008337898</v>
      </c>
      <c r="J38">
        <f>+G38</f>
        <v>-0.38034000008337898</v>
      </c>
      <c r="O38">
        <f ca="1">+C$11+C$12*$F38</f>
        <v>-0.33599578751646808</v>
      </c>
      <c r="Q38" s="2">
        <f>+C38-15018.5</f>
        <v>41571.764199999998</v>
      </c>
      <c r="S38">
        <f ca="1">+(O38-G38)^2</f>
        <v>1.9664091881793789E-3</v>
      </c>
    </row>
    <row r="39" spans="1:19" x14ac:dyDescent="0.2">
      <c r="A39" s="44" t="s">
        <v>53</v>
      </c>
      <c r="B39" s="45" t="s">
        <v>52</v>
      </c>
      <c r="C39" s="47">
        <v>56596.234799999998</v>
      </c>
      <c r="D39" s="44">
        <v>4.8999999999999998E-3</v>
      </c>
      <c r="E39" s="38">
        <f>+(C39-C$7)/C$8</f>
        <v>7324.4418540409943</v>
      </c>
      <c r="F39" s="37">
        <f>ROUND(2*E39,0)/2+1</f>
        <v>7325.5</v>
      </c>
      <c r="G39">
        <f>+C39-(C$7+F39*C$8)</f>
        <v>-0.38307000007625902</v>
      </c>
      <c r="J39">
        <f>+G39</f>
        <v>-0.38307000007625902</v>
      </c>
      <c r="O39">
        <f ca="1">+C$11+C$12*$F39</f>
        <v>-0.33654035045303354</v>
      </c>
      <c r="Q39" s="2">
        <f>+C39-15018.5</f>
        <v>41577.734799999998</v>
      </c>
      <c r="S39">
        <f ca="1">+(O39-G39)^2</f>
        <v>2.1650082940601269E-3</v>
      </c>
    </row>
    <row r="40" spans="1:19" x14ac:dyDescent="0.2">
      <c r="A40" s="39" t="s">
        <v>49</v>
      </c>
      <c r="B40" s="40" t="s">
        <v>48</v>
      </c>
      <c r="C40" s="41">
        <v>56596.237099999998</v>
      </c>
      <c r="D40" s="42">
        <v>1.5E-3</v>
      </c>
      <c r="E40" s="38">
        <f>+(C40-C$7)/C$8</f>
        <v>7324.448207281147</v>
      </c>
      <c r="F40" s="37">
        <f>ROUND(2*E40,0)/2+1</f>
        <v>7325.5</v>
      </c>
      <c r="G40">
        <f>+C40-(C$7+F40*C$8)</f>
        <v>-0.38077000007615425</v>
      </c>
      <c r="I40">
        <f>+G40</f>
        <v>-0.38077000007615425</v>
      </c>
      <c r="O40">
        <f ca="1">+C$11+C$12*$F40</f>
        <v>-0.33654035045303354</v>
      </c>
      <c r="Q40" s="2">
        <f>+C40-15018.5</f>
        <v>41577.737099999998</v>
      </c>
      <c r="S40">
        <f ca="1">+(O40-G40)^2</f>
        <v>1.9562619057840215E-3</v>
      </c>
    </row>
    <row r="41" spans="1:19" x14ac:dyDescent="0.2">
      <c r="A41" s="39" t="s">
        <v>49</v>
      </c>
      <c r="B41" s="40" t="s">
        <v>48</v>
      </c>
      <c r="C41" s="41">
        <v>56624.289100000002</v>
      </c>
      <c r="D41" s="42">
        <v>6.9999999999999999E-4</v>
      </c>
      <c r="E41" s="38">
        <f>+(C41-C$7)/C$8</f>
        <v>7401.935638914767</v>
      </c>
      <c r="F41" s="37">
        <f>ROUND(2*E41,0)/2+1</f>
        <v>7403</v>
      </c>
      <c r="G41">
        <f>+C41-(C$7+F41*C$8)</f>
        <v>-0.38532000007398892</v>
      </c>
      <c r="I41">
        <f>+G41</f>
        <v>-0.38532000007398892</v>
      </c>
      <c r="O41">
        <f ca="1">+C$11+C$12*$F41</f>
        <v>-0.33909814606417443</v>
      </c>
      <c r="Q41" s="2">
        <f>+C41-15018.5</f>
        <v>41605.789100000002</v>
      </c>
      <c r="S41">
        <f ca="1">+(O41-G41)^2</f>
        <v>2.136459788104604E-3</v>
      </c>
    </row>
    <row r="42" spans="1:19" x14ac:dyDescent="0.2">
      <c r="A42" s="44" t="s">
        <v>53</v>
      </c>
      <c r="B42" s="45" t="s">
        <v>48</v>
      </c>
      <c r="C42" s="47">
        <v>56624.289199999999</v>
      </c>
      <c r="D42" s="44">
        <v>3.5000000000000001E-3</v>
      </c>
      <c r="E42" s="38">
        <f>+(C42-C$7)/C$8</f>
        <v>7401.9359151425933</v>
      </c>
      <c r="F42" s="37">
        <f>ROUND(2*E42,0)/2+1</f>
        <v>7403</v>
      </c>
      <c r="G42">
        <f>+C42-(C$7+F42*C$8)</f>
        <v>-0.38522000007651513</v>
      </c>
      <c r="J42">
        <f>+G42</f>
        <v>-0.38522000007651513</v>
      </c>
      <c r="O42">
        <f ca="1">+C$11+C$12*$F42</f>
        <v>-0.33909814606417443</v>
      </c>
      <c r="Q42" s="2">
        <f>+C42-15018.5</f>
        <v>41605.789199999999</v>
      </c>
      <c r="S42">
        <f ca="1">+(O42-G42)^2</f>
        <v>2.1272254175356679E-3</v>
      </c>
    </row>
    <row r="43" spans="1:19" x14ac:dyDescent="0.2">
      <c r="A43" s="39" t="s">
        <v>49</v>
      </c>
      <c r="B43" s="40" t="s">
        <v>48</v>
      </c>
      <c r="C43" s="41">
        <v>56630.261299999998</v>
      </c>
      <c r="D43" s="42">
        <v>3.3999999999999998E-3</v>
      </c>
      <c r="E43" s="38">
        <f>+(C43-C$7)/C$8</f>
        <v>7418.4325175402482</v>
      </c>
      <c r="F43" s="37">
        <f>ROUND(2*E43,0)/2+1</f>
        <v>7419.5</v>
      </c>
      <c r="G43">
        <f>+C43-(C$7+F43*C$8)</f>
        <v>-0.38645000007818453</v>
      </c>
      <c r="I43">
        <f>+G43</f>
        <v>-0.38645000007818453</v>
      </c>
      <c r="O43">
        <f ca="1">+C$11+C$12*$F43</f>
        <v>-0.3396427090007399</v>
      </c>
      <c r="Q43" s="2">
        <f>+C43-15018.5</f>
        <v>41611.761299999998</v>
      </c>
      <c r="S43">
        <f ca="1">+(O43-G43)^2</f>
        <v>2.1909224980086279E-3</v>
      </c>
    </row>
    <row r="44" spans="1:19" x14ac:dyDescent="0.2">
      <c r="A44" s="44" t="s">
        <v>51</v>
      </c>
      <c r="B44" s="45" t="s">
        <v>52</v>
      </c>
      <c r="C44" s="46">
        <v>56918.388500000001</v>
      </c>
      <c r="D44" s="44">
        <v>3.5000000000000001E-3</v>
      </c>
      <c r="E44" s="38">
        <f>+(C44-C$7)/C$8</f>
        <v>8214.320037566773</v>
      </c>
      <c r="F44" s="37">
        <f>ROUND(2*E44,0)/2+1</f>
        <v>8215.5</v>
      </c>
      <c r="G44">
        <f>+C44-(C$7+F44*C$8)</f>
        <v>-0.42717000007542083</v>
      </c>
      <c r="J44">
        <f>+G44</f>
        <v>-0.42717000007542083</v>
      </c>
      <c r="O44">
        <f ca="1">+C$11+C$12*$F44</f>
        <v>-0.36591374521323156</v>
      </c>
      <c r="Q44" s="2">
        <f>+C44-15018.5</f>
        <v>41899.888500000001</v>
      </c>
      <c r="S44">
        <f ca="1">+(O44-G44)^2</f>
        <v>3.7523287597414873E-3</v>
      </c>
    </row>
    <row r="45" spans="1:19" x14ac:dyDescent="0.2">
      <c r="A45" s="44" t="s">
        <v>51</v>
      </c>
      <c r="B45" s="45" t="s">
        <v>48</v>
      </c>
      <c r="C45" s="46">
        <v>58043.385199999997</v>
      </c>
      <c r="D45" s="44">
        <v>3.5000000000000001E-3</v>
      </c>
      <c r="E45" s="38">
        <f>+(C45-C$7)/C$8</f>
        <v>11321.874040108058</v>
      </c>
      <c r="F45" s="37">
        <f>ROUND(2*E45,0)/2+1</f>
        <v>11323</v>
      </c>
      <c r="G45">
        <f>+C45-(C$7+F45*C$8)</f>
        <v>-0.40762000007816823</v>
      </c>
      <c r="J45">
        <f>+G45</f>
        <v>-0.40762000007816823</v>
      </c>
      <c r="O45">
        <f ca="1">+C$11+C$12*$F45</f>
        <v>-0.46847309826639466</v>
      </c>
      <c r="Q45" s="2">
        <f>+C45-15018.5</f>
        <v>43024.885199999997</v>
      </c>
      <c r="S45">
        <f ca="1">+(O45-G45)^2</f>
        <v>3.7030995591059265E-3</v>
      </c>
    </row>
    <row r="46" spans="1:19" x14ac:dyDescent="0.2">
      <c r="A46" s="44" t="s">
        <v>51</v>
      </c>
      <c r="B46" s="45" t="s">
        <v>48</v>
      </c>
      <c r="C46" s="46">
        <v>59461.393799999998</v>
      </c>
      <c r="D46" s="44">
        <v>3.5000000000000001E-3</v>
      </c>
      <c r="E46" s="38">
        <f>+(C46-C$7)/C$8</f>
        <v>15238.808463620575</v>
      </c>
      <c r="F46" s="37">
        <f>ROUND(2*E46,0)/2+1</f>
        <v>15240</v>
      </c>
      <c r="G46">
        <f>+C46-(C$7+F46*C$8)</f>
        <v>-0.43136000008234987</v>
      </c>
      <c r="J46">
        <f>+G46</f>
        <v>-0.43136000008234987</v>
      </c>
      <c r="O46">
        <f ca="1">+C$11+C$12*$F46</f>
        <v>-0.59774903902560306</v>
      </c>
      <c r="Q46" s="2">
        <f>+C46-15018.5</f>
        <v>44442.893799999998</v>
      </c>
      <c r="S46">
        <f ca="1">+(O46-G46)^2</f>
        <v>2.7685312280459427E-2</v>
      </c>
    </row>
    <row r="47" spans="1:19" x14ac:dyDescent="0.2">
      <c r="C47" s="8"/>
      <c r="D47" s="8"/>
    </row>
    <row r="48" spans="1:19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sortState xmlns:xlrd2="http://schemas.microsoft.com/office/spreadsheetml/2017/richdata2" ref="A21:T47">
    <sortCondition ref="C21:C47"/>
  </sortState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2023-08-15T07:55:48Z</dcterms:modified>
</cp:coreProperties>
</file>