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32760" windowWidth="8970" windowHeight="1450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<sst xmlns="http://schemas.openxmlformats.org/spreadsheetml/2006/main" count="351" uniqueCount="196">
  <si>
    <t>TV Mon / GSC 00141-01085</t>
  </si>
  <si>
    <t>System Type:</t>
  </si>
  <si>
    <t>EA/SD</t>
  </si>
  <si>
    <t>GCVS 4 Eph.</t>
  </si>
  <si>
    <t>--- Working ----</t>
  </si>
  <si>
    <t>Epoch =</t>
  </si>
  <si>
    <t>Period =</t>
  </si>
  <si>
    <t>My time zone &gt;&gt;&gt;&gt;&gt;</t>
  </si>
  <si>
    <t>(PST=8, PDT=MDT=7, MDT=CST=6, etc.)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</si>
  <si>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</si>
  <si>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</si>
  <si>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</si>
  <si>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</si>
  <si>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</si>
  <si>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</si>
  <si>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</si>
  <si>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JD today</t>
  </si>
  <si>
    <t>New Period =</t>
  </si>
  <si>
    <t>New Cycle</t>
  </si>
  <si>
    <t># of data points:</t>
  </si>
  <si>
    <t>Next ToM</t>
  </si>
  <si>
    <t>New Ephemeris =</t>
  </si>
  <si>
    <t>Local time</t>
  </si>
  <si>
    <t>Start of linear fit &gt;&gt;&gt;&gt;&gt;&gt;&gt;&gt;&gt;&gt;&gt;&gt;&gt;&gt;&gt;&gt;&gt;&gt;&gt;&gt;&gt;</t>
  </si>
  <si>
    <t>Source</t>
  </si>
  <si>
    <t>Typ</t>
  </si>
  <si>
    <t>ToM</t>
  </si>
  <si>
    <t>error</t>
  </si>
  <si>
    <t>n'</t>
  </si>
  <si>
    <t>n</t>
  </si>
  <si>
    <t>O-C</t>
  </si>
  <si>
    <t>GCVS 4</t>
  </si>
  <si>
    <t>BBSAG</t>
  </si>
  <si>
    <t>IBVS</t>
  </si>
  <si>
    <t>S3</t>
  </si>
  <si>
    <t>S4</t>
  </si>
  <si>
    <t>S5</t>
  </si>
  <si>
    <t>Misc</t>
  </si>
  <si>
    <t>Lin Fit</t>
  </si>
  <si>
    <t>Q. Fit</t>
  </si>
  <si>
    <t>Date</t>
  </si>
  <si>
    <t> PZ 4.157 </t>
  </si>
  <si>
    <t>I</t>
  </si>
  <si>
    <t> AAC 1.32 </t>
  </si>
  <si>
    <t> BZ 13.15 </t>
  </si>
  <si>
    <t> VSS 1.117 </t>
  </si>
  <si>
    <t> SAC 22.86 </t>
  </si>
  <si>
    <t>BBSAG Bull.18</t>
  </si>
  <si>
    <t>Locher K</t>
  </si>
  <si>
    <t>B</t>
  </si>
  <si>
    <t>BBSAG Bull.36</t>
  </si>
  <si>
    <t>v</t>
  </si>
  <si>
    <t>BBSAG Bull.41</t>
  </si>
  <si>
    <t>BBSAG Bull.46</t>
  </si>
  <si>
    <t>BBSAG 57</t>
  </si>
  <si>
    <t>K</t>
  </si>
  <si>
    <t>BBSAG Bull.63</t>
  </si>
  <si>
    <t>BBSAG Bull.79</t>
  </si>
  <si>
    <t>BBSAG Bull.82</t>
  </si>
  <si>
    <t>BBSAG Bull.91</t>
  </si>
  <si>
    <t>BBSAG Bull.114</t>
  </si>
  <si>
    <t>ccd</t>
  </si>
  <si>
    <t>Diethelm R</t>
  </si>
  <si>
    <t>BBSAG 119</t>
  </si>
  <si>
    <t>K.Locher</t>
  </si>
  <si>
    <t>IBVS 4912</t>
  </si>
  <si>
    <t>IBVS 5263</t>
  </si>
  <si>
    <t>IBVS 5745</t>
  </si>
  <si>
    <t> BBS 124 </t>
  </si>
  <si>
    <t> BBS 127 </t>
  </si>
  <si>
    <t>IBVS 5543</t>
  </si>
  <si>
    <t>BAVM 203 </t>
  </si>
  <si>
    <t>VSB 067</t>
  </si>
  <si>
    <t>V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</si>
  <si>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</si>
  <si>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</si>
  <si>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</si>
  <si>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</si>
  <si>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</si>
  <si>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</si>
  <si>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</si>
  <si>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</si>
  <si>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</si>
  <si>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vis</t>
  </si>
  <si>
    <t>2442365.503 </t>
  </si>
  <si>
    <t> 14.11.1974 00:04 </t>
  </si>
  <si>
    <t> 0.013 </t>
  </si>
  <si>
    <t>V </t>
  </si>
  <si>
    <t> K.Locher </t>
  </si>
  <si>
    <t> BBS 18 </t>
  </si>
  <si>
    <t>2443481.481 </t>
  </si>
  <si>
    <t> 03.12.1977 23:32 </t>
  </si>
  <si>
    <t> 0.000 </t>
  </si>
  <si>
    <t> BBS 36 </t>
  </si>
  <si>
    <t>2443899.449 </t>
  </si>
  <si>
    <t> 25.01.1979 22:46 </t>
  </si>
  <si>
    <t> -0.006 </t>
  </si>
  <si>
    <t> BBS 41 </t>
  </si>
  <si>
    <t>2444225.475 </t>
  </si>
  <si>
    <t> 17.12.1979 23:24 </t>
  </si>
  <si>
    <t> BBS 46 </t>
  </si>
  <si>
    <t>2444267.277 </t>
  </si>
  <si>
    <t> 28.01.1980 18:38 </t>
  </si>
  <si>
    <t> 0.005 </t>
  </si>
  <si>
    <t>2444902.602 </t>
  </si>
  <si>
    <t> 25.10.1981 02:26 </t>
  </si>
  <si>
    <t> 0.009 </t>
  </si>
  <si>
    <t> BBS 57 </t>
  </si>
  <si>
    <t>2445274.600 </t>
  </si>
  <si>
    <t> 01.11.1982 02:24 </t>
  </si>
  <si>
    <t> 0.010 </t>
  </si>
  <si>
    <t> BBS 63 </t>
  </si>
  <si>
    <t>2446478.370 </t>
  </si>
  <si>
    <t> 16.02.1986 20:52 </t>
  </si>
  <si>
    <t> 0.014 </t>
  </si>
  <si>
    <t> BBS 79 </t>
  </si>
  <si>
    <t>2446762.587 </t>
  </si>
  <si>
    <t> 28.11.1986 02:05 </t>
  </si>
  <si>
    <t> BBS 82 </t>
  </si>
  <si>
    <t>2447552.549 </t>
  </si>
  <si>
    <t> 26.01.1989 01:10 </t>
  </si>
  <si>
    <t> -0.001 </t>
  </si>
  <si>
    <t> BBS 91 </t>
  </si>
  <si>
    <t>2450524.3490 </t>
  </si>
  <si>
    <t> 16.03.1997 20:22 </t>
  </si>
  <si>
    <t> 0.0028 </t>
  </si>
  <si>
    <t>E </t>
  </si>
  <si>
    <t>?</t>
  </si>
  <si>
    <t> R.Diethelm </t>
  </si>
  <si>
    <t> BBS 114 </t>
  </si>
  <si>
    <t>2451180.5694 </t>
  </si>
  <si>
    <t> 02.01.1999 01:39 </t>
  </si>
  <si>
    <t> 0.0037 </t>
  </si>
  <si>
    <t> BBS 119 </t>
  </si>
  <si>
    <t>2451197.2898 </t>
  </si>
  <si>
    <t> 18.01.1999 18:57 </t>
  </si>
  <si>
    <t> 0.0051 </t>
  </si>
  <si>
    <t>o</t>
  </si>
  <si>
    <t> D.Husar </t>
  </si>
  <si>
    <t>BAVM 128 </t>
  </si>
  <si>
    <t>2451481.5142 </t>
  </si>
  <si>
    <t> 30.10.1999 00:20 </t>
  </si>
  <si>
    <t> 0.0071 </t>
  </si>
  <si>
    <t> J.Safar </t>
  </si>
  <si>
    <t>IBVS 5263 </t>
  </si>
  <si>
    <t>2451489.8738 </t>
  </si>
  <si>
    <t> 07.11.1999 08:58 </t>
  </si>
  <si>
    <t> 0.0072 </t>
  </si>
  <si>
    <t> Smith &amp; Caton </t>
  </si>
  <si>
    <t>IBVS 5745 </t>
  </si>
  <si>
    <t>2452990.425 </t>
  </si>
  <si>
    <t> 16.12.2003 22:12 </t>
  </si>
  <si>
    <t> 0.031 </t>
  </si>
  <si>
    <t> BBS 130 </t>
  </si>
  <si>
    <t>2420154.26 </t>
  </si>
  <si>
    <t> 21.01.1914 18:14 </t>
  </si>
  <si>
    <t> -0.08 </t>
  </si>
  <si>
    <t>P </t>
  </si>
  <si>
    <t> P.Parenago </t>
  </si>
  <si>
    <t>2424530.48 </t>
  </si>
  <si>
    <t> 14.01.1926 23:31 </t>
  </si>
  <si>
    <t> -0.05 </t>
  </si>
  <si>
    <t>2424618.260 </t>
  </si>
  <si>
    <t> 12.04.1926 18:14 </t>
  </si>
  <si>
    <t> -0.045 </t>
  </si>
  <si>
    <t> J.Pagaczewski </t>
  </si>
  <si>
    <t>2426407.18 </t>
  </si>
  <si>
    <t> 06.03.1931 16:19 </t>
  </si>
  <si>
    <t> M.Esch </t>
  </si>
  <si>
    <t>2427502.308 </t>
  </si>
  <si>
    <t> 05.03.1934 19:23 </t>
  </si>
  <si>
    <t> -0.019 </t>
  </si>
  <si>
    <t> P.Ahnert </t>
  </si>
  <si>
    <t>2428597.306 </t>
  </si>
  <si>
    <t> 04.03.1937 19:20 </t>
  </si>
  <si>
    <t> -0.114 </t>
  </si>
  <si>
    <t>2428835.662 </t>
  </si>
  <si>
    <t> 29.10.1937 03:53 </t>
  </si>
  <si>
    <t> -0.003 </t>
  </si>
  <si>
    <t>2429249.479 </t>
  </si>
  <si>
    <t> 16.12.1938 23:29 </t>
  </si>
  <si>
    <t> 0.020 </t>
  </si>
  <si>
    <t>2429642.352 </t>
  </si>
  <si>
    <t> 13.01.1940 20:26 </t>
  </si>
  <si>
    <t>2432944.353 </t>
  </si>
  <si>
    <t> 27.01.1949 20:28 </t>
  </si>
  <si>
    <t> 0.002 </t>
  </si>
  <si>
    <t>2451878.597 </t>
  </si>
  <si>
    <t> 30.11.2000 02:19 </t>
  </si>
  <si>
    <t>2452338.363 </t>
  </si>
  <si>
    <t> 04.03.2002 20:42 </t>
  </si>
  <si>
    <t>2454457.4942 </t>
  </si>
  <si>
    <t> 22.12.2007 23:51 </t>
  </si>
  <si>
    <t> 0.0108 </t>
  </si>
  <si>
    <t>C </t>
  </si>
  <si>
    <t> Moschner &amp; Frank 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</si>
</sst>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&quot;($&quot;#,##0\)"/>
    <numFmt numFmtId="173" formatCode="m/d/yyyy\ h:mm"/>
    <numFmt numFmtId="174" formatCode="m/d/yyyy"/>
  </numFmts>
  <fonts count="49">
    <font>
      <sz val="1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6"/>
      <name val="Arial"/>
      <family val="2"/>
    </font>
    <font>
      <sz val="10"/>
      <name val="Arial Unicode MS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3" fontId="0" fillId="0" borderId="0" applyFill="0" applyBorder="0" applyProtection="0">
      <alignment vertical="top"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2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7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Protection="0">
      <alignment vertical="top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13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173" fontId="6" fillId="0" borderId="0" xfId="0" applyNumberFormat="1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17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vertical="top"/>
    </xf>
    <xf numFmtId="0" fontId="14" fillId="0" borderId="0" xfId="56" applyNumberFormat="1" applyFont="1" applyFill="1" applyBorder="1" applyAlignment="1" applyProtection="1">
      <alignment horizontal="left"/>
      <protection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vertical="top"/>
    </xf>
    <xf numFmtId="0" fontId="2" fillId="33" borderId="20" xfId="0" applyFont="1" applyFill="1" applyBorder="1" applyAlignment="1">
      <alignment horizontal="left" vertical="top" wrapText="1" inden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right" vertical="top" wrapText="1"/>
    </xf>
    <xf numFmtId="0" fontId="14" fillId="33" borderId="20" xfId="56" applyNumberFormat="1" applyFont="1" applyFill="1" applyBorder="1" applyAlignment="1" applyProtection="1">
      <alignment horizontal="righ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TV Mon - O-C Diagr.</a:t>
            </a:r>
          </a:p>
        </c:rich>
      </c:tx>
      <c:layout>
        <c:manualLayout>
          <c:xMode val="factor"/>
          <c:yMode val="factor"/>
          <c:x val="-0.006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19475"/>
          <c:w val="0.88325"/>
          <c:h val="0.672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A!$F$21:$F$52</c:f>
              <c:numCache/>
            </c:numRef>
          </c:xVal>
          <c:yVal>
            <c:numRef>
              <c:f>A!$H$21:$H$52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A!$F$21:$F$52</c:f>
              <c:numCache/>
            </c:numRef>
          </c:xVal>
          <c:yVal>
            <c:numRef>
              <c:f>A!$I$21:$I$52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A!$F$21:$F$52</c:f>
              <c:numCache/>
            </c:numRef>
          </c:xVal>
          <c:yVal>
            <c:numRef>
              <c:f>A!$J$21:$J$52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A!$F$21:$F$52</c:f>
              <c:numCache/>
            </c:numRef>
          </c:xVal>
          <c:yVal>
            <c:numRef>
              <c:f>A!$K$21:$K$52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A!$F$21:$F$52</c:f>
              <c:numCache/>
            </c:numRef>
          </c:xVal>
          <c:yVal>
            <c:numRef>
              <c:f>A!$L$21:$L$52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A!$F$21:$F$52</c:f>
              <c:numCache/>
            </c:numRef>
          </c:xVal>
          <c:yVal>
            <c:numRef>
              <c:f>A!$M$21:$M$52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A!$F$21:$F$52</c:f>
              <c:numCache/>
            </c:numRef>
          </c:xVal>
          <c:yVal>
            <c:numRef>
              <c:f>A!$N$21:$N$52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A!$F$21:$F$52</c:f>
              <c:numCache/>
            </c:numRef>
          </c:xVal>
          <c:yVal>
            <c:numRef>
              <c:f>A!$O$21:$O$52</c:f>
              <c:numCache/>
            </c:numRef>
          </c:yVal>
          <c:smooth val="0"/>
        </c:ser>
        <c:axId val="64450568"/>
        <c:axId val="43184201"/>
      </c:scatterChart>
      <c:valAx>
        <c:axId val="64450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84201"/>
        <c:crossesAt val="0"/>
        <c:crossBetween val="midCat"/>
        <c:dispUnits/>
      </c:valAx>
      <c:valAx>
        <c:axId val="4318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50568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19"/>
          <c:w val="0.9937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13</xdr:col>
      <xdr:colOff>47625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810000" y="0"/>
        <a:ext cx="4610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28" TargetMode="External" /><Relationship Id="rId2" Type="http://schemas.openxmlformats.org/officeDocument/2006/relationships/hyperlink" Target="http://www.konkoly.hu/cgi-bin/IBVS?5263" TargetMode="External" /><Relationship Id="rId3" Type="http://schemas.openxmlformats.org/officeDocument/2006/relationships/hyperlink" Target="http://www.konkoly.hu/cgi-bin/IBVS?5745" TargetMode="External" /><Relationship Id="rId4" Type="http://schemas.openxmlformats.org/officeDocument/2006/relationships/hyperlink" Target="http://www.bav-astro.de/sfs/BAVM_link.php?BAVMnr=20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1" customWidth="1"/>
    <col min="2" max="2" width="5.140625" style="1" customWidth="1"/>
    <col min="3" max="3" width="11.8515625" style="1" customWidth="1"/>
    <col min="4" max="4" width="9.421875" style="1" customWidth="1"/>
    <col min="5" max="5" width="16.00390625" style="1" customWidth="1"/>
    <col min="6" max="6" width="9.140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2" t="s">
        <v>0</v>
      </c>
    </row>
    <row r="2" spans="1:2" ht="12.75">
      <c r="A2" s="1" t="s">
        <v>1</v>
      </c>
      <c r="B2" s="3" t="s">
        <v>2</v>
      </c>
    </row>
    <row r="4" spans="1:4" ht="12.75">
      <c r="A4" s="4" t="s">
        <v>3</v>
      </c>
      <c r="C4" s="5">
        <v>44225.475</v>
      </c>
      <c r="D4" s="6">
        <v>4.179742</v>
      </c>
    </row>
    <row r="6" ht="12.75">
      <c r="A6" s="4" t="s">
        <v>4</v>
      </c>
    </row>
    <row r="7" spans="1:3" ht="12.75">
      <c r="A7" s="1" t="s">
        <v>5</v>
      </c>
      <c r="C7" s="1">
        <f>+C4</f>
        <v>44225.475</v>
      </c>
    </row>
    <row r="8" spans="1:3" ht="12.75">
      <c r="A8" s="1" t="s">
        <v>6</v>
      </c>
      <c r="C8" s="1">
        <f>+D4</f>
        <v>4.179742</v>
      </c>
    </row>
    <row r="9" spans="1:5" ht="12.75">
      <c r="A9" s="7" t="s">
        <v>7</v>
      </c>
      <c r="B9"/>
      <c r="C9" s="8">
        <v>-9.5</v>
      </c>
      <c r="D9" t="s">
        <v>8</v>
      </c>
      <c r="E9"/>
    </row>
    <row r="10" spans="1:5" ht="12.75">
      <c r="A10"/>
      <c r="B10"/>
      <c r="C10" s="9" t="s">
        <v>9</v>
      </c>
      <c r="D10" s="9" t="s">
        <v>10</v>
      </c>
      <c r="E10"/>
    </row>
    <row r="11" spans="1:7" ht="12.75">
      <c r="A11" t="s">
        <v>11</v>
      </c>
      <c r="B11"/>
      <c r="C11" s="10">
        <f ca="1">INTERCEPT(INDIRECT($G$11):G974,INDIRECT($F$11):F974)</f>
        <v>-0.001474853612780107</v>
      </c>
      <c r="D11" s="11"/>
      <c r="E11"/>
      <c r="F11" s="12" t="str">
        <f>"F"&amp;E19</f>
        <v>F21</v>
      </c>
      <c r="G11" s="13" t="str">
        <f>"G"&amp;E19</f>
        <v>G21</v>
      </c>
    </row>
    <row r="12" spans="1:5" ht="12.75">
      <c r="A12" t="s">
        <v>12</v>
      </c>
      <c r="B12"/>
      <c r="C12" s="10">
        <f ca="1">SLOPE(INDIRECT($G$11):G974,INDIRECT($F$11):F974)</f>
        <v>8.22731121720023E-06</v>
      </c>
      <c r="D12" s="11"/>
      <c r="E12"/>
    </row>
    <row r="13" spans="1:5" ht="12.75">
      <c r="A13" t="s">
        <v>13</v>
      </c>
      <c r="B13"/>
      <c r="C13" s="11" t="s">
        <v>14</v>
      </c>
      <c r="D13" s="11"/>
      <c r="E13"/>
    </row>
    <row r="14" spans="1:5" ht="12.75">
      <c r="A14"/>
      <c r="B14"/>
      <c r="C14"/>
      <c r="D14"/>
      <c r="E14"/>
    </row>
    <row r="15" spans="1:5" ht="12.75">
      <c r="A15" s="14" t="s">
        <v>15</v>
      </c>
      <c r="B15"/>
      <c r="C15" s="15">
        <f>(C7+C11)+(C8+C12)*INT(MAX(F21:F3515))</f>
        <v>58821.161318917155</v>
      </c>
      <c r="D15" s="16" t="s">
        <v>16</v>
      </c>
      <c r="E15" s="10">
        <f ca="1">TODAY()+15018.5-B9/24</f>
        <v>59903.5</v>
      </c>
    </row>
    <row r="16" spans="1:5" ht="12.75">
      <c r="A16" s="14" t="s">
        <v>17</v>
      </c>
      <c r="B16"/>
      <c r="C16" s="15">
        <f>+C8+C12</f>
        <v>4.179750227311217</v>
      </c>
      <c r="D16" s="16" t="s">
        <v>18</v>
      </c>
      <c r="E16" s="10">
        <f>ROUND(2*(E15-C15)/C16,0)/2+1</f>
        <v>260</v>
      </c>
    </row>
    <row r="17" spans="1:5" ht="12.75">
      <c r="A17" s="16" t="s">
        <v>19</v>
      </c>
      <c r="B17"/>
      <c r="C17">
        <f>COUNT(C21:C2173)</f>
        <v>32</v>
      </c>
      <c r="D17" s="16" t="s">
        <v>20</v>
      </c>
      <c r="E17" s="17">
        <f>+C15+C16*E16-15018.5-C9/24</f>
        <v>44889.79221135141</v>
      </c>
    </row>
    <row r="18" spans="1:5" ht="12.75">
      <c r="A18" s="14" t="s">
        <v>21</v>
      </c>
      <c r="B18"/>
      <c r="C18" s="18">
        <f>+C15</f>
        <v>58821.161318917155</v>
      </c>
      <c r="D18" s="19">
        <f>+C16</f>
        <v>4.179750227311217</v>
      </c>
      <c r="E18" s="20" t="s">
        <v>22</v>
      </c>
    </row>
    <row r="19" spans="1:5" ht="12.75">
      <c r="A19" s="21" t="s">
        <v>23</v>
      </c>
      <c r="E19" s="22">
        <v>21</v>
      </c>
    </row>
    <row r="20" spans="1:17" ht="12.75">
      <c r="A20" s="9" t="s">
        <v>24</v>
      </c>
      <c r="B20" s="9" t="s">
        <v>25</v>
      </c>
      <c r="C20" s="9" t="s">
        <v>26</v>
      </c>
      <c r="D20" s="9" t="s">
        <v>27</v>
      </c>
      <c r="E20" s="9" t="s">
        <v>28</v>
      </c>
      <c r="F20" s="9" t="s">
        <v>29</v>
      </c>
      <c r="G20" s="9" t="s">
        <v>30</v>
      </c>
      <c r="H20" s="23" t="s">
        <v>31</v>
      </c>
      <c r="I20" s="23" t="s">
        <v>32</v>
      </c>
      <c r="J20" s="23" t="s">
        <v>33</v>
      </c>
      <c r="K20" s="23" t="s">
        <v>34</v>
      </c>
      <c r="L20" s="23" t="s">
        <v>35</v>
      </c>
      <c r="M20" s="23" t="s">
        <v>36</v>
      </c>
      <c r="N20" s="23" t="s">
        <v>37</v>
      </c>
      <c r="O20" s="23" t="s">
        <v>38</v>
      </c>
      <c r="P20" s="23" t="s">
        <v>39</v>
      </c>
      <c r="Q20" s="9" t="s">
        <v>40</v>
      </c>
    </row>
    <row r="21" spans="1:17" ht="12.75">
      <c r="A21" s="24" t="s">
        <v>41</v>
      </c>
      <c r="B21" s="25" t="s">
        <v>42</v>
      </c>
      <c r="C21" s="24">
        <v>20154.26</v>
      </c>
      <c r="D21" s="26"/>
      <c r="E21" s="1">
        <f aca="true" t="shared" si="0" ref="E21:E50">+(C21-C$7)/C$8</f>
        <v>-5759.019336600201</v>
      </c>
      <c r="F21" s="1">
        <f aca="true" t="shared" si="1" ref="F21:F52">ROUND(2*E21,0)/2</f>
        <v>-5759</v>
      </c>
      <c r="G21" s="1">
        <f aca="true" t="shared" si="2" ref="G21:G50">+C21-(C$7+F21*C$8)</f>
        <v>-0.08082199999989825</v>
      </c>
      <c r="K21" s="1">
        <f aca="true" t="shared" si="3" ref="K21:K30">+G21</f>
        <v>-0.08082199999989825</v>
      </c>
      <c r="O21" s="1">
        <f aca="true" t="shared" si="4" ref="O21:O50">+C$11+C$12*$F21</f>
        <v>-0.04885593891263624</v>
      </c>
      <c r="Q21" s="27">
        <f aca="true" t="shared" si="5" ref="Q21:Q50">+C21-15018.5</f>
        <v>5135.759999999998</v>
      </c>
    </row>
    <row r="22" spans="1:17" ht="12.75">
      <c r="A22" s="24" t="s">
        <v>41</v>
      </c>
      <c r="B22" s="25" t="s">
        <v>42</v>
      </c>
      <c r="C22" s="24">
        <v>24530.48</v>
      </c>
      <c r="D22" s="26"/>
      <c r="E22" s="1">
        <f t="shared" si="0"/>
        <v>-4712.012128978296</v>
      </c>
      <c r="F22" s="1">
        <f t="shared" si="1"/>
        <v>-4712</v>
      </c>
      <c r="G22" s="1">
        <f t="shared" si="2"/>
        <v>-0.05069599999842467</v>
      </c>
      <c r="K22" s="1">
        <f t="shared" si="3"/>
        <v>-0.05069599999842467</v>
      </c>
      <c r="O22" s="1">
        <f t="shared" si="4"/>
        <v>-0.0402419440682276</v>
      </c>
      <c r="Q22" s="27">
        <f t="shared" si="5"/>
        <v>9511.98</v>
      </c>
    </row>
    <row r="23" spans="1:17" ht="12.75">
      <c r="A23" s="24" t="s">
        <v>43</v>
      </c>
      <c r="B23" s="25" t="s">
        <v>42</v>
      </c>
      <c r="C23" s="24">
        <v>24618.26</v>
      </c>
      <c r="D23" s="26"/>
      <c r="E23" s="1">
        <f t="shared" si="0"/>
        <v>-4691.010832726039</v>
      </c>
      <c r="F23" s="1">
        <f t="shared" si="1"/>
        <v>-4691</v>
      </c>
      <c r="G23" s="1">
        <f t="shared" si="2"/>
        <v>-0.04527800000141724</v>
      </c>
      <c r="K23" s="1">
        <f t="shared" si="3"/>
        <v>-0.04527800000141724</v>
      </c>
      <c r="O23" s="1">
        <f t="shared" si="4"/>
        <v>-0.04006917053266639</v>
      </c>
      <c r="Q23" s="27">
        <f t="shared" si="5"/>
        <v>9599.759999999998</v>
      </c>
    </row>
    <row r="24" spans="1:17" ht="12.75">
      <c r="A24" s="24" t="s">
        <v>44</v>
      </c>
      <c r="B24" s="25" t="s">
        <v>42</v>
      </c>
      <c r="C24" s="24">
        <v>26407.18</v>
      </c>
      <c r="D24" s="26"/>
      <c r="E24" s="1">
        <f t="shared" si="0"/>
        <v>-4263.013123776539</v>
      </c>
      <c r="F24" s="1">
        <f t="shared" si="1"/>
        <v>-4263</v>
      </c>
      <c r="G24" s="1">
        <f t="shared" si="2"/>
        <v>-0.05485399999815854</v>
      </c>
      <c r="K24" s="1">
        <f t="shared" si="3"/>
        <v>-0.05485399999815854</v>
      </c>
      <c r="O24" s="1">
        <f t="shared" si="4"/>
        <v>-0.03654788133170469</v>
      </c>
      <c r="Q24" s="27">
        <f t="shared" si="5"/>
        <v>11388.68</v>
      </c>
    </row>
    <row r="25" spans="1:17" ht="12.75">
      <c r="A25" s="24" t="s">
        <v>45</v>
      </c>
      <c r="B25" s="25" t="s">
        <v>42</v>
      </c>
      <c r="C25" s="24">
        <v>27502.308</v>
      </c>
      <c r="D25" s="26"/>
      <c r="E25" s="1">
        <f t="shared" si="0"/>
        <v>-4001.004607461417</v>
      </c>
      <c r="F25" s="1">
        <f t="shared" si="1"/>
        <v>-4001</v>
      </c>
      <c r="G25" s="1">
        <f t="shared" si="2"/>
        <v>-0.019257999996625585</v>
      </c>
      <c r="K25" s="1">
        <f t="shared" si="3"/>
        <v>-0.019257999996625585</v>
      </c>
      <c r="O25" s="1">
        <f t="shared" si="4"/>
        <v>-0.03439232579279823</v>
      </c>
      <c r="Q25" s="27">
        <f t="shared" si="5"/>
        <v>12483.808</v>
      </c>
    </row>
    <row r="26" spans="1:17" ht="12.75">
      <c r="A26" s="24" t="s">
        <v>45</v>
      </c>
      <c r="B26" s="25" t="s">
        <v>42</v>
      </c>
      <c r="C26" s="24">
        <v>28597.306</v>
      </c>
      <c r="D26" s="26"/>
      <c r="E26" s="1">
        <f t="shared" si="0"/>
        <v>-3739.027193544481</v>
      </c>
      <c r="F26" s="1">
        <f t="shared" si="1"/>
        <v>-3739</v>
      </c>
      <c r="G26" s="1">
        <f t="shared" si="2"/>
        <v>-0.11366199999974924</v>
      </c>
      <c r="K26" s="1">
        <f t="shared" si="3"/>
        <v>-0.11366199999974924</v>
      </c>
      <c r="O26" s="1">
        <f t="shared" si="4"/>
        <v>-0.03223677025389177</v>
      </c>
      <c r="Q26" s="27">
        <f t="shared" si="5"/>
        <v>13578.806</v>
      </c>
    </row>
    <row r="27" spans="1:17" ht="12.75">
      <c r="A27" s="24" t="s">
        <v>45</v>
      </c>
      <c r="B27" s="25" t="s">
        <v>42</v>
      </c>
      <c r="C27" s="24">
        <v>28835.662</v>
      </c>
      <c r="D27" s="26"/>
      <c r="E27" s="1">
        <f t="shared" si="0"/>
        <v>-3682.0007072206845</v>
      </c>
      <c r="F27" s="1">
        <f t="shared" si="1"/>
        <v>-3682</v>
      </c>
      <c r="G27" s="1">
        <f t="shared" si="2"/>
        <v>-0.0029560000002675224</v>
      </c>
      <c r="K27" s="1">
        <f t="shared" si="3"/>
        <v>-0.0029560000002675224</v>
      </c>
      <c r="O27" s="1">
        <f t="shared" si="4"/>
        <v>-0.031767813514511356</v>
      </c>
      <c r="Q27" s="27">
        <f t="shared" si="5"/>
        <v>13817.162</v>
      </c>
    </row>
    <row r="28" spans="1:17" ht="12.75">
      <c r="A28" s="24" t="s">
        <v>45</v>
      </c>
      <c r="B28" s="25" t="s">
        <v>42</v>
      </c>
      <c r="C28" s="24">
        <v>29249.479</v>
      </c>
      <c r="D28" s="26"/>
      <c r="E28" s="1">
        <f t="shared" si="0"/>
        <v>-3582.995314064839</v>
      </c>
      <c r="F28" s="1">
        <f t="shared" si="1"/>
        <v>-3583</v>
      </c>
      <c r="G28" s="1">
        <f t="shared" si="2"/>
        <v>0.019586000002163928</v>
      </c>
      <c r="K28" s="1">
        <f t="shared" si="3"/>
        <v>0.019586000002163928</v>
      </c>
      <c r="O28" s="1">
        <f t="shared" si="4"/>
        <v>-0.03095330970400853</v>
      </c>
      <c r="Q28" s="27">
        <f t="shared" si="5"/>
        <v>14230.979</v>
      </c>
    </row>
    <row r="29" spans="1:17" ht="12.75">
      <c r="A29" s="24" t="s">
        <v>45</v>
      </c>
      <c r="B29" s="25" t="s">
        <v>42</v>
      </c>
      <c r="C29" s="24">
        <v>29642.352</v>
      </c>
      <c r="D29" s="26"/>
      <c r="E29" s="1">
        <f t="shared" si="0"/>
        <v>-3489.000756506023</v>
      </c>
      <c r="F29" s="1">
        <f t="shared" si="1"/>
        <v>-3489</v>
      </c>
      <c r="G29" s="1">
        <f t="shared" si="2"/>
        <v>-0.003162000000884291</v>
      </c>
      <c r="K29" s="1">
        <f t="shared" si="3"/>
        <v>-0.003162000000884291</v>
      </c>
      <c r="O29" s="1">
        <f t="shared" si="4"/>
        <v>-0.03017994244959171</v>
      </c>
      <c r="Q29" s="27">
        <f t="shared" si="5"/>
        <v>14623.851999999999</v>
      </c>
    </row>
    <row r="30" spans="1:17" ht="12.75">
      <c r="A30" s="24" t="s">
        <v>46</v>
      </c>
      <c r="B30" s="25" t="s">
        <v>42</v>
      </c>
      <c r="C30" s="24">
        <v>32944.353</v>
      </c>
      <c r="D30" s="26"/>
      <c r="E30" s="1">
        <f t="shared" si="0"/>
        <v>-2698.9996033247976</v>
      </c>
      <c r="F30" s="1">
        <f t="shared" si="1"/>
        <v>-2699</v>
      </c>
      <c r="G30" s="1">
        <f t="shared" si="2"/>
        <v>0.0016580000083195046</v>
      </c>
      <c r="K30" s="1">
        <f t="shared" si="3"/>
        <v>0.0016580000083195046</v>
      </c>
      <c r="O30" s="1">
        <f t="shared" si="4"/>
        <v>-0.02368036658800353</v>
      </c>
      <c r="Q30" s="27">
        <f t="shared" si="5"/>
        <v>17925.853000000003</v>
      </c>
    </row>
    <row r="31" spans="1:32" ht="12.75">
      <c r="A31" s="1" t="s">
        <v>47</v>
      </c>
      <c r="B31" s="11"/>
      <c r="C31" s="28">
        <v>42365.503</v>
      </c>
      <c r="D31" s="26"/>
      <c r="E31" s="1">
        <f t="shared" si="0"/>
        <v>-444.99684430283054</v>
      </c>
      <c r="F31" s="1">
        <f t="shared" si="1"/>
        <v>-445</v>
      </c>
      <c r="G31" s="1">
        <f t="shared" si="2"/>
        <v>0.013189999997848645</v>
      </c>
      <c r="I31" s="1">
        <f>+G31</f>
        <v>0.013189999997848645</v>
      </c>
      <c r="O31" s="1">
        <f t="shared" si="4"/>
        <v>-0.005136007104434209</v>
      </c>
      <c r="Q31" s="27">
        <f t="shared" si="5"/>
        <v>27347.002999999997</v>
      </c>
      <c r="AB31" s="1">
        <v>10</v>
      </c>
      <c r="AD31" s="1" t="s">
        <v>48</v>
      </c>
      <c r="AF31" s="1" t="s">
        <v>49</v>
      </c>
    </row>
    <row r="32" spans="1:32" ht="12.75">
      <c r="A32" s="1" t="s">
        <v>50</v>
      </c>
      <c r="B32" s="11"/>
      <c r="C32" s="28">
        <v>43481.481</v>
      </c>
      <c r="D32" s="26"/>
      <c r="E32" s="1">
        <f t="shared" si="0"/>
        <v>-177.99998181705922</v>
      </c>
      <c r="F32" s="1">
        <f t="shared" si="1"/>
        <v>-178</v>
      </c>
      <c r="G32" s="1">
        <f t="shared" si="2"/>
        <v>7.60000039008446E-05</v>
      </c>
      <c r="I32" s="1">
        <f>+G32</f>
        <v>7.60000039008446E-05</v>
      </c>
      <c r="O32" s="1">
        <f t="shared" si="4"/>
        <v>-0.0029393150094417482</v>
      </c>
      <c r="Q32" s="27">
        <f t="shared" si="5"/>
        <v>28462.981</v>
      </c>
      <c r="AA32" s="1" t="s">
        <v>51</v>
      </c>
      <c r="AB32" s="1">
        <v>10</v>
      </c>
      <c r="AD32" s="1" t="s">
        <v>48</v>
      </c>
      <c r="AF32" s="1" t="s">
        <v>49</v>
      </c>
    </row>
    <row r="33" spans="1:32" ht="12.75">
      <c r="A33" s="1" t="s">
        <v>52</v>
      </c>
      <c r="B33" s="11"/>
      <c r="C33" s="28">
        <v>43899.449</v>
      </c>
      <c r="D33" s="26"/>
      <c r="E33" s="1">
        <f t="shared" si="0"/>
        <v>-78.00146516220332</v>
      </c>
      <c r="F33" s="1">
        <f t="shared" si="1"/>
        <v>-78</v>
      </c>
      <c r="G33" s="1">
        <f t="shared" si="2"/>
        <v>-0.006123999999545049</v>
      </c>
      <c r="I33" s="1">
        <f>+G33</f>
        <v>-0.006123999999545049</v>
      </c>
      <c r="O33" s="1">
        <f t="shared" si="4"/>
        <v>-0.002116583887721725</v>
      </c>
      <c r="Q33" s="27">
        <f t="shared" si="5"/>
        <v>28880.949</v>
      </c>
      <c r="AA33" s="1" t="s">
        <v>51</v>
      </c>
      <c r="AB33" s="1">
        <v>6</v>
      </c>
      <c r="AD33" s="1" t="s">
        <v>48</v>
      </c>
      <c r="AF33" s="1" t="s">
        <v>49</v>
      </c>
    </row>
    <row r="34" spans="1:17" ht="12.75">
      <c r="A34" s="1" t="s">
        <v>31</v>
      </c>
      <c r="C34" s="26">
        <v>44225.475</v>
      </c>
      <c r="D34" s="26" t="s">
        <v>14</v>
      </c>
      <c r="E34" s="1">
        <f t="shared" si="0"/>
        <v>0</v>
      </c>
      <c r="F34" s="1">
        <f t="shared" si="1"/>
        <v>0</v>
      </c>
      <c r="G34" s="1">
        <f t="shared" si="2"/>
        <v>0</v>
      </c>
      <c r="H34" s="1">
        <f>+G34</f>
        <v>0</v>
      </c>
      <c r="O34" s="1">
        <f t="shared" si="4"/>
        <v>-0.001474853612780107</v>
      </c>
      <c r="Q34" s="27">
        <f t="shared" si="5"/>
        <v>29206.975</v>
      </c>
    </row>
    <row r="35" spans="1:32" ht="12.75">
      <c r="A35" s="1" t="s">
        <v>53</v>
      </c>
      <c r="B35" s="11"/>
      <c r="C35" s="28">
        <v>44225.475</v>
      </c>
      <c r="D35" s="26"/>
      <c r="E35" s="1">
        <f t="shared" si="0"/>
        <v>0</v>
      </c>
      <c r="F35" s="1">
        <f t="shared" si="1"/>
        <v>0</v>
      </c>
      <c r="G35" s="1">
        <f t="shared" si="2"/>
        <v>0</v>
      </c>
      <c r="I35" s="1">
        <f aca="true" t="shared" si="6" ref="I35:I43">+G35</f>
        <v>0</v>
      </c>
      <c r="O35" s="1">
        <f t="shared" si="4"/>
        <v>-0.001474853612780107</v>
      </c>
      <c r="Q35" s="27">
        <f t="shared" si="5"/>
        <v>29206.975</v>
      </c>
      <c r="AA35" s="1" t="s">
        <v>51</v>
      </c>
      <c r="AB35" s="1">
        <v>6</v>
      </c>
      <c r="AD35" s="1" t="s">
        <v>48</v>
      </c>
      <c r="AF35" s="1" t="s">
        <v>49</v>
      </c>
    </row>
    <row r="36" spans="1:32" ht="12.75">
      <c r="A36" s="1" t="s">
        <v>53</v>
      </c>
      <c r="B36" s="11"/>
      <c r="C36" s="28">
        <v>44267.277</v>
      </c>
      <c r="D36" s="26"/>
      <c r="E36" s="1">
        <f t="shared" si="0"/>
        <v>10.001095761413819</v>
      </c>
      <c r="F36" s="1">
        <f t="shared" si="1"/>
        <v>10</v>
      </c>
      <c r="G36" s="1">
        <f t="shared" si="2"/>
        <v>0.00458000000071479</v>
      </c>
      <c r="I36" s="1">
        <f t="shared" si="6"/>
        <v>0.00458000000071479</v>
      </c>
      <c r="O36" s="1">
        <f t="shared" si="4"/>
        <v>-0.0013925805006081047</v>
      </c>
      <c r="Q36" s="27">
        <f t="shared" si="5"/>
        <v>29248.777000000002</v>
      </c>
      <c r="AA36" s="1" t="s">
        <v>51</v>
      </c>
      <c r="AB36" s="1">
        <v>6</v>
      </c>
      <c r="AD36" s="1" t="s">
        <v>48</v>
      </c>
      <c r="AF36" s="1" t="s">
        <v>49</v>
      </c>
    </row>
    <row r="37" spans="1:32" ht="12.75">
      <c r="A37" s="1" t="s">
        <v>54</v>
      </c>
      <c r="B37" s="11"/>
      <c r="C37" s="28">
        <v>44902.602</v>
      </c>
      <c r="D37" s="26"/>
      <c r="E37" s="1">
        <f t="shared" si="0"/>
        <v>162.0021044361112</v>
      </c>
      <c r="F37" s="1">
        <f t="shared" si="1"/>
        <v>162</v>
      </c>
      <c r="G37" s="1">
        <f t="shared" si="2"/>
        <v>0.008796000001893844</v>
      </c>
      <c r="I37" s="1">
        <f t="shared" si="6"/>
        <v>0.008796000001893844</v>
      </c>
      <c r="O37" s="1">
        <f t="shared" si="4"/>
        <v>-0.00014202919559366963</v>
      </c>
      <c r="Q37" s="27">
        <f t="shared" si="5"/>
        <v>29884.102</v>
      </c>
      <c r="AA37" s="1" t="s">
        <v>51</v>
      </c>
      <c r="AF37" s="1" t="s">
        <v>55</v>
      </c>
    </row>
    <row r="38" spans="1:32" ht="12.75">
      <c r="A38" s="1" t="s">
        <v>56</v>
      </c>
      <c r="B38" s="11"/>
      <c r="C38" s="28">
        <v>45274.6</v>
      </c>
      <c r="D38" s="26"/>
      <c r="E38" s="1">
        <f t="shared" si="0"/>
        <v>251.0023345938577</v>
      </c>
      <c r="F38" s="1">
        <f t="shared" si="1"/>
        <v>251</v>
      </c>
      <c r="G38" s="1">
        <f t="shared" si="2"/>
        <v>0.009758000000147149</v>
      </c>
      <c r="I38" s="1">
        <f t="shared" si="6"/>
        <v>0.009758000000147149</v>
      </c>
      <c r="O38" s="1">
        <f t="shared" si="4"/>
        <v>0.0005902015027371508</v>
      </c>
      <c r="Q38" s="27">
        <f t="shared" si="5"/>
        <v>30256.1</v>
      </c>
      <c r="AA38" s="1" t="s">
        <v>51</v>
      </c>
      <c r="AB38" s="1">
        <v>6</v>
      </c>
      <c r="AD38" s="1" t="s">
        <v>48</v>
      </c>
      <c r="AF38" s="1" t="s">
        <v>49</v>
      </c>
    </row>
    <row r="39" spans="1:32" ht="12.75">
      <c r="A39" s="1" t="s">
        <v>57</v>
      </c>
      <c r="B39" s="11"/>
      <c r="C39" s="28">
        <v>46478.37</v>
      </c>
      <c r="D39" s="26"/>
      <c r="E39" s="1">
        <f t="shared" si="0"/>
        <v>539.0033643224879</v>
      </c>
      <c r="F39" s="1">
        <f t="shared" si="1"/>
        <v>539</v>
      </c>
      <c r="G39" s="1">
        <f t="shared" si="2"/>
        <v>0.01406200000201352</v>
      </c>
      <c r="I39" s="1">
        <f t="shared" si="6"/>
        <v>0.01406200000201352</v>
      </c>
      <c r="O39" s="1">
        <f t="shared" si="4"/>
        <v>0.0029596671332908176</v>
      </c>
      <c r="Q39" s="27">
        <f t="shared" si="5"/>
        <v>31459.870000000003</v>
      </c>
      <c r="AA39" s="1" t="s">
        <v>51</v>
      </c>
      <c r="AB39" s="1">
        <v>7</v>
      </c>
      <c r="AD39" s="1" t="s">
        <v>48</v>
      </c>
      <c r="AF39" s="1" t="s">
        <v>49</v>
      </c>
    </row>
    <row r="40" spans="1:32" ht="12.75">
      <c r="A40" s="1" t="s">
        <v>58</v>
      </c>
      <c r="B40" s="11"/>
      <c r="C40" s="28">
        <v>46762.587</v>
      </c>
      <c r="D40" s="26"/>
      <c r="E40" s="1">
        <f t="shared" si="0"/>
        <v>607.0020589787601</v>
      </c>
      <c r="F40" s="1">
        <f t="shared" si="1"/>
        <v>607</v>
      </c>
      <c r="G40" s="1">
        <f t="shared" si="2"/>
        <v>0.00860600000305567</v>
      </c>
      <c r="I40" s="1">
        <f t="shared" si="6"/>
        <v>0.00860600000305567</v>
      </c>
      <c r="O40" s="1">
        <f t="shared" si="4"/>
        <v>0.0035191242960604333</v>
      </c>
      <c r="Q40" s="27">
        <f t="shared" si="5"/>
        <v>31744.087</v>
      </c>
      <c r="AA40" s="1" t="s">
        <v>51</v>
      </c>
      <c r="AB40" s="1">
        <v>6</v>
      </c>
      <c r="AD40" s="1" t="s">
        <v>48</v>
      </c>
      <c r="AF40" s="1" t="s">
        <v>49</v>
      </c>
    </row>
    <row r="41" spans="1:32" ht="12.75">
      <c r="A41" s="1" t="s">
        <v>59</v>
      </c>
      <c r="B41" s="11"/>
      <c r="C41" s="28">
        <v>47552.549</v>
      </c>
      <c r="D41" s="26"/>
      <c r="E41" s="1">
        <f t="shared" si="0"/>
        <v>795.999848794495</v>
      </c>
      <c r="F41" s="1">
        <f t="shared" si="1"/>
        <v>796</v>
      </c>
      <c r="G41" s="1">
        <f t="shared" si="2"/>
        <v>-0.0006319999956758693</v>
      </c>
      <c r="I41" s="1">
        <f t="shared" si="6"/>
        <v>-0.0006319999956758693</v>
      </c>
      <c r="O41" s="1">
        <f t="shared" si="4"/>
        <v>0.005074086116111276</v>
      </c>
      <c r="Q41" s="27">
        <f t="shared" si="5"/>
        <v>32534.049</v>
      </c>
      <c r="AA41" s="1" t="s">
        <v>51</v>
      </c>
      <c r="AB41" s="1">
        <v>6</v>
      </c>
      <c r="AD41" s="1" t="s">
        <v>48</v>
      </c>
      <c r="AF41" s="1" t="s">
        <v>49</v>
      </c>
    </row>
    <row r="42" spans="1:32" ht="12.75">
      <c r="A42" s="1" t="s">
        <v>60</v>
      </c>
      <c r="B42" s="11"/>
      <c r="C42" s="28">
        <v>50524.349</v>
      </c>
      <c r="D42" s="26">
        <v>0.0014</v>
      </c>
      <c r="E42" s="1">
        <f t="shared" si="0"/>
        <v>1507.0006713333032</v>
      </c>
      <c r="F42" s="1">
        <f t="shared" si="1"/>
        <v>1507</v>
      </c>
      <c r="G42" s="1">
        <f t="shared" si="2"/>
        <v>0.002806000004056841</v>
      </c>
      <c r="I42" s="1">
        <f t="shared" si="6"/>
        <v>0.002806000004056841</v>
      </c>
      <c r="O42" s="1">
        <f t="shared" si="4"/>
        <v>0.01092370439154064</v>
      </c>
      <c r="Q42" s="27">
        <f t="shared" si="5"/>
        <v>35505.849</v>
      </c>
      <c r="AA42" s="1" t="s">
        <v>61</v>
      </c>
      <c r="AB42" s="1">
        <v>13</v>
      </c>
      <c r="AD42" s="1" t="s">
        <v>62</v>
      </c>
      <c r="AF42" s="1" t="s">
        <v>49</v>
      </c>
    </row>
    <row r="43" spans="1:32" ht="12.75">
      <c r="A43" s="1" t="s">
        <v>63</v>
      </c>
      <c r="B43" s="11"/>
      <c r="C43" s="28">
        <v>51180.5694</v>
      </c>
      <c r="D43" s="26">
        <v>0.0008</v>
      </c>
      <c r="E43" s="1">
        <f t="shared" si="0"/>
        <v>1664.0008880930932</v>
      </c>
      <c r="F43" s="1">
        <f t="shared" si="1"/>
        <v>1664</v>
      </c>
      <c r="G43" s="1">
        <f t="shared" si="2"/>
        <v>0.0037119999979040585</v>
      </c>
      <c r="I43" s="1">
        <f t="shared" si="6"/>
        <v>0.0037119999979040585</v>
      </c>
      <c r="O43" s="1">
        <f t="shared" si="4"/>
        <v>0.012215392252641077</v>
      </c>
      <c r="Q43" s="27">
        <f t="shared" si="5"/>
        <v>36162.0694</v>
      </c>
      <c r="AA43" s="1" t="s">
        <v>61</v>
      </c>
      <c r="AB43" s="1">
        <v>16</v>
      </c>
      <c r="AD43" s="1" t="s">
        <v>64</v>
      </c>
      <c r="AF43" s="1" t="s">
        <v>55</v>
      </c>
    </row>
    <row r="44" spans="1:17" ht="12.75">
      <c r="A44" s="1" t="s">
        <v>65</v>
      </c>
      <c r="B44" s="11" t="s">
        <v>42</v>
      </c>
      <c r="C44" s="26">
        <v>51197.2898</v>
      </c>
      <c r="D44" s="26">
        <v>0.0099</v>
      </c>
      <c r="E44" s="1">
        <f t="shared" si="0"/>
        <v>1668.0012306979713</v>
      </c>
      <c r="F44" s="1">
        <f t="shared" si="1"/>
        <v>1668</v>
      </c>
      <c r="G44" s="1">
        <f t="shared" si="2"/>
        <v>0.005144000002474058</v>
      </c>
      <c r="J44" s="1">
        <f>+G44</f>
        <v>0.005144000002474058</v>
      </c>
      <c r="O44" s="1">
        <f t="shared" si="4"/>
        <v>0.012248301497509877</v>
      </c>
      <c r="Q44" s="27">
        <f t="shared" si="5"/>
        <v>36178.7898</v>
      </c>
    </row>
    <row r="45" spans="1:17" ht="12.75">
      <c r="A45" s="1" t="s">
        <v>66</v>
      </c>
      <c r="B45" s="11" t="s">
        <v>42</v>
      </c>
      <c r="C45" s="26">
        <v>51481.5142</v>
      </c>
      <c r="D45" s="26">
        <v>0.003</v>
      </c>
      <c r="E45" s="1">
        <f t="shared" si="0"/>
        <v>1736.0016957984485</v>
      </c>
      <c r="F45" s="1">
        <f t="shared" si="1"/>
        <v>1736</v>
      </c>
      <c r="G45" s="1">
        <f t="shared" si="2"/>
        <v>0.007087999998475425</v>
      </c>
      <c r="J45" s="1">
        <f>+G45</f>
        <v>0.007087999998475425</v>
      </c>
      <c r="O45" s="1">
        <f t="shared" si="4"/>
        <v>0.012807758660279493</v>
      </c>
      <c r="Q45" s="27">
        <f t="shared" si="5"/>
        <v>36463.0142</v>
      </c>
    </row>
    <row r="46" spans="1:17" ht="12.75">
      <c r="A46" s="29" t="s">
        <v>67</v>
      </c>
      <c r="B46" s="30" t="s">
        <v>42</v>
      </c>
      <c r="C46" s="29">
        <v>51489.8738</v>
      </c>
      <c r="D46" s="29">
        <v>0.0001</v>
      </c>
      <c r="E46" s="1">
        <f t="shared" si="0"/>
        <v>1738.0017235513585</v>
      </c>
      <c r="F46" s="1">
        <f t="shared" si="1"/>
        <v>1738</v>
      </c>
      <c r="G46" s="1">
        <f t="shared" si="2"/>
        <v>0.0072040000013657846</v>
      </c>
      <c r="J46" s="1">
        <f>+G46</f>
        <v>0.0072040000013657846</v>
      </c>
      <c r="O46" s="1">
        <f t="shared" si="4"/>
        <v>0.012824213282713895</v>
      </c>
      <c r="Q46" s="27">
        <f t="shared" si="5"/>
        <v>36471.3738</v>
      </c>
    </row>
    <row r="47" spans="1:17" ht="12.75">
      <c r="A47" s="24" t="s">
        <v>68</v>
      </c>
      <c r="B47" s="25" t="s">
        <v>42</v>
      </c>
      <c r="C47" s="24">
        <v>51878.597</v>
      </c>
      <c r="D47" s="26"/>
      <c r="E47" s="1">
        <f t="shared" si="0"/>
        <v>1831.0034447102244</v>
      </c>
      <c r="F47" s="1">
        <f t="shared" si="1"/>
        <v>1831</v>
      </c>
      <c r="G47" s="1">
        <f t="shared" si="2"/>
        <v>0.01439800000662217</v>
      </c>
      <c r="K47" s="1">
        <f>+G47</f>
        <v>0.01439800000662217</v>
      </c>
      <c r="O47" s="1">
        <f t="shared" si="4"/>
        <v>0.013589353225913516</v>
      </c>
      <c r="Q47" s="27">
        <f t="shared" si="5"/>
        <v>36860.097</v>
      </c>
    </row>
    <row r="48" spans="1:17" ht="12.75">
      <c r="A48" s="24" t="s">
        <v>69</v>
      </c>
      <c r="B48" s="25" t="s">
        <v>42</v>
      </c>
      <c r="C48" s="24">
        <v>52338.363</v>
      </c>
      <c r="D48" s="26"/>
      <c r="E48" s="1">
        <f t="shared" si="0"/>
        <v>1941.002100129625</v>
      </c>
      <c r="F48" s="1">
        <f t="shared" si="1"/>
        <v>1941</v>
      </c>
      <c r="G48" s="1">
        <f t="shared" si="2"/>
        <v>0.0087779999958002</v>
      </c>
      <c r="K48" s="1">
        <f>+G48</f>
        <v>0.0087779999958002</v>
      </c>
      <c r="O48" s="1">
        <f t="shared" si="4"/>
        <v>0.01449435745980554</v>
      </c>
      <c r="Q48" s="27">
        <f t="shared" si="5"/>
        <v>37319.863</v>
      </c>
    </row>
    <row r="49" spans="1:17" ht="12.75">
      <c r="A49" s="31" t="s">
        <v>70</v>
      </c>
      <c r="B49" s="32" t="s">
        <v>42</v>
      </c>
      <c r="C49" s="33">
        <v>52990.425</v>
      </c>
      <c r="D49" s="34">
        <v>0.006</v>
      </c>
      <c r="E49" s="1">
        <f t="shared" si="0"/>
        <v>2097.007422946202</v>
      </c>
      <c r="F49" s="1">
        <f t="shared" si="1"/>
        <v>2097</v>
      </c>
      <c r="G49" s="1">
        <f t="shared" si="2"/>
        <v>0.031026000004203524</v>
      </c>
      <c r="J49" s="1">
        <f>+G49</f>
        <v>0.031026000004203524</v>
      </c>
      <c r="O49" s="1">
        <f t="shared" si="4"/>
        <v>0.015777818009688777</v>
      </c>
      <c r="Q49" s="27">
        <f t="shared" si="5"/>
        <v>37971.925</v>
      </c>
    </row>
    <row r="50" spans="1:17" ht="12.75">
      <c r="A50" s="24" t="s">
        <v>71</v>
      </c>
      <c r="B50" s="25" t="s">
        <v>42</v>
      </c>
      <c r="C50" s="24">
        <v>54457.4942</v>
      </c>
      <c r="D50" s="26"/>
      <c r="E50" s="1">
        <f t="shared" si="0"/>
        <v>2448.002580063555</v>
      </c>
      <c r="F50" s="1">
        <f t="shared" si="1"/>
        <v>2448</v>
      </c>
      <c r="G50" s="1">
        <f t="shared" si="2"/>
        <v>0.010783999998238869</v>
      </c>
      <c r="K50" s="1">
        <f>+G50</f>
        <v>0.010783999998238869</v>
      </c>
      <c r="O50" s="1">
        <f t="shared" si="4"/>
        <v>0.01866560424692606</v>
      </c>
      <c r="Q50" s="27">
        <f t="shared" si="5"/>
        <v>39438.9942</v>
      </c>
    </row>
    <row r="51" spans="1:17" ht="12.75">
      <c r="A51" s="35" t="s">
        <v>72</v>
      </c>
      <c r="B51" s="30" t="s">
        <v>42</v>
      </c>
      <c r="C51" s="36">
        <v>58495.1299</v>
      </c>
      <c r="D51" s="36" t="s">
        <v>73</v>
      </c>
      <c r="E51" s="1">
        <f>+(C51-C$7)/C$8</f>
        <v>3414.003759083695</v>
      </c>
      <c r="F51" s="1">
        <f t="shared" si="1"/>
        <v>3414</v>
      </c>
      <c r="G51" s="1">
        <f>+C51-(C$7+F51*C$8)</f>
        <v>0.01571200000034878</v>
      </c>
      <c r="K51" s="1">
        <f>+G51</f>
        <v>0.01571200000034878</v>
      </c>
      <c r="O51" s="1">
        <f>+C$11+C$12*$F51</f>
        <v>0.02661318688274148</v>
      </c>
      <c r="Q51" s="27">
        <f>+C51-15018.5</f>
        <v>43476.6299</v>
      </c>
    </row>
    <row r="52" spans="1:17" ht="12.75">
      <c r="A52" s="35" t="s">
        <v>72</v>
      </c>
      <c r="B52" s="30" t="s">
        <v>42</v>
      </c>
      <c r="C52" s="36">
        <v>58821.1505</v>
      </c>
      <c r="D52" s="36" t="s">
        <v>73</v>
      </c>
      <c r="E52" s="1">
        <f>+(C52-C$7)/C$8</f>
        <v>3492.003932300129</v>
      </c>
      <c r="F52" s="1">
        <f t="shared" si="1"/>
        <v>3492</v>
      </c>
      <c r="G52" s="1">
        <f>+C52-(C$7+F52*C$8)</f>
        <v>0.016436000005342066</v>
      </c>
      <c r="K52" s="1">
        <f>+G52</f>
        <v>0.016436000005342066</v>
      </c>
      <c r="O52" s="1">
        <f>+C$11+C$12*$F52</f>
        <v>0.0272549171576831</v>
      </c>
      <c r="Q52" s="27">
        <f>+C52-15018.5</f>
        <v>43802.6505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9.7109375" style="26" customWidth="1"/>
    <col min="2" max="2" width="4.421875" style="0" customWidth="1"/>
    <col min="3" max="3" width="12.7109375" style="26" customWidth="1"/>
    <col min="4" max="4" width="5.421875" style="0" customWidth="1"/>
    <col min="5" max="5" width="14.8515625" style="0" customWidth="1"/>
    <col min="7" max="7" width="12.00390625" style="0" customWidth="1"/>
    <col min="8" max="8" width="14.140625" style="26" customWidth="1"/>
    <col min="9" max="9" width="22.57421875" style="0" customWidth="1"/>
    <col min="10" max="10" width="25.140625" style="0" customWidth="1"/>
    <col min="11" max="11" width="15.7109375" style="0" customWidth="1"/>
    <col min="12" max="12" width="14.140625" style="0" customWidth="1"/>
    <col min="13" max="13" width="9.57421875" style="0" customWidth="1"/>
    <col min="14" max="14" width="14.140625" style="0" customWidth="1"/>
    <col min="15" max="15" width="23.421875" style="0" customWidth="1"/>
    <col min="16" max="16" width="16.57421875" style="0" customWidth="1"/>
    <col min="17" max="17" width="41.00390625" style="0" customWidth="1"/>
  </cols>
  <sheetData>
    <row r="1" spans="1:10" ht="15.75">
      <c r="A1" s="37" t="s">
        <v>74</v>
      </c>
      <c r="I1" s="38" t="s">
        <v>75</v>
      </c>
      <c r="J1" s="39" t="s">
        <v>76</v>
      </c>
    </row>
    <row r="2" spans="9:10" ht="12.75">
      <c r="I2" s="40" t="s">
        <v>77</v>
      </c>
      <c r="J2" s="41" t="s">
        <v>78</v>
      </c>
    </row>
    <row r="3" spans="1:10" ht="12.75">
      <c r="A3" s="42" t="s">
        <v>79</v>
      </c>
      <c r="I3" s="40" t="s">
        <v>80</v>
      </c>
      <c r="J3" s="41" t="s">
        <v>81</v>
      </c>
    </row>
    <row r="4" spans="9:10" ht="12.75">
      <c r="I4" s="40" t="s">
        <v>82</v>
      </c>
      <c r="J4" s="41" t="s">
        <v>81</v>
      </c>
    </row>
    <row r="5" spans="9:10" ht="12.75">
      <c r="I5" s="43" t="s">
        <v>73</v>
      </c>
      <c r="J5" s="44" t="s">
        <v>83</v>
      </c>
    </row>
    <row r="11" spans="1:16" ht="12.75" customHeight="1">
      <c r="A11" s="26" t="str">
        <f aca="true" t="shared" si="0" ref="A11:A39">P11</f>
        <v> BBS 18 </v>
      </c>
      <c r="B11" s="11" t="str">
        <f aca="true" t="shared" si="1" ref="B11:B39">IF(H11=INT(H11),"I","II")</f>
        <v>I</v>
      </c>
      <c r="C11" s="26">
        <f aca="true" t="shared" si="2" ref="C11:C39">1*G11</f>
        <v>42365.503</v>
      </c>
      <c r="D11" t="str">
        <f aca="true" t="shared" si="3" ref="D11:D39">VLOOKUP(F11,I$1:J$5,2,FALSE)</f>
        <v>vis</v>
      </c>
      <c r="E11">
        <f>VLOOKUP(C11,A!C$21:E$973,3,FALSE)</f>
        <v>-444.99684430283054</v>
      </c>
      <c r="F11" s="11" t="s">
        <v>73</v>
      </c>
      <c r="G11" t="str">
        <f aca="true" t="shared" si="4" ref="G11:G39">MID(I11,3,LEN(I11)-3)</f>
        <v>42365.503</v>
      </c>
      <c r="H11" s="26">
        <f aca="true" t="shared" si="5" ref="H11:H39">1*K11</f>
        <v>-445</v>
      </c>
      <c r="I11" s="45" t="s">
        <v>84</v>
      </c>
      <c r="J11" s="46" t="s">
        <v>85</v>
      </c>
      <c r="K11" s="45">
        <v>-445</v>
      </c>
      <c r="L11" s="45" t="s">
        <v>86</v>
      </c>
      <c r="M11" s="46" t="s">
        <v>87</v>
      </c>
      <c r="N11" s="46"/>
      <c r="O11" s="47" t="s">
        <v>88</v>
      </c>
      <c r="P11" s="47" t="s">
        <v>89</v>
      </c>
    </row>
    <row r="12" spans="1:16" ht="12.75" customHeight="1">
      <c r="A12" s="26" t="str">
        <f t="shared" si="0"/>
        <v> BBS 36 </v>
      </c>
      <c r="B12" s="11" t="str">
        <f t="shared" si="1"/>
        <v>I</v>
      </c>
      <c r="C12" s="26">
        <f t="shared" si="2"/>
        <v>43481.481</v>
      </c>
      <c r="D12" t="str">
        <f t="shared" si="3"/>
        <v>vis</v>
      </c>
      <c r="E12">
        <f>VLOOKUP(C12,A!C$21:E$973,3,FALSE)</f>
        <v>-177.99998181705922</v>
      </c>
      <c r="F12" s="11" t="s">
        <v>73</v>
      </c>
      <c r="G12" t="str">
        <f t="shared" si="4"/>
        <v>43481.481</v>
      </c>
      <c r="H12" s="26">
        <f t="shared" si="5"/>
        <v>-178</v>
      </c>
      <c r="I12" s="45" t="s">
        <v>90</v>
      </c>
      <c r="J12" s="46" t="s">
        <v>91</v>
      </c>
      <c r="K12" s="45">
        <v>-178</v>
      </c>
      <c r="L12" s="45" t="s">
        <v>92</v>
      </c>
      <c r="M12" s="46" t="s">
        <v>87</v>
      </c>
      <c r="N12" s="46"/>
      <c r="O12" s="47" t="s">
        <v>88</v>
      </c>
      <c r="P12" s="47" t="s">
        <v>93</v>
      </c>
    </row>
    <row r="13" spans="1:16" ht="12.75" customHeight="1">
      <c r="A13" s="26" t="str">
        <f t="shared" si="0"/>
        <v> BBS 41 </v>
      </c>
      <c r="B13" s="11" t="str">
        <f t="shared" si="1"/>
        <v>I</v>
      </c>
      <c r="C13" s="26">
        <f t="shared" si="2"/>
        <v>43899.449</v>
      </c>
      <c r="D13" t="str">
        <f t="shared" si="3"/>
        <v>vis</v>
      </c>
      <c r="E13">
        <f>VLOOKUP(C13,A!C$21:E$973,3,FALSE)</f>
        <v>-78.00146516220332</v>
      </c>
      <c r="F13" s="11" t="s">
        <v>73</v>
      </c>
      <c r="G13" t="str">
        <f t="shared" si="4"/>
        <v>43899.449</v>
      </c>
      <c r="H13" s="26">
        <f t="shared" si="5"/>
        <v>-78</v>
      </c>
      <c r="I13" s="45" t="s">
        <v>94</v>
      </c>
      <c r="J13" s="46" t="s">
        <v>95</v>
      </c>
      <c r="K13" s="45">
        <v>-78</v>
      </c>
      <c r="L13" s="45" t="s">
        <v>96</v>
      </c>
      <c r="M13" s="46" t="s">
        <v>87</v>
      </c>
      <c r="N13" s="46"/>
      <c r="O13" s="47" t="s">
        <v>88</v>
      </c>
      <c r="P13" s="47" t="s">
        <v>97</v>
      </c>
    </row>
    <row r="14" spans="1:16" ht="12.75" customHeight="1">
      <c r="A14" s="26" t="str">
        <f t="shared" si="0"/>
        <v> BBS 46 </v>
      </c>
      <c r="B14" s="11" t="str">
        <f t="shared" si="1"/>
        <v>I</v>
      </c>
      <c r="C14" s="26">
        <f t="shared" si="2"/>
        <v>44225.475</v>
      </c>
      <c r="D14" t="str">
        <f t="shared" si="3"/>
        <v>vis</v>
      </c>
      <c r="E14">
        <f>VLOOKUP(C14,A!C$21:E$973,3,FALSE)</f>
        <v>0</v>
      </c>
      <c r="F14" s="11" t="s">
        <v>73</v>
      </c>
      <c r="G14" t="str">
        <f t="shared" si="4"/>
        <v>44225.475</v>
      </c>
      <c r="H14" s="26">
        <f t="shared" si="5"/>
        <v>0</v>
      </c>
      <c r="I14" s="45" t="s">
        <v>98</v>
      </c>
      <c r="J14" s="46" t="s">
        <v>99</v>
      </c>
      <c r="K14" s="45">
        <v>0</v>
      </c>
      <c r="L14" s="45" t="s">
        <v>92</v>
      </c>
      <c r="M14" s="46" t="s">
        <v>87</v>
      </c>
      <c r="N14" s="46"/>
      <c r="O14" s="47" t="s">
        <v>88</v>
      </c>
      <c r="P14" s="47" t="s">
        <v>100</v>
      </c>
    </row>
    <row r="15" spans="1:16" ht="12.75" customHeight="1">
      <c r="A15" s="26" t="str">
        <f t="shared" si="0"/>
        <v> BBS 46 </v>
      </c>
      <c r="B15" s="11" t="str">
        <f t="shared" si="1"/>
        <v>I</v>
      </c>
      <c r="C15" s="26">
        <f t="shared" si="2"/>
        <v>44267.277</v>
      </c>
      <c r="D15" t="str">
        <f t="shared" si="3"/>
        <v>vis</v>
      </c>
      <c r="E15">
        <f>VLOOKUP(C15,A!C$21:E$973,3,FALSE)</f>
        <v>10.001095761413819</v>
      </c>
      <c r="F15" s="11" t="s">
        <v>73</v>
      </c>
      <c r="G15" t="str">
        <f t="shared" si="4"/>
        <v>44267.277</v>
      </c>
      <c r="H15" s="26">
        <f t="shared" si="5"/>
        <v>10</v>
      </c>
      <c r="I15" s="45" t="s">
        <v>101</v>
      </c>
      <c r="J15" s="46" t="s">
        <v>102</v>
      </c>
      <c r="K15" s="45">
        <v>10</v>
      </c>
      <c r="L15" s="45" t="s">
        <v>103</v>
      </c>
      <c r="M15" s="46" t="s">
        <v>87</v>
      </c>
      <c r="N15" s="46"/>
      <c r="O15" s="47" t="s">
        <v>88</v>
      </c>
      <c r="P15" s="47" t="s">
        <v>100</v>
      </c>
    </row>
    <row r="16" spans="1:16" ht="12.75" customHeight="1">
      <c r="A16" s="26" t="str">
        <f t="shared" si="0"/>
        <v> BBS 57 </v>
      </c>
      <c r="B16" s="11" t="str">
        <f t="shared" si="1"/>
        <v>I</v>
      </c>
      <c r="C16" s="26">
        <f t="shared" si="2"/>
        <v>44902.602</v>
      </c>
      <c r="D16" t="str">
        <f t="shared" si="3"/>
        <v>vis</v>
      </c>
      <c r="E16">
        <f>VLOOKUP(C16,A!C$21:E$973,3,FALSE)</f>
        <v>162.0021044361112</v>
      </c>
      <c r="F16" s="11" t="s">
        <v>73</v>
      </c>
      <c r="G16" t="str">
        <f t="shared" si="4"/>
        <v>44902.602</v>
      </c>
      <c r="H16" s="26">
        <f t="shared" si="5"/>
        <v>162</v>
      </c>
      <c r="I16" s="45" t="s">
        <v>104</v>
      </c>
      <c r="J16" s="46" t="s">
        <v>105</v>
      </c>
      <c r="K16" s="45">
        <v>162</v>
      </c>
      <c r="L16" s="45" t="s">
        <v>106</v>
      </c>
      <c r="M16" s="46" t="s">
        <v>87</v>
      </c>
      <c r="N16" s="46"/>
      <c r="O16" s="47" t="s">
        <v>88</v>
      </c>
      <c r="P16" s="47" t="s">
        <v>107</v>
      </c>
    </row>
    <row r="17" spans="1:16" ht="12.75" customHeight="1">
      <c r="A17" s="26" t="str">
        <f t="shared" si="0"/>
        <v> BBS 63 </v>
      </c>
      <c r="B17" s="11" t="str">
        <f t="shared" si="1"/>
        <v>I</v>
      </c>
      <c r="C17" s="26">
        <f t="shared" si="2"/>
        <v>45274.6</v>
      </c>
      <c r="D17" t="str">
        <f t="shared" si="3"/>
        <v>vis</v>
      </c>
      <c r="E17">
        <f>VLOOKUP(C17,A!C$21:E$973,3,FALSE)</f>
        <v>251.0023345938577</v>
      </c>
      <c r="F17" s="11" t="s">
        <v>73</v>
      </c>
      <c r="G17" t="str">
        <f t="shared" si="4"/>
        <v>45274.600</v>
      </c>
      <c r="H17" s="26">
        <f t="shared" si="5"/>
        <v>251</v>
      </c>
      <c r="I17" s="45" t="s">
        <v>108</v>
      </c>
      <c r="J17" s="46" t="s">
        <v>109</v>
      </c>
      <c r="K17" s="45">
        <v>251</v>
      </c>
      <c r="L17" s="45" t="s">
        <v>110</v>
      </c>
      <c r="M17" s="46" t="s">
        <v>87</v>
      </c>
      <c r="N17" s="46"/>
      <c r="O17" s="47" t="s">
        <v>88</v>
      </c>
      <c r="P17" s="47" t="s">
        <v>111</v>
      </c>
    </row>
    <row r="18" spans="1:16" ht="12.75" customHeight="1">
      <c r="A18" s="26" t="str">
        <f t="shared" si="0"/>
        <v> BBS 79 </v>
      </c>
      <c r="B18" s="11" t="str">
        <f t="shared" si="1"/>
        <v>I</v>
      </c>
      <c r="C18" s="26">
        <f t="shared" si="2"/>
        <v>46478.37</v>
      </c>
      <c r="D18" t="str">
        <f t="shared" si="3"/>
        <v>vis</v>
      </c>
      <c r="E18">
        <f>VLOOKUP(C18,A!C$21:E$973,3,FALSE)</f>
        <v>539.0033643224879</v>
      </c>
      <c r="F18" s="11" t="s">
        <v>73</v>
      </c>
      <c r="G18" t="str">
        <f t="shared" si="4"/>
        <v>46478.370</v>
      </c>
      <c r="H18" s="26">
        <f t="shared" si="5"/>
        <v>539</v>
      </c>
      <c r="I18" s="45" t="s">
        <v>112</v>
      </c>
      <c r="J18" s="46" t="s">
        <v>113</v>
      </c>
      <c r="K18" s="45">
        <v>539</v>
      </c>
      <c r="L18" s="45" t="s">
        <v>114</v>
      </c>
      <c r="M18" s="46" t="s">
        <v>87</v>
      </c>
      <c r="N18" s="46"/>
      <c r="O18" s="47" t="s">
        <v>88</v>
      </c>
      <c r="P18" s="47" t="s">
        <v>115</v>
      </c>
    </row>
    <row r="19" spans="1:16" ht="12.75" customHeight="1">
      <c r="A19" s="26" t="str">
        <f t="shared" si="0"/>
        <v> BBS 82 </v>
      </c>
      <c r="B19" s="11" t="str">
        <f t="shared" si="1"/>
        <v>I</v>
      </c>
      <c r="C19" s="26">
        <f t="shared" si="2"/>
        <v>46762.587</v>
      </c>
      <c r="D19" t="str">
        <f t="shared" si="3"/>
        <v>vis</v>
      </c>
      <c r="E19">
        <f>VLOOKUP(C19,A!C$21:E$973,3,FALSE)</f>
        <v>607.0020589787601</v>
      </c>
      <c r="F19" s="11" t="s">
        <v>73</v>
      </c>
      <c r="G19" t="str">
        <f t="shared" si="4"/>
        <v>46762.587</v>
      </c>
      <c r="H19" s="26">
        <f t="shared" si="5"/>
        <v>607</v>
      </c>
      <c r="I19" s="45" t="s">
        <v>116</v>
      </c>
      <c r="J19" s="46" t="s">
        <v>117</v>
      </c>
      <c r="K19" s="45">
        <v>607</v>
      </c>
      <c r="L19" s="45" t="s">
        <v>106</v>
      </c>
      <c r="M19" s="46" t="s">
        <v>87</v>
      </c>
      <c r="N19" s="46"/>
      <c r="O19" s="47" t="s">
        <v>88</v>
      </c>
      <c r="P19" s="47" t="s">
        <v>118</v>
      </c>
    </row>
    <row r="20" spans="1:16" ht="12.75" customHeight="1">
      <c r="A20" s="26" t="str">
        <f t="shared" si="0"/>
        <v> BBS 91 </v>
      </c>
      <c r="B20" s="11" t="str">
        <f t="shared" si="1"/>
        <v>I</v>
      </c>
      <c r="C20" s="26">
        <f t="shared" si="2"/>
        <v>47552.549</v>
      </c>
      <c r="D20" t="str">
        <f t="shared" si="3"/>
        <v>vis</v>
      </c>
      <c r="E20">
        <f>VLOOKUP(C20,A!C$21:E$973,3,FALSE)</f>
        <v>795.999848794495</v>
      </c>
      <c r="F20" s="11" t="s">
        <v>73</v>
      </c>
      <c r="G20" t="str">
        <f t="shared" si="4"/>
        <v>47552.549</v>
      </c>
      <c r="H20" s="26">
        <f t="shared" si="5"/>
        <v>796</v>
      </c>
      <c r="I20" s="45" t="s">
        <v>119</v>
      </c>
      <c r="J20" s="46" t="s">
        <v>120</v>
      </c>
      <c r="K20" s="45">
        <v>796</v>
      </c>
      <c r="L20" s="45" t="s">
        <v>121</v>
      </c>
      <c r="M20" s="46" t="s">
        <v>87</v>
      </c>
      <c r="N20" s="46"/>
      <c r="O20" s="47" t="s">
        <v>88</v>
      </c>
      <c r="P20" s="47" t="s">
        <v>122</v>
      </c>
    </row>
    <row r="21" spans="1:16" ht="12.75" customHeight="1">
      <c r="A21" s="26" t="str">
        <f t="shared" si="0"/>
        <v> BBS 114 </v>
      </c>
      <c r="B21" s="11" t="str">
        <f t="shared" si="1"/>
        <v>I</v>
      </c>
      <c r="C21" s="26">
        <f t="shared" si="2"/>
        <v>50524.349</v>
      </c>
      <c r="D21" t="str">
        <f t="shared" si="3"/>
        <v>vis</v>
      </c>
      <c r="E21">
        <f>VLOOKUP(C21,A!C$21:E$973,3,FALSE)</f>
        <v>1507.0006713333032</v>
      </c>
      <c r="F21" s="11" t="s">
        <v>73</v>
      </c>
      <c r="G21" t="str">
        <f t="shared" si="4"/>
        <v>50524.3490</v>
      </c>
      <c r="H21" s="26">
        <f t="shared" si="5"/>
        <v>1507</v>
      </c>
      <c r="I21" s="45" t="s">
        <v>123</v>
      </c>
      <c r="J21" s="46" t="s">
        <v>124</v>
      </c>
      <c r="K21" s="45">
        <v>1507</v>
      </c>
      <c r="L21" s="45" t="s">
        <v>125</v>
      </c>
      <c r="M21" s="46" t="s">
        <v>126</v>
      </c>
      <c r="N21" s="46" t="s">
        <v>127</v>
      </c>
      <c r="O21" s="47" t="s">
        <v>128</v>
      </c>
      <c r="P21" s="47" t="s">
        <v>129</v>
      </c>
    </row>
    <row r="22" spans="1:16" ht="12.75" customHeight="1">
      <c r="A22" s="26" t="str">
        <f t="shared" si="0"/>
        <v> BBS 119 </v>
      </c>
      <c r="B22" s="11" t="str">
        <f t="shared" si="1"/>
        <v>I</v>
      </c>
      <c r="C22" s="26">
        <f t="shared" si="2"/>
        <v>51180.5694</v>
      </c>
      <c r="D22" t="str">
        <f t="shared" si="3"/>
        <v>vis</v>
      </c>
      <c r="E22">
        <f>VLOOKUP(C22,A!C$21:E$973,3,FALSE)</f>
        <v>1664.0008880930932</v>
      </c>
      <c r="F22" s="11" t="s">
        <v>73</v>
      </c>
      <c r="G22" t="str">
        <f t="shared" si="4"/>
        <v>51180.5694</v>
      </c>
      <c r="H22" s="26">
        <f t="shared" si="5"/>
        <v>1664</v>
      </c>
      <c r="I22" s="45" t="s">
        <v>130</v>
      </c>
      <c r="J22" s="46" t="s">
        <v>131</v>
      </c>
      <c r="K22" s="45">
        <v>1664</v>
      </c>
      <c r="L22" s="45" t="s">
        <v>132</v>
      </c>
      <c r="M22" s="46" t="s">
        <v>126</v>
      </c>
      <c r="N22" s="46" t="s">
        <v>127</v>
      </c>
      <c r="O22" s="47" t="s">
        <v>128</v>
      </c>
      <c r="P22" s="47" t="s">
        <v>133</v>
      </c>
    </row>
    <row r="23" spans="1:16" ht="12.75" customHeight="1">
      <c r="A23" s="26" t="str">
        <f t="shared" si="0"/>
        <v>BAVM 128 </v>
      </c>
      <c r="B23" s="11" t="str">
        <f t="shared" si="1"/>
        <v>I</v>
      </c>
      <c r="C23" s="26">
        <f t="shared" si="2"/>
        <v>51197.2898</v>
      </c>
      <c r="D23" t="str">
        <f t="shared" si="3"/>
        <v>vis</v>
      </c>
      <c r="E23">
        <f>VLOOKUP(C23,A!C$21:E$973,3,FALSE)</f>
        <v>1668.0012306979713</v>
      </c>
      <c r="F23" s="11" t="s">
        <v>73</v>
      </c>
      <c r="G23" t="str">
        <f t="shared" si="4"/>
        <v>51197.2898</v>
      </c>
      <c r="H23" s="26">
        <f t="shared" si="5"/>
        <v>1668</v>
      </c>
      <c r="I23" s="45" t="s">
        <v>134</v>
      </c>
      <c r="J23" s="46" t="s">
        <v>135</v>
      </c>
      <c r="K23" s="45">
        <v>1668</v>
      </c>
      <c r="L23" s="45" t="s">
        <v>136</v>
      </c>
      <c r="M23" s="46" t="s">
        <v>126</v>
      </c>
      <c r="N23" s="46" t="s">
        <v>137</v>
      </c>
      <c r="O23" s="47" t="s">
        <v>138</v>
      </c>
      <c r="P23" s="48" t="s">
        <v>139</v>
      </c>
    </row>
    <row r="24" spans="1:16" ht="12.75" customHeight="1">
      <c r="A24" s="26" t="str">
        <f t="shared" si="0"/>
        <v>IBVS 5263 </v>
      </c>
      <c r="B24" s="11" t="str">
        <f t="shared" si="1"/>
        <v>I</v>
      </c>
      <c r="C24" s="26">
        <f t="shared" si="2"/>
        <v>51481.5142</v>
      </c>
      <c r="D24" t="str">
        <f t="shared" si="3"/>
        <v>vis</v>
      </c>
      <c r="E24">
        <f>VLOOKUP(C24,A!C$21:E$973,3,FALSE)</f>
        <v>1736.0016957984485</v>
      </c>
      <c r="F24" s="11" t="s">
        <v>73</v>
      </c>
      <c r="G24" t="str">
        <f t="shared" si="4"/>
        <v>51481.5142</v>
      </c>
      <c r="H24" s="26">
        <f t="shared" si="5"/>
        <v>1736</v>
      </c>
      <c r="I24" s="45" t="s">
        <v>140</v>
      </c>
      <c r="J24" s="46" t="s">
        <v>141</v>
      </c>
      <c r="K24" s="45">
        <v>1736</v>
      </c>
      <c r="L24" s="45" t="s">
        <v>142</v>
      </c>
      <c r="M24" s="46" t="s">
        <v>126</v>
      </c>
      <c r="N24" s="46" t="s">
        <v>127</v>
      </c>
      <c r="O24" s="47" t="s">
        <v>143</v>
      </c>
      <c r="P24" s="48" t="s">
        <v>144</v>
      </c>
    </row>
    <row r="25" spans="1:16" ht="12.75" customHeight="1">
      <c r="A25" s="26" t="str">
        <f t="shared" si="0"/>
        <v>IBVS 5745 </v>
      </c>
      <c r="B25" s="11" t="str">
        <f t="shared" si="1"/>
        <v>I</v>
      </c>
      <c r="C25" s="26">
        <f t="shared" si="2"/>
        <v>51489.8738</v>
      </c>
      <c r="D25" t="str">
        <f t="shared" si="3"/>
        <v>vis</v>
      </c>
      <c r="E25">
        <f>VLOOKUP(C25,A!C$21:E$973,3,FALSE)</f>
        <v>1738.0017235513585</v>
      </c>
      <c r="F25" s="11" t="s">
        <v>73</v>
      </c>
      <c r="G25" t="str">
        <f t="shared" si="4"/>
        <v>51489.8738</v>
      </c>
      <c r="H25" s="26">
        <f t="shared" si="5"/>
        <v>1738</v>
      </c>
      <c r="I25" s="45" t="s">
        <v>145</v>
      </c>
      <c r="J25" s="46" t="s">
        <v>146</v>
      </c>
      <c r="K25" s="45">
        <v>1738</v>
      </c>
      <c r="L25" s="45" t="s">
        <v>147</v>
      </c>
      <c r="M25" s="46" t="s">
        <v>126</v>
      </c>
      <c r="N25" s="46" t="s">
        <v>127</v>
      </c>
      <c r="O25" s="47" t="s">
        <v>148</v>
      </c>
      <c r="P25" s="48" t="s">
        <v>149</v>
      </c>
    </row>
    <row r="26" spans="1:16" ht="12.75" customHeight="1">
      <c r="A26" s="26" t="str">
        <f t="shared" si="0"/>
        <v> BBS 130 </v>
      </c>
      <c r="B26" s="11" t="str">
        <f t="shared" si="1"/>
        <v>I</v>
      </c>
      <c r="C26" s="26">
        <f t="shared" si="2"/>
        <v>52990.425</v>
      </c>
      <c r="D26" t="str">
        <f t="shared" si="3"/>
        <v>vis</v>
      </c>
      <c r="E26">
        <f>VLOOKUP(C26,A!C$21:E$973,3,FALSE)</f>
        <v>2097.007422946202</v>
      </c>
      <c r="F26" s="11" t="s">
        <v>73</v>
      </c>
      <c r="G26" t="str">
        <f t="shared" si="4"/>
        <v>52990.425</v>
      </c>
      <c r="H26" s="26">
        <f t="shared" si="5"/>
        <v>2097</v>
      </c>
      <c r="I26" s="45" t="s">
        <v>150</v>
      </c>
      <c r="J26" s="46" t="s">
        <v>151</v>
      </c>
      <c r="K26" s="45">
        <v>2097</v>
      </c>
      <c r="L26" s="45" t="s">
        <v>152</v>
      </c>
      <c r="M26" s="46" t="s">
        <v>87</v>
      </c>
      <c r="N26" s="46"/>
      <c r="O26" s="47" t="s">
        <v>88</v>
      </c>
      <c r="P26" s="47" t="s">
        <v>153</v>
      </c>
    </row>
    <row r="27" spans="1:16" ht="12.75" customHeight="1">
      <c r="A27" s="26" t="str">
        <f t="shared" si="0"/>
        <v> PZ 4.157 </v>
      </c>
      <c r="B27" s="11" t="str">
        <f t="shared" si="1"/>
        <v>I</v>
      </c>
      <c r="C27" s="26">
        <f t="shared" si="2"/>
        <v>20154.26</v>
      </c>
      <c r="D27" t="str">
        <f t="shared" si="3"/>
        <v>vis</v>
      </c>
      <c r="E27">
        <f>VLOOKUP(C27,A!C$21:E$973,3,FALSE)</f>
        <v>-5759.019336600201</v>
      </c>
      <c r="F27" s="11" t="s">
        <v>73</v>
      </c>
      <c r="G27" t="str">
        <f t="shared" si="4"/>
        <v>20154.26</v>
      </c>
      <c r="H27" s="26">
        <f t="shared" si="5"/>
        <v>-5759</v>
      </c>
      <c r="I27" s="45" t="s">
        <v>154</v>
      </c>
      <c r="J27" s="46" t="s">
        <v>155</v>
      </c>
      <c r="K27" s="45">
        <v>-5759</v>
      </c>
      <c r="L27" s="45" t="s">
        <v>156</v>
      </c>
      <c r="M27" s="46" t="s">
        <v>157</v>
      </c>
      <c r="N27" s="46"/>
      <c r="O27" s="47" t="s">
        <v>158</v>
      </c>
      <c r="P27" s="47" t="s">
        <v>41</v>
      </c>
    </row>
    <row r="28" spans="1:16" ht="12.75" customHeight="1">
      <c r="A28" s="26" t="str">
        <f t="shared" si="0"/>
        <v> PZ 4.157 </v>
      </c>
      <c r="B28" s="11" t="str">
        <f t="shared" si="1"/>
        <v>I</v>
      </c>
      <c r="C28" s="26">
        <f t="shared" si="2"/>
        <v>24530.48</v>
      </c>
      <c r="D28" t="str">
        <f t="shared" si="3"/>
        <v>vis</v>
      </c>
      <c r="E28">
        <f>VLOOKUP(C28,A!C$21:E$973,3,FALSE)</f>
        <v>-4712.012128978296</v>
      </c>
      <c r="F28" s="11" t="s">
        <v>73</v>
      </c>
      <c r="G28" t="str">
        <f t="shared" si="4"/>
        <v>24530.48</v>
      </c>
      <c r="H28" s="26">
        <f t="shared" si="5"/>
        <v>-4712</v>
      </c>
      <c r="I28" s="45" t="s">
        <v>159</v>
      </c>
      <c r="J28" s="46" t="s">
        <v>160</v>
      </c>
      <c r="K28" s="45">
        <v>-4712</v>
      </c>
      <c r="L28" s="45" t="s">
        <v>161</v>
      </c>
      <c r="M28" s="46" t="s">
        <v>157</v>
      </c>
      <c r="N28" s="46"/>
      <c r="O28" s="47" t="s">
        <v>158</v>
      </c>
      <c r="P28" s="47" t="s">
        <v>41</v>
      </c>
    </row>
    <row r="29" spans="1:16" ht="12.75" customHeight="1">
      <c r="A29" s="26" t="str">
        <f t="shared" si="0"/>
        <v> AAC 1.32 </v>
      </c>
      <c r="B29" s="11" t="str">
        <f t="shared" si="1"/>
        <v>I</v>
      </c>
      <c r="C29" s="26">
        <f t="shared" si="2"/>
        <v>24618.26</v>
      </c>
      <c r="D29" t="str">
        <f t="shared" si="3"/>
        <v>vis</v>
      </c>
      <c r="E29">
        <f>VLOOKUP(C29,A!C$21:E$973,3,FALSE)</f>
        <v>-4691.010832726039</v>
      </c>
      <c r="F29" s="11" t="s">
        <v>73</v>
      </c>
      <c r="G29" t="str">
        <f t="shared" si="4"/>
        <v>24618.260</v>
      </c>
      <c r="H29" s="26">
        <f t="shared" si="5"/>
        <v>-4691</v>
      </c>
      <c r="I29" s="45" t="s">
        <v>162</v>
      </c>
      <c r="J29" s="46" t="s">
        <v>163</v>
      </c>
      <c r="K29" s="45">
        <v>-4691</v>
      </c>
      <c r="L29" s="45" t="s">
        <v>164</v>
      </c>
      <c r="M29" s="46" t="s">
        <v>87</v>
      </c>
      <c r="N29" s="46"/>
      <c r="O29" s="47" t="s">
        <v>165</v>
      </c>
      <c r="P29" s="47" t="s">
        <v>43</v>
      </c>
    </row>
    <row r="30" spans="1:16" ht="12.75" customHeight="1">
      <c r="A30" s="26" t="str">
        <f t="shared" si="0"/>
        <v> BZ 13.15 </v>
      </c>
      <c r="B30" s="11" t="str">
        <f t="shared" si="1"/>
        <v>I</v>
      </c>
      <c r="C30" s="26">
        <f t="shared" si="2"/>
        <v>26407.18</v>
      </c>
      <c r="D30" t="str">
        <f t="shared" si="3"/>
        <v>vis</v>
      </c>
      <c r="E30">
        <f>VLOOKUP(C30,A!C$21:E$973,3,FALSE)</f>
        <v>-4263.013123776539</v>
      </c>
      <c r="F30" s="11" t="s">
        <v>73</v>
      </c>
      <c r="G30" t="str">
        <f t="shared" si="4"/>
        <v>26407.18</v>
      </c>
      <c r="H30" s="26">
        <f t="shared" si="5"/>
        <v>-4263</v>
      </c>
      <c r="I30" s="45" t="s">
        <v>166</v>
      </c>
      <c r="J30" s="46" t="s">
        <v>167</v>
      </c>
      <c r="K30" s="45">
        <v>-4263</v>
      </c>
      <c r="L30" s="45" t="s">
        <v>161</v>
      </c>
      <c r="M30" s="46" t="s">
        <v>87</v>
      </c>
      <c r="N30" s="46"/>
      <c r="O30" s="47" t="s">
        <v>168</v>
      </c>
      <c r="P30" s="47" t="s">
        <v>44</v>
      </c>
    </row>
    <row r="31" spans="1:16" ht="12.75" customHeight="1">
      <c r="A31" s="26" t="str">
        <f t="shared" si="0"/>
        <v> VSS 1.117 </v>
      </c>
      <c r="B31" s="11" t="str">
        <f t="shared" si="1"/>
        <v>I</v>
      </c>
      <c r="C31" s="26">
        <f t="shared" si="2"/>
        <v>27502.308</v>
      </c>
      <c r="D31" t="str">
        <f t="shared" si="3"/>
        <v>vis</v>
      </c>
      <c r="E31">
        <f>VLOOKUP(C31,A!C$21:E$973,3,FALSE)</f>
        <v>-4001.004607461417</v>
      </c>
      <c r="F31" s="11" t="s">
        <v>73</v>
      </c>
      <c r="G31" t="str">
        <f t="shared" si="4"/>
        <v>27502.308</v>
      </c>
      <c r="H31" s="26">
        <f t="shared" si="5"/>
        <v>-4001</v>
      </c>
      <c r="I31" s="45" t="s">
        <v>169</v>
      </c>
      <c r="J31" s="46" t="s">
        <v>170</v>
      </c>
      <c r="K31" s="45">
        <v>-4001</v>
      </c>
      <c r="L31" s="45" t="s">
        <v>171</v>
      </c>
      <c r="M31" s="46" t="s">
        <v>157</v>
      </c>
      <c r="N31" s="46"/>
      <c r="O31" s="47" t="s">
        <v>172</v>
      </c>
      <c r="P31" s="47" t="s">
        <v>45</v>
      </c>
    </row>
    <row r="32" spans="1:16" ht="12.75" customHeight="1">
      <c r="A32" s="26" t="str">
        <f t="shared" si="0"/>
        <v> VSS 1.117 </v>
      </c>
      <c r="B32" s="11" t="str">
        <f t="shared" si="1"/>
        <v>I</v>
      </c>
      <c r="C32" s="26">
        <f t="shared" si="2"/>
        <v>28597.306</v>
      </c>
      <c r="D32" t="str">
        <f t="shared" si="3"/>
        <v>vis</v>
      </c>
      <c r="E32">
        <f>VLOOKUP(C32,A!C$21:E$973,3,FALSE)</f>
        <v>-3739.027193544481</v>
      </c>
      <c r="F32" s="11" t="s">
        <v>73</v>
      </c>
      <c r="G32" t="str">
        <f t="shared" si="4"/>
        <v>28597.306</v>
      </c>
      <c r="H32" s="26">
        <f t="shared" si="5"/>
        <v>-3739</v>
      </c>
      <c r="I32" s="45" t="s">
        <v>173</v>
      </c>
      <c r="J32" s="46" t="s">
        <v>174</v>
      </c>
      <c r="K32" s="45">
        <v>-3739</v>
      </c>
      <c r="L32" s="45" t="s">
        <v>175</v>
      </c>
      <c r="M32" s="46" t="s">
        <v>157</v>
      </c>
      <c r="N32" s="46"/>
      <c r="O32" s="47" t="s">
        <v>172</v>
      </c>
      <c r="P32" s="47" t="s">
        <v>45</v>
      </c>
    </row>
    <row r="33" spans="1:16" ht="12.75" customHeight="1">
      <c r="A33" s="26" t="str">
        <f t="shared" si="0"/>
        <v> VSS 1.117 </v>
      </c>
      <c r="B33" s="11" t="str">
        <f t="shared" si="1"/>
        <v>I</v>
      </c>
      <c r="C33" s="26">
        <f t="shared" si="2"/>
        <v>28835.662</v>
      </c>
      <c r="D33" t="str">
        <f t="shared" si="3"/>
        <v>vis</v>
      </c>
      <c r="E33">
        <f>VLOOKUP(C33,A!C$21:E$973,3,FALSE)</f>
        <v>-3682.0007072206845</v>
      </c>
      <c r="F33" s="11" t="s">
        <v>73</v>
      </c>
      <c r="G33" t="str">
        <f t="shared" si="4"/>
        <v>28835.662</v>
      </c>
      <c r="H33" s="26">
        <f t="shared" si="5"/>
        <v>-3682</v>
      </c>
      <c r="I33" s="45" t="s">
        <v>176</v>
      </c>
      <c r="J33" s="46" t="s">
        <v>177</v>
      </c>
      <c r="K33" s="45">
        <v>-3682</v>
      </c>
      <c r="L33" s="45" t="s">
        <v>178</v>
      </c>
      <c r="M33" s="46" t="s">
        <v>157</v>
      </c>
      <c r="N33" s="46"/>
      <c r="O33" s="47" t="s">
        <v>172</v>
      </c>
      <c r="P33" s="47" t="s">
        <v>45</v>
      </c>
    </row>
    <row r="34" spans="1:16" ht="12.75" customHeight="1">
      <c r="A34" s="26" t="str">
        <f t="shared" si="0"/>
        <v> VSS 1.117 </v>
      </c>
      <c r="B34" s="11" t="str">
        <f t="shared" si="1"/>
        <v>I</v>
      </c>
      <c r="C34" s="26">
        <f t="shared" si="2"/>
        <v>29249.479</v>
      </c>
      <c r="D34" t="str">
        <f t="shared" si="3"/>
        <v>vis</v>
      </c>
      <c r="E34">
        <f>VLOOKUP(C34,A!C$21:E$973,3,FALSE)</f>
        <v>-3582.995314064839</v>
      </c>
      <c r="F34" s="11" t="s">
        <v>73</v>
      </c>
      <c r="G34" t="str">
        <f t="shared" si="4"/>
        <v>29249.479</v>
      </c>
      <c r="H34" s="26">
        <f t="shared" si="5"/>
        <v>-3583</v>
      </c>
      <c r="I34" s="45" t="s">
        <v>179</v>
      </c>
      <c r="J34" s="46" t="s">
        <v>180</v>
      </c>
      <c r="K34" s="45">
        <v>-3583</v>
      </c>
      <c r="L34" s="45" t="s">
        <v>181</v>
      </c>
      <c r="M34" s="46" t="s">
        <v>157</v>
      </c>
      <c r="N34" s="46"/>
      <c r="O34" s="47" t="s">
        <v>172</v>
      </c>
      <c r="P34" s="47" t="s">
        <v>45</v>
      </c>
    </row>
    <row r="35" spans="1:16" ht="12.75" customHeight="1">
      <c r="A35" s="26" t="str">
        <f t="shared" si="0"/>
        <v> VSS 1.117 </v>
      </c>
      <c r="B35" s="11" t="str">
        <f t="shared" si="1"/>
        <v>I</v>
      </c>
      <c r="C35" s="26">
        <f t="shared" si="2"/>
        <v>29642.352</v>
      </c>
      <c r="D35" t="str">
        <f t="shared" si="3"/>
        <v>vis</v>
      </c>
      <c r="E35">
        <f>VLOOKUP(C35,A!C$21:E$973,3,FALSE)</f>
        <v>-3489.000756506023</v>
      </c>
      <c r="F35" s="11" t="s">
        <v>73</v>
      </c>
      <c r="G35" t="str">
        <f t="shared" si="4"/>
        <v>29642.352</v>
      </c>
      <c r="H35" s="26">
        <f t="shared" si="5"/>
        <v>-3489</v>
      </c>
      <c r="I35" s="45" t="s">
        <v>182</v>
      </c>
      <c r="J35" s="46" t="s">
        <v>183</v>
      </c>
      <c r="K35" s="45">
        <v>-3489</v>
      </c>
      <c r="L35" s="45" t="s">
        <v>178</v>
      </c>
      <c r="M35" s="46" t="s">
        <v>157</v>
      </c>
      <c r="N35" s="46"/>
      <c r="O35" s="47" t="s">
        <v>172</v>
      </c>
      <c r="P35" s="47" t="s">
        <v>45</v>
      </c>
    </row>
    <row r="36" spans="1:16" ht="12.75" customHeight="1">
      <c r="A36" s="26" t="str">
        <f t="shared" si="0"/>
        <v> SAC 22.86 </v>
      </c>
      <c r="B36" s="11" t="str">
        <f t="shared" si="1"/>
        <v>I</v>
      </c>
      <c r="C36" s="26">
        <f t="shared" si="2"/>
        <v>32944.353</v>
      </c>
      <c r="D36" t="str">
        <f t="shared" si="3"/>
        <v>vis</v>
      </c>
      <c r="E36">
        <f>VLOOKUP(C36,A!C$21:E$973,3,FALSE)</f>
        <v>-2698.9996033247976</v>
      </c>
      <c r="F36" s="11" t="s">
        <v>73</v>
      </c>
      <c r="G36" t="str">
        <f t="shared" si="4"/>
        <v>32944.353</v>
      </c>
      <c r="H36" s="26">
        <f t="shared" si="5"/>
        <v>-2699</v>
      </c>
      <c r="I36" s="45" t="s">
        <v>184</v>
      </c>
      <c r="J36" s="46" t="s">
        <v>185</v>
      </c>
      <c r="K36" s="45">
        <v>-2699</v>
      </c>
      <c r="L36" s="45" t="s">
        <v>186</v>
      </c>
      <c r="M36" s="46" t="s">
        <v>87</v>
      </c>
      <c r="N36" s="46"/>
      <c r="O36" s="47" t="s">
        <v>165</v>
      </c>
      <c r="P36" s="47" t="s">
        <v>46</v>
      </c>
    </row>
    <row r="37" spans="1:16" ht="12.75" customHeight="1">
      <c r="A37" s="26" t="str">
        <f t="shared" si="0"/>
        <v> BBS 124 </v>
      </c>
      <c r="B37" s="11" t="str">
        <f t="shared" si="1"/>
        <v>I</v>
      </c>
      <c r="C37" s="26">
        <f t="shared" si="2"/>
        <v>51878.597</v>
      </c>
      <c r="D37" t="str">
        <f t="shared" si="3"/>
        <v>vis</v>
      </c>
      <c r="E37">
        <f>VLOOKUP(C37,A!C$21:E$973,3,FALSE)</f>
        <v>1831.0034447102244</v>
      </c>
      <c r="F37" s="11" t="s">
        <v>73</v>
      </c>
      <c r="G37" t="str">
        <f t="shared" si="4"/>
        <v>51878.597</v>
      </c>
      <c r="H37" s="26">
        <f t="shared" si="5"/>
        <v>1831</v>
      </c>
      <c r="I37" s="45" t="s">
        <v>187</v>
      </c>
      <c r="J37" s="46" t="s">
        <v>188</v>
      </c>
      <c r="K37" s="45">
        <v>1831</v>
      </c>
      <c r="L37" s="45" t="s">
        <v>114</v>
      </c>
      <c r="M37" s="46" t="s">
        <v>87</v>
      </c>
      <c r="N37" s="46"/>
      <c r="O37" s="47" t="s">
        <v>88</v>
      </c>
      <c r="P37" s="47" t="s">
        <v>68</v>
      </c>
    </row>
    <row r="38" spans="1:16" ht="12.75" customHeight="1">
      <c r="A38" s="26" t="str">
        <f t="shared" si="0"/>
        <v> BBS 127 </v>
      </c>
      <c r="B38" s="11" t="str">
        <f t="shared" si="1"/>
        <v>I</v>
      </c>
      <c r="C38" s="26">
        <f t="shared" si="2"/>
        <v>52338.363</v>
      </c>
      <c r="D38" t="str">
        <f t="shared" si="3"/>
        <v>vis</v>
      </c>
      <c r="E38">
        <f>VLOOKUP(C38,A!C$21:E$973,3,FALSE)</f>
        <v>1941.002100129625</v>
      </c>
      <c r="F38" s="11" t="s">
        <v>73</v>
      </c>
      <c r="G38" t="str">
        <f t="shared" si="4"/>
        <v>52338.363</v>
      </c>
      <c r="H38" s="26">
        <f t="shared" si="5"/>
        <v>1941</v>
      </c>
      <c r="I38" s="45" t="s">
        <v>189</v>
      </c>
      <c r="J38" s="46" t="s">
        <v>190</v>
      </c>
      <c r="K38" s="45">
        <v>1941</v>
      </c>
      <c r="L38" s="45" t="s">
        <v>106</v>
      </c>
      <c r="M38" s="46" t="s">
        <v>126</v>
      </c>
      <c r="N38" s="46" t="s">
        <v>127</v>
      </c>
      <c r="O38" s="47" t="s">
        <v>128</v>
      </c>
      <c r="P38" s="47" t="s">
        <v>69</v>
      </c>
    </row>
    <row r="39" spans="1:16" ht="12.75" customHeight="1">
      <c r="A39" s="26" t="str">
        <f t="shared" si="0"/>
        <v>BAVM 203 </v>
      </c>
      <c r="B39" s="11" t="str">
        <f t="shared" si="1"/>
        <v>I</v>
      </c>
      <c r="C39" s="26">
        <f t="shared" si="2"/>
        <v>54457.4942</v>
      </c>
      <c r="D39" t="str">
        <f t="shared" si="3"/>
        <v>vis</v>
      </c>
      <c r="E39">
        <f>VLOOKUP(C39,A!C$21:E$973,3,FALSE)</f>
        <v>2448.002580063555</v>
      </c>
      <c r="F39" s="11" t="s">
        <v>73</v>
      </c>
      <c r="G39" t="str">
        <f t="shared" si="4"/>
        <v>54457.4942</v>
      </c>
      <c r="H39" s="26">
        <f t="shared" si="5"/>
        <v>2448</v>
      </c>
      <c r="I39" s="45" t="s">
        <v>191</v>
      </c>
      <c r="J39" s="46" t="s">
        <v>192</v>
      </c>
      <c r="K39" s="45">
        <v>2448</v>
      </c>
      <c r="L39" s="45" t="s">
        <v>193</v>
      </c>
      <c r="M39" s="46" t="s">
        <v>194</v>
      </c>
      <c r="N39" s="46" t="s">
        <v>137</v>
      </c>
      <c r="O39" s="47" t="s">
        <v>195</v>
      </c>
      <c r="P39" s="48" t="s">
        <v>71</v>
      </c>
    </row>
  </sheetData>
  <sheetProtection selectLockedCells="1" selectUnlockedCells="1"/>
  <hyperlinks>
    <hyperlink ref="P23" r:id="rId1" display="BAVM 128 "/>
    <hyperlink ref="P24" r:id="rId2" display="IBVS 5263 "/>
    <hyperlink ref="P25" r:id="rId3" display="IBVS 5745 "/>
    <hyperlink ref="P39" r:id="rId4" display="BAVM 203 "/>
  </hyperlink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2022-11-20T04:17:45Z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