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8535" windowHeight="1368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<sst xmlns="http://schemas.openxmlformats.org/spreadsheetml/2006/main" count="126" uniqueCount="98">
  <si>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</si>
  <si>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</si>
  <si>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</si>
  <si>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</si>
  <si>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</si>
  <si>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</si>
  <si>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</si>
  <si>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</si>
  <si>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</si>
  <si>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</si>
  <si>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</si>
  <si>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</si>
  <si>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</si>
  <si>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</si>
  <si>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</si>
  <si>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</si>
  <si>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</si>
  <si>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</si>
  <si>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</si>
  <si>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</si>
  <si>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</si>
  <si>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</si>
  <si>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</si>
  <si>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</si>
  <si>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</si>
  <si>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</si>
  <si>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</si>
  <si>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</si>
  <si>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</si>
  <si>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Bull.111</t>
  </si>
  <si>
    <t>B</t>
  </si>
  <si>
    <t>Krobusek B</t>
  </si>
  <si>
    <t>BBSAG Bull.117</t>
  </si>
  <si>
    <t>BBSAG</t>
  </si>
  <si>
    <t>IBVS 5378</t>
  </si>
  <si>
    <t>I</t>
  </si>
  <si>
    <t>IBVS</t>
  </si>
  <si>
    <t>EW/KW</t>
  </si>
  <si>
    <t># of data points:</t>
  </si>
  <si>
    <t>V458 Mon / GSC 00153-01004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</si>
  <si>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</si>
  <si>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</si>
  <si>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</si>
  <si>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</si>
  <si>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</si>
  <si>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</si>
  <si>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</si>
  <si>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5871</t>
  </si>
  <si>
    <t>IBVS 5894</t>
  </si>
  <si>
    <t>OEJV 0094</t>
  </si>
  <si>
    <t>II</t>
  </si>
  <si>
    <t>OEJV</t>
  </si>
  <si>
    <t>Add cycle</t>
  </si>
  <si>
    <t>Old Cycle</t>
  </si>
  <si>
    <t>IBVS 5992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</si>
  <si>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</si>
  <si>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</si>
  <si>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</si>
  <si>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</si>
  <si>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</si>
  <si>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</si>
  <si>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</si>
  <si>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</si>
  <si>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</si>
  <si>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</si>
  <si>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</si>
  <si>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2450462.3088 </t>
  </si>
  <si>
    <t> 13.01.1997 19:24 </t>
  </si>
  <si>
    <t> -0.0519 </t>
  </si>
  <si>
    <t>V </t>
  </si>
  <si>
    <t> A.Dedoch </t>
  </si>
  <si>
    <t> BRNO 32 </t>
  </si>
  <si>
    <t>2451955.3331 </t>
  </si>
  <si>
    <t> 14.02.2001 19:59 </t>
  </si>
  <si>
    <t> -0.0887 </t>
  </si>
  <si>
    <t>E </t>
  </si>
  <si>
    <t>?</t>
  </si>
  <si>
    <t> R.Diethelm </t>
  </si>
  <si>
    <t> BBS 124 </t>
  </si>
  <si>
    <t>2453780.3307 </t>
  </si>
  <si>
    <t> 13.02.2006 19:56 </t>
  </si>
  <si>
    <t> -0.1183 </t>
  </si>
  <si>
    <t>C </t>
  </si>
  <si>
    <t>-I</t>
  </si>
  <si>
    <t> Agerer </t>
  </si>
  <si>
    <t>BAVM 178 </t>
  </si>
  <si>
    <t>2455597.4760 </t>
  </si>
  <si>
    <t> 04.02.2011 23:25 </t>
  </si>
  <si>
    <t>14349</t>
  </si>
  <si>
    <t> -0.1337 </t>
  </si>
  <si>
    <t>R</t>
  </si>
  <si>
    <t> L.Corp </t>
  </si>
  <si>
    <t> JAAVSO 39;177 </t>
  </si>
  <si>
    <t>2455905.8403 </t>
  </si>
  <si>
    <t> 10.12.2011 08:10 </t>
  </si>
  <si>
    <t>14545</t>
  </si>
  <si>
    <t> -0.1360 </t>
  </si>
  <si>
    <t>IBVS 6011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</si>
</sst>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7" fillId="34" borderId="18" xfId="54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V458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5"/>
          <c:w val="0.9047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0.014</c:v>
                  </c:pt>
                  <c:pt idx="9">
                    <c:v>0.0002</c:v>
                  </c:pt>
                  <c:pt idx="10">
                    <c:v>0.0003</c:v>
                  </c:pt>
                  <c:pt idx="11">
                    <c:v>NaN</c:v>
                  </c:pt>
                  <c:pt idx="12">
                    <c:v>0.0002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0197356"/>
        <c:axId val="4905293"/>
      </c:scatterChart>
      <c:val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crossBetween val="midCat"/>
        <c:dispUnits/>
      </c:valAx>
      <c:valAx>
        <c:axId val="4905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92925"/>
          <c:w val="0.822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15</xdr:col>
      <xdr:colOff>76200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771900" y="19050"/>
        <a:ext cx="5724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24</v>
      </c>
      <c r="B2" s="9" t="s">
        <v>37</v>
      </c>
    </row>
    <row r="4" spans="1:4" ht="12.75">
      <c r="A4" s="5" t="s">
        <v>0</v>
      </c>
      <c r="C4" s="2">
        <v>34769.5</v>
      </c>
      <c r="D4" s="3">
        <v>0.49521352</v>
      </c>
    </row>
    <row r="6" ht="12.75">
      <c r="A6" s="5" t="s">
        <v>1</v>
      </c>
    </row>
    <row r="7" spans="1:3" ht="12.75">
      <c r="A7" t="s">
        <v>2</v>
      </c>
      <c r="C7">
        <f>+C4</f>
        <v>34769.5</v>
      </c>
    </row>
    <row r="8" spans="1:3" ht="12.75">
      <c r="A8" t="s">
        <v>3</v>
      </c>
      <c r="C8">
        <f>+D4</f>
        <v>0.49521352</v>
      </c>
    </row>
    <row r="9" spans="1:5" ht="12.75">
      <c r="A9" s="11" t="s">
        <v>40</v>
      </c>
      <c r="B9" s="12"/>
      <c r="C9" s="13">
        <v>-9.5</v>
      </c>
      <c r="D9" s="12" t="s">
        <v>41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16</v>
      </c>
      <c r="B11" s="12"/>
      <c r="C11" s="14">
        <f ca="1">INTERCEPT(INDIRECT($G$11):G992,INDIRECT($F$11):F992)</f>
        <v>-0.02059343469246222</v>
      </c>
      <c r="D11" s="15"/>
      <c r="E11" s="12"/>
      <c r="F11" s="16" t="str">
        <f>"F"&amp;E19</f>
        <v>F21</v>
      </c>
      <c r="G11" s="8" t="str">
        <f>"G"&amp;E19</f>
        <v>G21</v>
      </c>
    </row>
    <row r="12" spans="1:5" ht="12.75">
      <c r="A12" s="12" t="s">
        <v>17</v>
      </c>
      <c r="B12" s="12"/>
      <c r="C12" s="14">
        <f ca="1">SLOPE(INDIRECT($G$11):G992,INDIRECT($F$11):F992)</f>
        <v>-1.3179808822000133E-05</v>
      </c>
      <c r="D12" s="15"/>
      <c r="E12" s="12"/>
    </row>
    <row r="13" spans="1:5" ht="12.75">
      <c r="A13" s="12" t="s">
        <v>19</v>
      </c>
      <c r="B13" s="12"/>
      <c r="C13" s="15" t="s">
        <v>14</v>
      </c>
      <c r="D13" s="19" t="s">
        <v>52</v>
      </c>
      <c r="E13" s="13">
        <v>1</v>
      </c>
    </row>
    <row r="14" spans="1:5" ht="12.75">
      <c r="A14" s="12"/>
      <c r="B14" s="12"/>
      <c r="C14" s="12"/>
      <c r="D14" s="19" t="s">
        <v>42</v>
      </c>
      <c r="E14" s="20">
        <f ca="1">NOW()+15018.5+$C$9/24</f>
        <v>59903.72854895833</v>
      </c>
    </row>
    <row r="15" spans="1:5" ht="12.75">
      <c r="A15" s="17" t="s">
        <v>18</v>
      </c>
      <c r="B15" s="12"/>
      <c r="C15" s="18">
        <f>(C7+C11)+(C8+C12)*INT(MAX(F21:F3533))</f>
        <v>55905.62032660516</v>
      </c>
      <c r="D15" s="19" t="s">
        <v>53</v>
      </c>
      <c r="E15" s="20">
        <f>ROUND(2*(E14-$C$7)/$C$8,0)/2+E13</f>
        <v>50755.5</v>
      </c>
    </row>
    <row r="16" spans="1:5" ht="12.75">
      <c r="A16" s="21" t="s">
        <v>4</v>
      </c>
      <c r="B16" s="12"/>
      <c r="C16" s="22">
        <f>+C8+C12</f>
        <v>0.49520034019117803</v>
      </c>
      <c r="D16" s="19" t="s">
        <v>43</v>
      </c>
      <c r="E16" s="8">
        <f>ROUND(2*(E14-$C$15)/$C$16,0)/2+E13</f>
        <v>8074.5</v>
      </c>
    </row>
    <row r="17" spans="1:5" ht="13.5" thickBot="1">
      <c r="A17" s="19" t="s">
        <v>38</v>
      </c>
      <c r="B17" s="12"/>
      <c r="C17" s="12">
        <f>COUNT(C21:C2191)</f>
        <v>14</v>
      </c>
      <c r="D17" s="19" t="s">
        <v>44</v>
      </c>
      <c r="E17" s="23">
        <f>+$C$15+$C$16*E16-15018.5-$C$9/24</f>
        <v>44886.011306812165</v>
      </c>
    </row>
    <row r="18" spans="1:5" ht="12.75">
      <c r="A18" s="21" t="s">
        <v>5</v>
      </c>
      <c r="B18" s="12"/>
      <c r="C18" s="24">
        <f>+C15</f>
        <v>55905.62032660516</v>
      </c>
      <c r="D18" s="25">
        <f>+C16</f>
        <v>0.49520034019117803</v>
      </c>
      <c r="E18" s="26" t="s">
        <v>45</v>
      </c>
    </row>
    <row r="19" spans="1:5" ht="13.5" thickTop="1">
      <c r="A19" s="27" t="s">
        <v>46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33</v>
      </c>
      <c r="J20" s="7" t="s">
        <v>36</v>
      </c>
      <c r="K20" s="7" t="s">
        <v>51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s="29" customFormat="1" ht="12.75" customHeight="1">
      <c r="A21" s="29" t="s">
        <v>12</v>
      </c>
      <c r="C21" s="30">
        <v>34769.5</v>
      </c>
      <c r="D21" s="30" t="s">
        <v>14</v>
      </c>
      <c r="E21" s="29">
        <f aca="true" t="shared" si="0" ref="E21:E34">+(C21-C$7)/C$8</f>
        <v>0</v>
      </c>
      <c r="F21" s="29">
        <f>ROUND(2*E21,0)/2</f>
        <v>0</v>
      </c>
      <c r="G21" s="29">
        <f aca="true" t="shared" si="1" ref="G21:G29">+C21-(C$7+F21*C$8)</f>
        <v>0</v>
      </c>
      <c r="H21" s="31">
        <f>G21</f>
        <v>0</v>
      </c>
      <c r="O21" s="29">
        <f aca="true" t="shared" si="2" ref="O21:O34">+C$11+C$12*$F21</f>
        <v>-0.02059343469246222</v>
      </c>
      <c r="Q21" s="32">
        <f aca="true" t="shared" si="3" ref="Q21:Q34">+C21-15018.5</f>
        <v>19751</v>
      </c>
    </row>
    <row r="22" spans="1:31" s="29" customFormat="1" ht="12.75" customHeight="1">
      <c r="A22" s="29" t="s">
        <v>29</v>
      </c>
      <c r="C22" s="33">
        <v>50155.3657</v>
      </c>
      <c r="D22" s="30">
        <v>0.0009</v>
      </c>
      <c r="E22" s="29">
        <f t="shared" si="0"/>
        <v>31069.155179769732</v>
      </c>
      <c r="F22" s="43">
        <f aca="true" t="shared" si="4" ref="F22:F34">ROUND(2*E22,0)/2+1</f>
        <v>31070</v>
      </c>
      <c r="G22" s="29">
        <f t="shared" si="1"/>
        <v>-0.4183664000011049</v>
      </c>
      <c r="I22" s="29">
        <f>+G22</f>
        <v>-0.4183664000011049</v>
      </c>
      <c r="O22" s="29">
        <f t="shared" si="2"/>
        <v>-0.4300900947920063</v>
      </c>
      <c r="Q22" s="32">
        <f t="shared" si="3"/>
        <v>35136.8657</v>
      </c>
      <c r="AA22" s="29">
        <v>11</v>
      </c>
      <c r="AC22" s="29" t="s">
        <v>28</v>
      </c>
      <c r="AE22" s="29" t="s">
        <v>30</v>
      </c>
    </row>
    <row r="23" spans="1:17" s="29" customFormat="1" ht="12.75" customHeight="1">
      <c r="A23" s="58" t="s">
        <v>71</v>
      </c>
      <c r="B23" s="60" t="s">
        <v>35</v>
      </c>
      <c r="C23" s="59">
        <v>50462.3088</v>
      </c>
      <c r="D23" s="30"/>
      <c r="E23" s="29">
        <f t="shared" si="0"/>
        <v>31688.974889053916</v>
      </c>
      <c r="F23" s="43">
        <f t="shared" si="4"/>
        <v>31690</v>
      </c>
      <c r="G23" s="29">
        <f t="shared" si="1"/>
        <v>-0.5076488000049721</v>
      </c>
      <c r="L23" s="29">
        <f>+G23</f>
        <v>-0.5076488000049721</v>
      </c>
      <c r="O23" s="29">
        <f t="shared" si="2"/>
        <v>-0.4382615762616464</v>
      </c>
      <c r="Q23" s="32">
        <f t="shared" si="3"/>
        <v>35443.8088</v>
      </c>
    </row>
    <row r="24" spans="1:31" s="29" customFormat="1" ht="12.75" customHeight="1">
      <c r="A24" s="29" t="s">
        <v>32</v>
      </c>
      <c r="C24" s="33">
        <v>50852.5868</v>
      </c>
      <c r="D24" s="30">
        <v>0.0014</v>
      </c>
      <c r="E24" s="29">
        <f t="shared" si="0"/>
        <v>32477.075343177214</v>
      </c>
      <c r="F24" s="43">
        <f t="shared" si="4"/>
        <v>32478</v>
      </c>
      <c r="G24" s="29">
        <f t="shared" si="1"/>
        <v>-0.45790256000327645</v>
      </c>
      <c r="I24" s="29">
        <f>+G24</f>
        <v>-0.45790256000327645</v>
      </c>
      <c r="O24" s="29">
        <f t="shared" si="2"/>
        <v>-0.44864726561338253</v>
      </c>
      <c r="Q24" s="32">
        <f t="shared" si="3"/>
        <v>35834.0868</v>
      </c>
      <c r="AA24" s="29">
        <v>21</v>
      </c>
      <c r="AC24" s="29" t="s">
        <v>31</v>
      </c>
      <c r="AE24" s="29" t="s">
        <v>30</v>
      </c>
    </row>
    <row r="25" spans="1:17" s="29" customFormat="1" ht="12.75" customHeight="1">
      <c r="A25" s="58" t="s">
        <v>78</v>
      </c>
      <c r="B25" s="60" t="s">
        <v>35</v>
      </c>
      <c r="C25" s="59">
        <v>51955.3331</v>
      </c>
      <c r="D25" s="30"/>
      <c r="E25" s="29">
        <f t="shared" si="0"/>
        <v>34703.88510394467</v>
      </c>
      <c r="F25" s="43">
        <f t="shared" si="4"/>
        <v>34705</v>
      </c>
      <c r="G25" s="29">
        <f t="shared" si="1"/>
        <v>-0.5521116000018083</v>
      </c>
      <c r="L25" s="29">
        <f>+G25</f>
        <v>-0.5521116000018083</v>
      </c>
      <c r="O25" s="29">
        <f t="shared" si="2"/>
        <v>-0.47799869985997684</v>
      </c>
      <c r="Q25" s="32">
        <f t="shared" si="3"/>
        <v>36936.8331</v>
      </c>
    </row>
    <row r="26" spans="1:17" s="29" customFormat="1" ht="12.75" customHeight="1">
      <c r="A26" s="29" t="s">
        <v>34</v>
      </c>
      <c r="B26" s="34" t="s">
        <v>35</v>
      </c>
      <c r="C26" s="30">
        <v>52587.7882</v>
      </c>
      <c r="D26" s="30">
        <v>0.0005</v>
      </c>
      <c r="E26" s="29">
        <f t="shared" si="0"/>
        <v>35981.02127744816</v>
      </c>
      <c r="F26" s="43">
        <f t="shared" si="4"/>
        <v>35982</v>
      </c>
      <c r="G26" s="29">
        <f t="shared" si="1"/>
        <v>-0.4846766399932676</v>
      </c>
      <c r="J26" s="29">
        <f>+G26</f>
        <v>-0.4846766399932676</v>
      </c>
      <c r="O26" s="29">
        <f t="shared" si="2"/>
        <v>-0.494829315725671</v>
      </c>
      <c r="Q26" s="32">
        <f t="shared" si="3"/>
        <v>37569.2882</v>
      </c>
    </row>
    <row r="27" spans="1:17" s="29" customFormat="1" ht="12.75" customHeight="1">
      <c r="A27" s="58" t="s">
        <v>85</v>
      </c>
      <c r="B27" s="60" t="s">
        <v>35</v>
      </c>
      <c r="C27" s="59">
        <v>53780.3307</v>
      </c>
      <c r="D27" s="30"/>
      <c r="E27" s="29">
        <f t="shared" si="0"/>
        <v>38389.159286281196</v>
      </c>
      <c r="F27" s="43">
        <f t="shared" si="4"/>
        <v>38390</v>
      </c>
      <c r="G27" s="29">
        <f t="shared" si="1"/>
        <v>-0.41633280000678496</v>
      </c>
      <c r="L27" s="29">
        <f>+G27</f>
        <v>-0.41633280000678496</v>
      </c>
      <c r="O27" s="29">
        <f t="shared" si="2"/>
        <v>-0.5265662953690473</v>
      </c>
      <c r="Q27" s="32">
        <f t="shared" si="3"/>
        <v>38761.8307</v>
      </c>
    </row>
    <row r="28" spans="1:17" s="29" customFormat="1" ht="12.75" customHeight="1">
      <c r="A28" s="35" t="s">
        <v>49</v>
      </c>
      <c r="B28" s="36" t="s">
        <v>35</v>
      </c>
      <c r="C28" s="35">
        <v>54469.48568</v>
      </c>
      <c r="D28" s="35">
        <v>0.0003</v>
      </c>
      <c r="E28" s="29">
        <f t="shared" si="0"/>
        <v>39780.79128372746</v>
      </c>
      <c r="F28" s="43">
        <f t="shared" si="4"/>
        <v>39782</v>
      </c>
      <c r="G28" s="29">
        <f t="shared" si="1"/>
        <v>-0.5985726400031126</v>
      </c>
      <c r="K28" s="29">
        <f>+G28</f>
        <v>-0.5985726400031126</v>
      </c>
      <c r="O28" s="29">
        <f t="shared" si="2"/>
        <v>-0.5449125892492714</v>
      </c>
      <c r="Q28" s="32">
        <f t="shared" si="3"/>
        <v>39450.98568</v>
      </c>
    </row>
    <row r="29" spans="1:17" s="29" customFormat="1" ht="12.75" customHeight="1">
      <c r="A29" s="35" t="s">
        <v>49</v>
      </c>
      <c r="B29" s="36" t="s">
        <v>50</v>
      </c>
      <c r="C29" s="35">
        <v>54521.28615</v>
      </c>
      <c r="D29" s="35">
        <v>0.014</v>
      </c>
      <c r="E29" s="29">
        <f t="shared" si="0"/>
        <v>39885.39357729974</v>
      </c>
      <c r="F29" s="43">
        <f t="shared" si="4"/>
        <v>39886.5</v>
      </c>
      <c r="G29" s="29">
        <f t="shared" si="1"/>
        <v>-0.547915479997755</v>
      </c>
      <c r="K29" s="29">
        <f>+G29</f>
        <v>-0.547915479997755</v>
      </c>
      <c r="O29" s="29">
        <f t="shared" si="2"/>
        <v>-0.5462898792711706</v>
      </c>
      <c r="Q29" s="32">
        <f t="shared" si="3"/>
        <v>39502.78615</v>
      </c>
    </row>
    <row r="30" spans="1:17" s="29" customFormat="1" ht="12.75" customHeight="1">
      <c r="A30" s="37" t="s">
        <v>47</v>
      </c>
      <c r="B30" s="38" t="s">
        <v>35</v>
      </c>
      <c r="C30" s="37">
        <v>54811.8479</v>
      </c>
      <c r="D30" s="37">
        <v>0.0002</v>
      </c>
      <c r="E30" s="29">
        <f t="shared" si="0"/>
        <v>40472.1339191224</v>
      </c>
      <c r="F30" s="43">
        <f t="shared" si="4"/>
        <v>40473</v>
      </c>
      <c r="J30" s="44">
        <v>-0.42889496000134386</v>
      </c>
      <c r="O30" s="29">
        <f t="shared" si="2"/>
        <v>-0.5540198371452736</v>
      </c>
      <c r="Q30" s="32">
        <f t="shared" si="3"/>
        <v>39793.3479</v>
      </c>
    </row>
    <row r="31" spans="1:17" s="29" customFormat="1" ht="12.75" customHeight="1">
      <c r="A31" s="39" t="s">
        <v>48</v>
      </c>
      <c r="B31" s="40" t="s">
        <v>35</v>
      </c>
      <c r="C31" s="39">
        <v>54882.7011</v>
      </c>
      <c r="D31" s="39">
        <v>0.0003</v>
      </c>
      <c r="E31" s="29">
        <f t="shared" si="0"/>
        <v>40615.20998053526</v>
      </c>
      <c r="F31" s="43">
        <f t="shared" si="4"/>
        <v>40616</v>
      </c>
      <c r="J31" s="44">
        <v>-0.3912283199970261</v>
      </c>
      <c r="O31" s="29">
        <f t="shared" si="2"/>
        <v>-0.5559045498068196</v>
      </c>
      <c r="Q31" s="32">
        <f t="shared" si="3"/>
        <v>39864.2011</v>
      </c>
    </row>
    <row r="32" spans="1:17" s="29" customFormat="1" ht="12.75" customHeight="1">
      <c r="A32" s="58" t="s">
        <v>92</v>
      </c>
      <c r="B32" s="60" t="s">
        <v>35</v>
      </c>
      <c r="C32" s="59">
        <v>55597.476</v>
      </c>
      <c r="D32" s="30"/>
      <c r="E32" s="29">
        <f t="shared" si="0"/>
        <v>42058.577076005524</v>
      </c>
      <c r="F32" s="43">
        <f t="shared" si="4"/>
        <v>42059.5</v>
      </c>
      <c r="G32" s="29">
        <f>+C32-(C$7+F32*C$8)</f>
        <v>-0.4570444399942062</v>
      </c>
      <c r="L32" s="29">
        <f>+G32</f>
        <v>-0.4570444399942062</v>
      </c>
      <c r="O32" s="29">
        <f t="shared" si="2"/>
        <v>-0.5749296038413768</v>
      </c>
      <c r="Q32" s="32">
        <f t="shared" si="3"/>
        <v>40578.976</v>
      </c>
    </row>
    <row r="33" spans="1:17" s="29" customFormat="1" ht="12.75" customHeight="1">
      <c r="A33" s="41" t="s">
        <v>54</v>
      </c>
      <c r="B33" s="42" t="s">
        <v>35</v>
      </c>
      <c r="C33" s="41">
        <v>55605.7416</v>
      </c>
      <c r="D33" s="41">
        <v>0.0002</v>
      </c>
      <c r="E33" s="29">
        <f t="shared" si="0"/>
        <v>42075.26805810956</v>
      </c>
      <c r="F33" s="43">
        <f t="shared" si="4"/>
        <v>42076.5</v>
      </c>
      <c r="G33" s="29">
        <f>+C33-(C$7+F33*C$8)</f>
        <v>-0.6100742799972068</v>
      </c>
      <c r="J33" s="29">
        <f>+G33</f>
        <v>-0.6100742799972068</v>
      </c>
      <c r="O33" s="29">
        <f t="shared" si="2"/>
        <v>-0.5751536605913508</v>
      </c>
      <c r="Q33" s="32">
        <f t="shared" si="3"/>
        <v>40587.2416</v>
      </c>
    </row>
    <row r="34" spans="1:17" s="29" customFormat="1" ht="12.75" customHeight="1">
      <c r="A34" s="58" t="s">
        <v>97</v>
      </c>
      <c r="B34" s="60" t="s">
        <v>35</v>
      </c>
      <c r="C34" s="59">
        <v>55905.8403</v>
      </c>
      <c r="D34" s="30"/>
      <c r="E34" s="29">
        <f t="shared" si="0"/>
        <v>42681.26665847088</v>
      </c>
      <c r="F34" s="43">
        <f t="shared" si="4"/>
        <v>42682.5</v>
      </c>
      <c r="G34" s="29">
        <f>+C34-(C$7+F34*C$8)</f>
        <v>-0.6107674000013503</v>
      </c>
      <c r="L34" s="29">
        <f>+G34</f>
        <v>-0.6107674000013503</v>
      </c>
      <c r="O34" s="29">
        <f t="shared" si="2"/>
        <v>-0.5831406247374828</v>
      </c>
      <c r="Q34" s="32">
        <f t="shared" si="3"/>
        <v>40887.3403</v>
      </c>
    </row>
    <row r="35" spans="3:4" s="29" customFormat="1" ht="12.75" customHeight="1">
      <c r="C35" s="30"/>
      <c r="D35" s="30"/>
    </row>
    <row r="36" spans="3:4" s="29" customFormat="1" ht="12.75" customHeight="1">
      <c r="C36" s="30"/>
      <c r="D36" s="3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1"/>
  <sheetViews>
    <sheetView zoomScalePageLayoutView="0" workbookViewId="0" topLeftCell="A1">
      <selection activeCell="A11" sqref="A11:C15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5" t="s">
        <v>55</v>
      </c>
      <c r="I1" s="46" t="s">
        <v>56</v>
      </c>
      <c r="J1" s="47" t="s">
        <v>57</v>
      </c>
    </row>
    <row r="2" spans="9:10" ht="12.75">
      <c r="I2" s="48" t="s">
        <v>58</v>
      </c>
      <c r="J2" s="49" t="s">
        <v>59</v>
      </c>
    </row>
    <row r="3" spans="1:10" ht="12.75">
      <c r="A3" s="50" t="s">
        <v>60</v>
      </c>
      <c r="I3" s="48" t="s">
        <v>61</v>
      </c>
      <c r="J3" s="49" t="s">
        <v>62</v>
      </c>
    </row>
    <row r="4" spans="9:10" ht="12.75">
      <c r="I4" s="48" t="s">
        <v>63</v>
      </c>
      <c r="J4" s="49" t="s">
        <v>62</v>
      </c>
    </row>
    <row r="5" spans="9:10" ht="13.5" thickBot="1">
      <c r="I5" s="51" t="s">
        <v>64</v>
      </c>
      <c r="J5" s="52" t="s">
        <v>65</v>
      </c>
    </row>
    <row r="10" ht="13.5" thickBot="1"/>
    <row r="11" spans="1:16" ht="12.75" customHeight="1" thickBot="1">
      <c r="A11" s="10" t="str">
        <f>P11</f>
        <v> BRNO 32 </v>
      </c>
      <c r="B11" s="15" t="str">
        <f>IF(H11=INT(H11),"I","II")</f>
        <v>I</v>
      </c>
      <c r="C11" s="10">
        <f>1*G11</f>
        <v>50462.3088</v>
      </c>
      <c r="D11" s="12" t="str">
        <f>VLOOKUP(F11,I$1:J$5,2,FALSE)</f>
        <v>vis</v>
      </c>
      <c r="E11" s="53">
        <f>VLOOKUP(C11,A!C$21:E$973,3,FALSE)</f>
        <v>31688.974889053916</v>
      </c>
      <c r="F11" s="15" t="s">
        <v>64</v>
      </c>
      <c r="G11" s="12" t="str">
        <f>MID(I11,3,LEN(I11)-3)</f>
        <v>50462.3088</v>
      </c>
      <c r="H11" s="10">
        <f>1*K11</f>
        <v>11085</v>
      </c>
      <c r="I11" s="54" t="s">
        <v>66</v>
      </c>
      <c r="J11" s="55" t="s">
        <v>67</v>
      </c>
      <c r="K11" s="54">
        <v>11085</v>
      </c>
      <c r="L11" s="54" t="s">
        <v>68</v>
      </c>
      <c r="M11" s="55" t="s">
        <v>69</v>
      </c>
      <c r="N11" s="55"/>
      <c r="O11" s="56" t="s">
        <v>70</v>
      </c>
      <c r="P11" s="56" t="s">
        <v>71</v>
      </c>
    </row>
    <row r="12" spans="1:16" ht="12.75" customHeight="1" thickBot="1">
      <c r="A12" s="10" t="str">
        <f>P12</f>
        <v> BBS 124 </v>
      </c>
      <c r="B12" s="15" t="str">
        <f>IF(H12=INT(H12),"I","II")</f>
        <v>I</v>
      </c>
      <c r="C12" s="10">
        <f>1*G12</f>
        <v>51955.3331</v>
      </c>
      <c r="D12" s="12" t="str">
        <f>VLOOKUP(F12,I$1:J$5,2,FALSE)</f>
        <v>vis</v>
      </c>
      <c r="E12" s="53">
        <f>VLOOKUP(C12,A!C$21:E$973,3,FALSE)</f>
        <v>34703.88510394467</v>
      </c>
      <c r="F12" s="15" t="s">
        <v>64</v>
      </c>
      <c r="G12" s="12" t="str">
        <f>MID(I12,3,LEN(I12)-3)</f>
        <v>51955.3331</v>
      </c>
      <c r="H12" s="10">
        <f>1*K12</f>
        <v>12034</v>
      </c>
      <c r="I12" s="54" t="s">
        <v>72</v>
      </c>
      <c r="J12" s="55" t="s">
        <v>73</v>
      </c>
      <c r="K12" s="54">
        <v>12034</v>
      </c>
      <c r="L12" s="54" t="s">
        <v>74</v>
      </c>
      <c r="M12" s="55" t="s">
        <v>75</v>
      </c>
      <c r="N12" s="55" t="s">
        <v>76</v>
      </c>
      <c r="O12" s="56" t="s">
        <v>77</v>
      </c>
      <c r="P12" s="56" t="s">
        <v>78</v>
      </c>
    </row>
    <row r="13" spans="1:16" ht="12.75" customHeight="1" thickBot="1">
      <c r="A13" s="10" t="str">
        <f>P13</f>
        <v>BAVM 178 </v>
      </c>
      <c r="B13" s="15" t="str">
        <f>IF(H13=INT(H13),"I","II")</f>
        <v>I</v>
      </c>
      <c r="C13" s="10">
        <f>1*G13</f>
        <v>53780.3307</v>
      </c>
      <c r="D13" s="12" t="str">
        <f>VLOOKUP(F13,I$1:J$5,2,FALSE)</f>
        <v>vis</v>
      </c>
      <c r="E13" s="53">
        <f>VLOOKUP(C13,A!C$21:E$973,3,FALSE)</f>
        <v>38389.159286281196</v>
      </c>
      <c r="F13" s="15" t="s">
        <v>64</v>
      </c>
      <c r="G13" s="12" t="str">
        <f>MID(I13,3,LEN(I13)-3)</f>
        <v>53780.3307</v>
      </c>
      <c r="H13" s="10">
        <f>1*K13</f>
        <v>13194</v>
      </c>
      <c r="I13" s="54" t="s">
        <v>79</v>
      </c>
      <c r="J13" s="55" t="s">
        <v>80</v>
      </c>
      <c r="K13" s="54">
        <v>13194</v>
      </c>
      <c r="L13" s="54" t="s">
        <v>81</v>
      </c>
      <c r="M13" s="55" t="s">
        <v>82</v>
      </c>
      <c r="N13" s="55" t="s">
        <v>83</v>
      </c>
      <c r="O13" s="56" t="s">
        <v>84</v>
      </c>
      <c r="P13" s="57" t="s">
        <v>85</v>
      </c>
    </row>
    <row r="14" spans="1:16" ht="12.75" customHeight="1" thickBot="1">
      <c r="A14" s="10" t="str">
        <f>P14</f>
        <v> JAAVSO 39;177 </v>
      </c>
      <c r="B14" s="15" t="str">
        <f>IF(H14=INT(H14),"I","II")</f>
        <v>I</v>
      </c>
      <c r="C14" s="10">
        <f>1*G14</f>
        <v>55597.476</v>
      </c>
      <c r="D14" s="12" t="str">
        <f>VLOOKUP(F14,I$1:J$5,2,FALSE)</f>
        <v>vis</v>
      </c>
      <c r="E14" s="53">
        <f>VLOOKUP(C14,A!C$21:E$973,3,FALSE)</f>
        <v>42058.577076005524</v>
      </c>
      <c r="F14" s="15" t="s">
        <v>64</v>
      </c>
      <c r="G14" s="12" t="str">
        <f>MID(I14,3,LEN(I14)-3)</f>
        <v>55597.4760</v>
      </c>
      <c r="H14" s="10">
        <f>1*K14</f>
        <v>14349</v>
      </c>
      <c r="I14" s="54" t="s">
        <v>86</v>
      </c>
      <c r="J14" s="55" t="s">
        <v>87</v>
      </c>
      <c r="K14" s="54" t="s">
        <v>88</v>
      </c>
      <c r="L14" s="54" t="s">
        <v>89</v>
      </c>
      <c r="M14" s="55" t="s">
        <v>82</v>
      </c>
      <c r="N14" s="55" t="s">
        <v>90</v>
      </c>
      <c r="O14" s="56" t="s">
        <v>91</v>
      </c>
      <c r="P14" s="56" t="s">
        <v>92</v>
      </c>
    </row>
    <row r="15" spans="1:16" ht="12.75" customHeight="1" thickBot="1">
      <c r="A15" s="10" t="str">
        <f>P15</f>
        <v>IBVS 6011 </v>
      </c>
      <c r="B15" s="15" t="str">
        <f>IF(H15=INT(H15),"I","II")</f>
        <v>I</v>
      </c>
      <c r="C15" s="10">
        <f>1*G15</f>
        <v>55905.8403</v>
      </c>
      <c r="D15" s="12" t="str">
        <f>VLOOKUP(F15,I$1:J$5,2,FALSE)</f>
        <v>vis</v>
      </c>
      <c r="E15" s="53">
        <f>VLOOKUP(C15,A!C$21:E$973,3,FALSE)</f>
        <v>42681.26665847088</v>
      </c>
      <c r="F15" s="15" t="s">
        <v>64</v>
      </c>
      <c r="G15" s="12" t="str">
        <f>MID(I15,3,LEN(I15)-3)</f>
        <v>55905.8403</v>
      </c>
      <c r="H15" s="10">
        <f>1*K15</f>
        <v>14545</v>
      </c>
      <c r="I15" s="54" t="s">
        <v>93</v>
      </c>
      <c r="J15" s="55" t="s">
        <v>94</v>
      </c>
      <c r="K15" s="54" t="s">
        <v>95</v>
      </c>
      <c r="L15" s="54" t="s">
        <v>96</v>
      </c>
      <c r="M15" s="55" t="s">
        <v>82</v>
      </c>
      <c r="N15" s="55" t="s">
        <v>64</v>
      </c>
      <c r="O15" s="56" t="s">
        <v>77</v>
      </c>
      <c r="P15" s="57" t="s">
        <v>97</v>
      </c>
    </row>
    <row r="16" spans="2:6" ht="12.75">
      <c r="B16" s="15"/>
      <c r="F16" s="15"/>
    </row>
    <row r="17" spans="2:6" ht="12.75">
      <c r="B17" s="15"/>
      <c r="F17" s="15"/>
    </row>
    <row r="18" spans="2:6" ht="12.75">
      <c r="B18" s="15"/>
      <c r="F18" s="15"/>
    </row>
    <row r="19" spans="2:6" ht="12.75">
      <c r="B19" s="15"/>
      <c r="F19" s="15"/>
    </row>
    <row r="20" spans="2:6" ht="12.75">
      <c r="B20" s="15"/>
      <c r="F20" s="15"/>
    </row>
    <row r="21" spans="2:6" ht="12.75">
      <c r="B21" s="15"/>
      <c r="F21" s="15"/>
    </row>
    <row r="22" spans="2:6" ht="12.75">
      <c r="B22" s="15"/>
      <c r="F22" s="15"/>
    </row>
    <row r="23" spans="2:6" ht="12.75">
      <c r="B23" s="15"/>
      <c r="F23" s="15"/>
    </row>
    <row r="24" spans="2:6" ht="12.75">
      <c r="B24" s="15"/>
      <c r="F24" s="15"/>
    </row>
    <row r="25" spans="2:6" ht="12.75">
      <c r="B25" s="15"/>
      <c r="F25" s="15"/>
    </row>
    <row r="26" spans="2:6" ht="12.75">
      <c r="B26" s="15"/>
      <c r="F26" s="15"/>
    </row>
    <row r="27" spans="2:6" ht="12.75">
      <c r="B27" s="15"/>
      <c r="F27" s="15"/>
    </row>
    <row r="28" spans="2:6" ht="12.75">
      <c r="B28" s="15"/>
      <c r="F28" s="15"/>
    </row>
    <row r="29" spans="2:6" ht="12.75">
      <c r="B29" s="15"/>
      <c r="F29" s="15"/>
    </row>
    <row r="30" spans="2:6" ht="12.75">
      <c r="B30" s="15"/>
      <c r="F30" s="15"/>
    </row>
    <row r="31" spans="2:6" ht="12.75">
      <c r="B31" s="15"/>
      <c r="F31" s="15"/>
    </row>
    <row r="32" spans="2:6" ht="12.75">
      <c r="B32" s="15"/>
      <c r="F32" s="15"/>
    </row>
    <row r="33" spans="2:6" ht="12.75">
      <c r="B33" s="15"/>
      <c r="F33" s="15"/>
    </row>
    <row r="34" spans="2:6" ht="12.75">
      <c r="B34" s="15"/>
      <c r="F34" s="15"/>
    </row>
    <row r="35" spans="2:6" ht="12.75">
      <c r="B35" s="15"/>
      <c r="F35" s="15"/>
    </row>
    <row r="36" spans="2:6" ht="12.75">
      <c r="B36" s="15"/>
      <c r="F36" s="15"/>
    </row>
    <row r="37" spans="2:6" ht="12.75">
      <c r="B37" s="15"/>
      <c r="F37" s="15"/>
    </row>
    <row r="38" spans="2:6" ht="12.75">
      <c r="B38" s="15"/>
      <c r="F38" s="15"/>
    </row>
    <row r="39" spans="2:6" ht="12.75">
      <c r="B39" s="15"/>
      <c r="F39" s="15"/>
    </row>
    <row r="40" spans="2:6" ht="12.75">
      <c r="B40" s="15"/>
      <c r="F40" s="15"/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</sheetData>
  <sheetProtection/>
  <hyperlinks>
    <hyperlink ref="P13" r:id="rId1" display="http://www.bav-astro.de/sfs/BAVM_link.php?BAVMnr=178"/>
    <hyperlink ref="P15" r:id="rId2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