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<sst xmlns="http://schemas.openxmlformats.org/spreadsheetml/2006/main" count="437" uniqueCount="217">
  <si>
    <t>V0498 Mon / GSC 00151-02262</t>
  </si>
  <si>
    <t>System Type:</t>
  </si>
  <si>
    <t>EA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</si>
  <si>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</si>
  <si>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</si>
  <si>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</si>
  <si>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</si>
  <si>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</si>
  <si>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</si>
  <si>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 fit (row)</t>
  </si>
  <si>
    <t>Primary</t>
  </si>
  <si>
    <t>Secondary</t>
  </si>
  <si>
    <t>LS Intercept =</t>
  </si>
  <si>
    <t>LS Slope =</t>
  </si>
  <si>
    <t>Start cell (x)</t>
  </si>
  <si>
    <t>Start cell (y)</t>
  </si>
  <si>
    <t>New epoch =</t>
  </si>
  <si>
    <t>Add cycle</t>
  </si>
  <si>
    <t>New Period =</t>
  </si>
  <si>
    <t>JD today</t>
  </si>
  <si>
    <t># of data points =</t>
  </si>
  <si>
    <t>Old Cycle</t>
  </si>
  <si>
    <t>Prim. Ephem. =</t>
  </si>
  <si>
    <t>New Cycle</t>
  </si>
  <si>
    <t>Sec. Ephem. =</t>
  </si>
  <si>
    <t>Next ToM</t>
  </si>
  <si>
    <t>Source</t>
  </si>
  <si>
    <t>Typ</t>
  </si>
  <si>
    <t>ToM</t>
  </si>
  <si>
    <t>error</t>
  </si>
  <si>
    <t>n'</t>
  </si>
  <si>
    <t>n</t>
  </si>
  <si>
    <t>O-C</t>
  </si>
  <si>
    <t>GCVS 4</t>
  </si>
  <si>
    <t>S2</t>
  </si>
  <si>
    <t>S3</t>
  </si>
  <si>
    <t>S4</t>
  </si>
  <si>
    <t>S5</t>
  </si>
  <si>
    <t>S6</t>
  </si>
  <si>
    <t>Misc</t>
  </si>
  <si>
    <t>Prim. Fit</t>
  </si>
  <si>
    <t>Sec. Fit</t>
  </si>
  <si>
    <t>Date</t>
  </si>
  <si>
    <t>BAD?</t>
  </si>
  <si>
    <t>na</t>
  </si>
  <si>
    <t>BBSAG Bull.91</t>
  </si>
  <si>
    <t>BBSAG Bull.99</t>
  </si>
  <si>
    <t>IBVS 5672</t>
  </si>
  <si>
    <t>IBVS 5731</t>
  </si>
  <si>
    <t>IBVS 5871</t>
  </si>
  <si>
    <t>I</t>
  </si>
  <si>
    <t>IBVS 5920</t>
  </si>
  <si>
    <t>OEJV 0137</t>
  </si>
  <si>
    <t>OEJV 0160</t>
  </si>
  <si>
    <t>IBVS 6114</t>
  </si>
  <si>
    <t>IBVS 5984</t>
  </si>
  <si>
    <t>OEJV 0168</t>
  </si>
  <si>
    <t>II</t>
  </si>
  <si>
    <t>IBVS 6157</t>
  </si>
  <si>
    <t> AHSB 7.7.354 </t>
  </si>
  <si>
    <t>VSB 47 </t>
  </si>
  <si>
    <t>OEJV 0137 </t>
  </si>
  <si>
    <t>IBVS 6202</t>
  </si>
  <si>
    <t>OEJV 0205</t>
  </si>
  <si>
    <t>VSB 069</t>
  </si>
  <si>
    <t>Ic</t>
  </si>
  <si>
    <t>V</t>
  </si>
  <si>
    <t>B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</si>
  <si>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</si>
  <si>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</si>
  <si>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</si>
  <si>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</si>
  <si>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</si>
  <si>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</si>
  <si>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</si>
  <si>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</si>
  <si>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</si>
  <si>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vis</t>
  </si>
  <si>
    <t>2457101.3213 </t>
  </si>
  <si>
    <t> 19.03.2015 19:42 </t>
  </si>
  <si>
    <t>19315.5</t>
  </si>
  <si>
    <t> -0.7004 </t>
  </si>
  <si>
    <t>C </t>
  </si>
  <si>
    <t> F.Agerer </t>
  </si>
  <si>
    <t>BAVM 241 (=IBVS 6157) </t>
  </si>
  <si>
    <t>2447566.301 </t>
  </si>
  <si>
    <t> 08.02.1989 19:13 </t>
  </si>
  <si>
    <t> -0.674 </t>
  </si>
  <si>
    <t>E </t>
  </si>
  <si>
    <t>?</t>
  </si>
  <si>
    <t> R.Diethelm </t>
  </si>
  <si>
    <t> BBS 91 </t>
  </si>
  <si>
    <t>2448623.416 </t>
  </si>
  <si>
    <t> 01.01.1992 21:59 </t>
  </si>
  <si>
    <t> -0.673 </t>
  </si>
  <si>
    <t> BBS 99 </t>
  </si>
  <si>
    <t>2453374.8307 </t>
  </si>
  <si>
    <t> 04.01.2005 07:56 </t>
  </si>
  <si>
    <t> -0.7088 </t>
  </si>
  <si>
    <t> R.Nelson </t>
  </si>
  <si>
    <t>IBVS 5672 </t>
  </si>
  <si>
    <t>2453780.3713 </t>
  </si>
  <si>
    <t> 13.02.2006 20:54 </t>
  </si>
  <si>
    <t> -0.7044 </t>
  </si>
  <si>
    <t>-I</t>
  </si>
  <si>
    <t>BAVM 178 </t>
  </si>
  <si>
    <t>2454802.8234 </t>
  </si>
  <si>
    <t> 02.12.2008 07:45 </t>
  </si>
  <si>
    <t>17456.5</t>
  </si>
  <si>
    <t> -0.7476 </t>
  </si>
  <si>
    <t>IBVS 5871 </t>
  </si>
  <si>
    <t>2455158.8996 </t>
  </si>
  <si>
    <t> 23.11.2009 09:35 </t>
  </si>
  <si>
    <t>17744.5</t>
  </si>
  <si>
    <t> -0.7520 </t>
  </si>
  <si>
    <t>IBVS 5920 </t>
  </si>
  <si>
    <t>2455600.3481 </t>
  </si>
  <si>
    <t> 07.02.2011 20:21 </t>
  </si>
  <si>
    <t>18101.5</t>
  </si>
  <si>
    <t> -0.6950 </t>
  </si>
  <si>
    <t>BAVM 215 </t>
  </si>
  <si>
    <t>2455894.60455 </t>
  </si>
  <si>
    <t> 29.11.2011 02:30 </t>
  </si>
  <si>
    <t>18339.5</t>
  </si>
  <si>
    <t> -0.69963 </t>
  </si>
  <si>
    <t> P.Zasche </t>
  </si>
  <si>
    <t>IBVS 6114 </t>
  </si>
  <si>
    <t>2456008.34982 </t>
  </si>
  <si>
    <t> 21.03.2012 20:23 </t>
  </si>
  <si>
    <t>18431.5</t>
  </si>
  <si>
    <t> -0.70232 </t>
  </si>
  <si>
    <t> L.Šmelcer </t>
  </si>
  <si>
    <t>OEJV 0160 </t>
  </si>
  <si>
    <t>2456013.29617 </t>
  </si>
  <si>
    <t> 26.03.2012 19:06 </t>
  </si>
  <si>
    <t>18435.5</t>
  </si>
  <si>
    <t> -0.70154 </t>
  </si>
  <si>
    <t>2429250.493 </t>
  </si>
  <si>
    <t> 17.12.1938 23:49 </t>
  </si>
  <si>
    <t> 0.029 </t>
  </si>
  <si>
    <t>P </t>
  </si>
  <si>
    <t> A.A.Wachmann </t>
  </si>
  <si>
    <t>2431803.572 </t>
  </si>
  <si>
    <t> 14.12.1945 01:43 </t>
  </si>
  <si>
    <t> -0.039 </t>
  </si>
  <si>
    <t>2431917.328 </t>
  </si>
  <si>
    <t> 06.04.1946 19:52 </t>
  </si>
  <si>
    <t> -0.031 </t>
  </si>
  <si>
    <t>2432231.423 </t>
  </si>
  <si>
    <t> 14.02.1947 22:09 </t>
  </si>
  <si>
    <t> 0.021 </t>
  </si>
  <si>
    <t>2432257.387 </t>
  </si>
  <si>
    <t> 12.03.1947 21:17 </t>
  </si>
  <si>
    <t>2432916.382 </t>
  </si>
  <si>
    <t> 30.12.1948 21:10 </t>
  </si>
  <si>
    <t> 0.019 </t>
  </si>
  <si>
    <t>2432948.464 </t>
  </si>
  <si>
    <t> 31.01.1949 23:08 </t>
  </si>
  <si>
    <t> -0.045 </t>
  </si>
  <si>
    <t>2433005.348 </t>
  </si>
  <si>
    <t> 29.03.1949 20:21 </t>
  </si>
  <si>
    <t> -0.035 </t>
  </si>
  <si>
    <t>2433220.513 </t>
  </si>
  <si>
    <t> 31.10.1949 00:18 </t>
  </si>
  <si>
    <t> -0.002 </t>
  </si>
  <si>
    <t>2434087.307 </t>
  </si>
  <si>
    <t> 15.03.1952 19:22 </t>
  </si>
  <si>
    <t> 0.082 </t>
  </si>
  <si>
    <t>2434664.573 </t>
  </si>
  <si>
    <t> 14.10.1953 01:45 </t>
  </si>
  <si>
    <t> -0.047 </t>
  </si>
  <si>
    <t>2434773.344 </t>
  </si>
  <si>
    <t> 30.01.1954 20:15 </t>
  </si>
  <si>
    <t> -0.078 </t>
  </si>
  <si>
    <t>2434778.346 </t>
  </si>
  <si>
    <t> 04.02.1954 20:18 </t>
  </si>
  <si>
    <t> -0.022 </t>
  </si>
  <si>
    <t>2434825.315 </t>
  </si>
  <si>
    <t> 23.03.1954 19:33 </t>
  </si>
  <si>
    <t>2435129.479 </t>
  </si>
  <si>
    <t> 21.01.1955 23:29 </t>
  </si>
  <si>
    <t> -0.024 </t>
  </si>
  <si>
    <t>2435160.483 </t>
  </si>
  <si>
    <t> 21.02.1955 23:35 </t>
  </si>
  <si>
    <t> 0.071 </t>
  </si>
  <si>
    <t>2435165.359 </t>
  </si>
  <si>
    <t> 26.02.1955 20:36 </t>
  </si>
  <si>
    <t> 0.001 </t>
  </si>
  <si>
    <t>2435186.353 </t>
  </si>
  <si>
    <t> 19.03.1955 20:28 </t>
  </si>
  <si>
    <t>2435432.479 </t>
  </si>
  <si>
    <t> 20.11.1955 23:29 </t>
  </si>
  <si>
    <t> 0.061 </t>
  </si>
  <si>
    <t>2435459.628 </t>
  </si>
  <si>
    <t> 18.12.1955 03:04 </t>
  </si>
  <si>
    <t> 0.009 </t>
  </si>
  <si>
    <t>2436253.416 </t>
  </si>
  <si>
    <t> 18.02.1958 21:59 </t>
  </si>
  <si>
    <t> 0.034 </t>
  </si>
  <si>
    <t>2436630.386 </t>
  </si>
  <si>
    <t> 02.03.1959 21:15 </t>
  </si>
  <si>
    <t> -0.095 </t>
  </si>
  <si>
    <t>2450095.959 </t>
  </si>
  <si>
    <t> 13.01.1996 11:00 </t>
  </si>
  <si>
    <t> -0.672 </t>
  </si>
  <si>
    <t> K.Nagai </t>
  </si>
  <si>
    <t>2455600.3459 </t>
  </si>
  <si>
    <t> 07.02.2011 20:18 </t>
  </si>
  <si>
    <t> -0.6972 </t>
  </si>
  <si>
    <t>R</t>
  </si>
  <si>
    <t> J.Trnka </t>
  </si>
  <si>
    <t>2455600.3468 </t>
  </si>
  <si>
    <t> 07.02.2011 20:19 </t>
  </si>
  <si>
    <t> -0.6963 </t>
  </si>
  <si>
    <t>2455600.3488 </t>
  </si>
  <si>
    <t> 07.02.2011 20:22 </t>
  </si>
  <si>
    <t> -0.6943 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</si>
</sst>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5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3"/>
    </font>
    <font>
      <sz val="10"/>
      <color indexed="16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9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Protection="0">
      <alignment vertical="top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vertical="top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60" applyFont="1" applyAlignment="1">
      <alignment wrapText="1"/>
      <protection/>
    </xf>
    <xf numFmtId="0" fontId="13" fillId="0" borderId="0" xfId="60" applyFont="1" applyAlignment="1">
      <alignment horizontal="center" wrapText="1"/>
      <protection/>
    </xf>
    <xf numFmtId="0" fontId="13" fillId="0" borderId="0" xfId="60" applyFont="1" applyAlignment="1">
      <alignment horizontal="left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 applyAlignment="1">
      <alignment horizontal="left"/>
      <protection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6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0" fillId="0" borderId="0" xfId="0" applyAlignment="1">
      <alignment horizontal="center"/>
    </xf>
    <xf numFmtId="0" fontId="3" fillId="33" borderId="20" xfId="0" applyFont="1" applyFill="1" applyBorder="1" applyAlignment="1">
      <alignment horizontal="left" vertical="top" wrapText="1" inden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right" vertical="top" wrapText="1"/>
    </xf>
    <xf numFmtId="0" fontId="16" fillId="33" borderId="20" xfId="56" applyNumberFormat="1" applyFont="1" applyFill="1" applyBorder="1" applyAlignment="1" applyProtection="1">
      <alignment horizontal="righ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V0498 Mon - Prim. O-C Diagr.</a:t>
            </a:r>
          </a:p>
        </c:rich>
      </c:tx>
      <c:layout>
        <c:manualLayout>
          <c:xMode val="factor"/>
          <c:yMode val="factor"/>
          <c:x val="-0.004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225"/>
          <c:w val="0.8765"/>
          <c:h val="0.6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A!$R$21:$R$69</c:f>
              <c:numCache/>
            </c:numRef>
          </c:yVal>
          <c:smooth val="0"/>
        </c:ser>
        <c:ser>
          <c:idx val="1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A!$F$21:$F$69</c:f>
              <c:numCache/>
            </c:numRef>
          </c:xVal>
          <c:yVal>
            <c:numRef>
              <c:f>A!$O$21:$O$69</c:f>
              <c:numCache/>
            </c:numRef>
          </c:yVal>
          <c:smooth val="0"/>
        </c:ser>
        <c:ser>
          <c:idx val="2"/>
          <c:order val="2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A!$U$21:$U$69</c:f>
              <c:numCache/>
            </c:numRef>
          </c:yVal>
          <c:smooth val="0"/>
        </c:ser>
        <c:axId val="21519376"/>
        <c:axId val="59456657"/>
      </c:scatterChart>
      <c:valAx>
        <c:axId val="2151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6657"/>
        <c:crossesAt val="0"/>
        <c:crossBetween val="midCat"/>
        <c:dispUnits/>
      </c:valAx>
      <c:valAx>
        <c:axId val="59456657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937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425"/>
          <c:y val="0.9065"/>
          <c:w val="0.442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V0498 Mon - Sec. O-C Diagr.</a:t>
            </a:r>
          </a:p>
        </c:rich>
      </c:tx>
      <c:layout>
        <c:manualLayout>
          <c:xMode val="factor"/>
          <c:yMode val="factor"/>
          <c:x val="-0.010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20175"/>
          <c:w val="0.87625"/>
          <c:h val="0.67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A!$S$21:$S$69</c:f>
              <c:numCache/>
            </c:numRef>
          </c:yVal>
          <c:smooth val="0"/>
        </c:ser>
        <c:ser>
          <c:idx val="1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A!$F$21:$F$69</c:f>
              <c:numCache/>
            </c:numRef>
          </c:xVal>
          <c:yVal>
            <c:numRef>
              <c:f>A!$P$21:$P$69</c:f>
              <c:numCache/>
            </c:numRef>
          </c:yVal>
          <c:smooth val="0"/>
        </c:ser>
        <c:ser>
          <c:idx val="2"/>
          <c:order val="2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A!$U$21:$U$69</c:f>
              <c:numCache/>
            </c:numRef>
          </c:yVal>
          <c:smooth val="0"/>
        </c:ser>
        <c:axId val="65347866"/>
        <c:axId val="51259883"/>
      </c:scatterChart>
      <c:valAx>
        <c:axId val="65347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9883"/>
        <c:crossesAt val="0"/>
        <c:crossBetween val="midCat"/>
        <c:dispUnits/>
      </c:valAx>
      <c:valAx>
        <c:axId val="51259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786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90675"/>
          <c:w val="0.467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V0498 Mon - O-C Diagr.</a:t>
            </a:r>
          </a:p>
        </c:rich>
      </c:tx>
      <c:layout>
        <c:manualLayout>
          <c:xMode val="factor"/>
          <c:yMode val="factor"/>
          <c:x val="-0.003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0175"/>
          <c:w val="0.89775"/>
          <c:h val="0.67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A!$H$21:$H$69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A!$I$21:$I$69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A!$J$21:$J$69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A!$K$21:$K$69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A!$L$21:$L$69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A!$M$21:$M$69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A!$N$21:$N$69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A!$F$21:$F$69</c:f>
              <c:numCache/>
            </c:numRef>
          </c:xVal>
          <c:yVal>
            <c:numRef>
              <c:f>A!$O$21:$O$69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A!$F$21:$F$69</c:f>
              <c:numCache/>
            </c:numRef>
          </c:xVal>
          <c:yVal>
            <c:numRef>
              <c:f>A!$P$21:$P$69</c:f>
              <c:numCache/>
            </c:numRef>
          </c:yVal>
          <c:smooth val="0"/>
        </c:ser>
        <c:ser>
          <c:idx val="9"/>
          <c:order val="9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A!$F$21:$F$69</c:f>
              <c:numCache/>
            </c:numRef>
          </c:xVal>
          <c:yVal>
            <c:numRef>
              <c:f>A!$U$21:$U$69</c:f>
              <c:numCache/>
            </c:numRef>
          </c:yVal>
          <c:smooth val="0"/>
        </c:ser>
        <c:axId val="58685764"/>
        <c:axId val="58409829"/>
      </c:scatterChart>
      <c:valAx>
        <c:axId val="58685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9829"/>
        <c:crossesAt val="0"/>
        <c:crossBetween val="midCat"/>
        <c:dispUnits/>
      </c:valAx>
      <c:valAx>
        <c:axId val="58409829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5764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775"/>
          <c:y val="0.90675"/>
          <c:w val="0.949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95250</xdr:rowOff>
    </xdr:from>
    <xdr:to>
      <xdr:col>15</xdr:col>
      <xdr:colOff>133350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924425" y="95250"/>
        <a:ext cx="45815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228600</xdr:colOff>
      <xdr:row>0</xdr:row>
      <xdr:rowOff>9525</xdr:rowOff>
    </xdr:from>
    <xdr:to>
      <xdr:col>22</xdr:col>
      <xdr:colOff>295275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9601200" y="9525"/>
        <a:ext cx="46672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581025</xdr:colOff>
      <xdr:row>0</xdr:row>
      <xdr:rowOff>0</xdr:rowOff>
    </xdr:from>
    <xdr:to>
      <xdr:col>31</xdr:col>
      <xdr:colOff>314325</xdr:colOff>
      <xdr:row>18</xdr:row>
      <xdr:rowOff>38100</xdr:rowOff>
    </xdr:to>
    <xdr:graphicFrame>
      <xdr:nvGraphicFramePr>
        <xdr:cNvPr id="3" name="Chart 3"/>
        <xdr:cNvGraphicFramePr/>
      </xdr:nvGraphicFramePr>
      <xdr:xfrm>
        <a:off x="14554200" y="0"/>
        <a:ext cx="59055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41" TargetMode="External" /><Relationship Id="rId2" Type="http://schemas.openxmlformats.org/officeDocument/2006/relationships/hyperlink" Target="http://www.konkoly.hu/cgi-bin/IBVS?5672" TargetMode="External" /><Relationship Id="rId3" Type="http://schemas.openxmlformats.org/officeDocument/2006/relationships/hyperlink" Target="http://www.bav-astro.de/sfs/BAVM_link.php?BAVMnr=178" TargetMode="External" /><Relationship Id="rId4" Type="http://schemas.openxmlformats.org/officeDocument/2006/relationships/hyperlink" Target="http://www.konkoly.hu/cgi-bin/IBVS?5871" TargetMode="External" /><Relationship Id="rId5" Type="http://schemas.openxmlformats.org/officeDocument/2006/relationships/hyperlink" Target="http://www.konkoly.hu/cgi-bin/IBVS?5920" TargetMode="External" /><Relationship Id="rId6" Type="http://schemas.openxmlformats.org/officeDocument/2006/relationships/hyperlink" Target="http://www.bav-astro.de/sfs/BAVM_link.php?BAVMnr=215" TargetMode="External" /><Relationship Id="rId7" Type="http://schemas.openxmlformats.org/officeDocument/2006/relationships/hyperlink" Target="http://www.konkoly.hu/cgi-bin/IBVS?6114" TargetMode="External" /><Relationship Id="rId8" Type="http://schemas.openxmlformats.org/officeDocument/2006/relationships/hyperlink" Target="http://var.astro.cz/oejv/issues/oejv0160.pdf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vsolj.cetus-net.org/no47.pdf" TargetMode="External" /><Relationship Id="rId11" Type="http://schemas.openxmlformats.org/officeDocument/2006/relationships/hyperlink" Target="http://var.astro.cz/oejv/issues/oejv0137.pdf" TargetMode="External" /><Relationship Id="rId12" Type="http://schemas.openxmlformats.org/officeDocument/2006/relationships/hyperlink" Target="http://var.astro.cz/oejv/issues/oejv0137.pdf" TargetMode="External" /><Relationship Id="rId13" Type="http://schemas.openxmlformats.org/officeDocument/2006/relationships/hyperlink" Target="http://var.astro.cz/oejv/issues/oejv013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0.421875" style="1" customWidth="1"/>
    <col min="4" max="4" width="8.28125" style="1" customWidth="1"/>
    <col min="5" max="5" width="9.421875" style="1" customWidth="1"/>
    <col min="6" max="6" width="10.8515625" style="1" customWidth="1"/>
    <col min="7" max="7" width="15.281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3" t="s">
        <v>2</v>
      </c>
    </row>
    <row r="4" spans="1:4" ht="12.75">
      <c r="A4" s="4" t="s">
        <v>3</v>
      </c>
      <c r="C4" s="5">
        <v>33220.515</v>
      </c>
      <c r="D4" s="6">
        <v>1.2363909</v>
      </c>
    </row>
    <row r="5" spans="1:4" ht="12.75">
      <c r="A5" s="7" t="s">
        <v>4</v>
      </c>
      <c r="B5"/>
      <c r="C5" s="8">
        <v>-9.5</v>
      </c>
      <c r="D5" t="s">
        <v>5</v>
      </c>
    </row>
    <row r="6" ht="12.75">
      <c r="A6" s="4" t="s">
        <v>6</v>
      </c>
    </row>
    <row r="7" spans="1:3" ht="12.75">
      <c r="A7" s="1" t="s">
        <v>7</v>
      </c>
      <c r="C7" s="1">
        <f>+C4</f>
        <v>33220.515</v>
      </c>
    </row>
    <row r="8" spans="1:3" ht="12.75">
      <c r="A8" s="1" t="s">
        <v>8</v>
      </c>
      <c r="C8" s="1">
        <v>2.4727687</v>
      </c>
    </row>
    <row r="9" spans="1:4" ht="12.75">
      <c r="A9" s="9" t="s">
        <v>9</v>
      </c>
      <c r="B9" s="9"/>
      <c r="C9" s="10">
        <v>21</v>
      </c>
      <c r="D9" s="10">
        <v>21</v>
      </c>
    </row>
    <row r="10" spans="1:4" ht="12.75">
      <c r="A10"/>
      <c r="B10"/>
      <c r="C10" s="11" t="s">
        <v>10</v>
      </c>
      <c r="D10" s="11" t="s">
        <v>11</v>
      </c>
    </row>
    <row r="11" spans="1:4" ht="12.75">
      <c r="A11" t="s">
        <v>12</v>
      </c>
      <c r="B11"/>
      <c r="C11" s="12">
        <f ca="1">INTERCEPT(INDIRECT(C14):R$935,INDIRECT(C13):$F$935)</f>
        <v>-0.0019291853024931559</v>
      </c>
      <c r="D11" s="12">
        <f ca="1">INTERCEPT(INDIRECT(D14):S$935,INDIRECT(D13):$F$935)</f>
        <v>0.03774259343540987</v>
      </c>
    </row>
    <row r="12" spans="1:4" ht="12.75">
      <c r="A12" t="s">
        <v>13</v>
      </c>
      <c r="B12"/>
      <c r="C12" s="12">
        <f ca="1">SLOPE(INDIRECT(C14):R$935,INDIRECT(C13):$F$935)</f>
        <v>7.51838323376452E-08</v>
      </c>
      <c r="D12" s="12">
        <f ca="1">SLOPE(INDIRECT(D14):S$935,INDIRECT(D13):$F$935)</f>
        <v>-1.05814069376769E-06</v>
      </c>
    </row>
    <row r="13" spans="1:4" ht="12.75">
      <c r="A13" s="9" t="s">
        <v>14</v>
      </c>
      <c r="B13" s="9"/>
      <c r="C13" s="10" t="str">
        <f>"F"&amp;C9</f>
        <v>F21</v>
      </c>
      <c r="D13" s="10" t="str">
        <f>"F"&amp;D9</f>
        <v>F21</v>
      </c>
    </row>
    <row r="14" spans="1:4" ht="12.75">
      <c r="A14" s="9" t="s">
        <v>15</v>
      </c>
      <c r="B14" s="9"/>
      <c r="C14" s="10" t="str">
        <f>"R"&amp;C9</f>
        <v>R21</v>
      </c>
      <c r="D14" s="10" t="str">
        <f>"S"&amp;D9</f>
        <v>S21</v>
      </c>
    </row>
    <row r="15" spans="1:7" ht="12.75">
      <c r="A15" s="13" t="s">
        <v>16</v>
      </c>
      <c r="B15"/>
      <c r="C15" s="14">
        <f>($C7+C11)+($C8+C12)*INT(MAX($F21:$F3533))</f>
        <v>58877.961882122145</v>
      </c>
      <c r="D15" s="14">
        <f>($C7+D11)+($C8+D12)*INT(MAX($F21:$F3533))</f>
        <v>58877.989794525594</v>
      </c>
      <c r="F15" s="9" t="s">
        <v>17</v>
      </c>
      <c r="G15" s="1">
        <v>1</v>
      </c>
    </row>
    <row r="16" spans="1:7" ht="12.75">
      <c r="A16" s="13" t="s">
        <v>18</v>
      </c>
      <c r="B16"/>
      <c r="C16" s="14">
        <f>+$C8+C12</f>
        <v>2.4727687751838325</v>
      </c>
      <c r="D16" s="12">
        <f>+$C8+D12</f>
        <v>2.4727676418593063</v>
      </c>
      <c r="E16" s="15"/>
      <c r="F16" s="9" t="s">
        <v>19</v>
      </c>
      <c r="G16" s="12">
        <f ca="1">NOW()+15018.5+$C$5/24</f>
        <v>59903.72964479167</v>
      </c>
    </row>
    <row r="17" spans="1:7" ht="12.75">
      <c r="A17" s="16" t="s">
        <v>20</v>
      </c>
      <c r="C17" s="1">
        <f>COUNT(C21:C1247)</f>
        <v>49</v>
      </c>
      <c r="F17" s="9" t="s">
        <v>21</v>
      </c>
      <c r="G17" s="12">
        <f>ROUND(2*(G16-$C$7)/$C$8,0)/2+G15</f>
        <v>10792</v>
      </c>
    </row>
    <row r="18" spans="1:7" ht="12.75">
      <c r="A18" s="4" t="s">
        <v>22</v>
      </c>
      <c r="C18" s="5">
        <f>+C15</f>
        <v>58877.961882122145</v>
      </c>
      <c r="D18" s="6">
        <f>+C16</f>
        <v>2.4727687751838325</v>
      </c>
      <c r="E18" s="17">
        <f>R19</f>
        <v>29</v>
      </c>
      <c r="F18" s="9" t="s">
        <v>23</v>
      </c>
      <c r="G18" s="18">
        <f>ROUND(2*(G16-$C$15)/$C$16,0)/2+G15</f>
        <v>416</v>
      </c>
    </row>
    <row r="19" spans="1:19" ht="12.75">
      <c r="A19" s="4" t="s">
        <v>24</v>
      </c>
      <c r="C19" s="5">
        <f>+D15</f>
        <v>58877.989794525594</v>
      </c>
      <c r="D19" s="6">
        <f>+D16</f>
        <v>2.4727676418593063</v>
      </c>
      <c r="E19" s="17">
        <f>S19</f>
        <v>20</v>
      </c>
      <c r="F19" s="9" t="s">
        <v>25</v>
      </c>
      <c r="G19" s="19">
        <f>+$C$15+$C$16*G18-15018.5-$C$5/24</f>
        <v>44888.529525931954</v>
      </c>
      <c r="R19" s="1">
        <f>COUNT(R21:R322)</f>
        <v>29</v>
      </c>
      <c r="S19" s="1">
        <f>COUNT(S21:S322)</f>
        <v>20</v>
      </c>
    </row>
    <row r="20" spans="1:21" ht="12.75">
      <c r="A20" s="11" t="s">
        <v>26</v>
      </c>
      <c r="B20" s="11" t="s">
        <v>27</v>
      </c>
      <c r="C20" s="11" t="s">
        <v>28</v>
      </c>
      <c r="D20" s="11" t="s">
        <v>29</v>
      </c>
      <c r="E20" s="11" t="s">
        <v>30</v>
      </c>
      <c r="F20" s="11" t="s">
        <v>31</v>
      </c>
      <c r="G20" s="11" t="s">
        <v>32</v>
      </c>
      <c r="H20" s="20" t="s">
        <v>33</v>
      </c>
      <c r="I20" s="20" t="s">
        <v>34</v>
      </c>
      <c r="J20" s="20" t="s">
        <v>35</v>
      </c>
      <c r="K20" s="20" t="s">
        <v>36</v>
      </c>
      <c r="L20" s="20" t="s">
        <v>37</v>
      </c>
      <c r="M20" s="20" t="s">
        <v>38</v>
      </c>
      <c r="N20" s="20" t="s">
        <v>39</v>
      </c>
      <c r="O20" s="20" t="s">
        <v>40</v>
      </c>
      <c r="P20" s="20" t="s">
        <v>41</v>
      </c>
      <c r="Q20" s="11" t="s">
        <v>42</v>
      </c>
      <c r="R20" s="21" t="s">
        <v>10</v>
      </c>
      <c r="S20" s="21" t="s">
        <v>11</v>
      </c>
      <c r="U20" s="22" t="s">
        <v>43</v>
      </c>
    </row>
    <row r="21" spans="1:18" ht="12.75">
      <c r="A21" s="23" t="s">
        <v>33</v>
      </c>
      <c r="B21" s="23"/>
      <c r="C21" s="24">
        <v>33220.515</v>
      </c>
      <c r="D21" s="24" t="s">
        <v>44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-0.0019291853024931559</v>
      </c>
      <c r="P21" s="1">
        <f>+D$11+D$12*$F21</f>
        <v>0.03774259343540987</v>
      </c>
      <c r="Q21" s="25">
        <f>+C21-15018.5</f>
        <v>18202.015</v>
      </c>
      <c r="R21" s="1">
        <f>G21</f>
        <v>0</v>
      </c>
    </row>
    <row r="22" spans="1:19" ht="12.75">
      <c r="A22" s="23" t="s">
        <v>45</v>
      </c>
      <c r="B22" s="23"/>
      <c r="C22" s="24">
        <v>47566.301</v>
      </c>
      <c r="D22" s="24"/>
      <c r="E22" s="1">
        <f aca="true" t="shared" si="0" ref="E22:E36">+(C22-C$7)/C$8</f>
        <v>5801.507435774321</v>
      </c>
      <c r="F22" s="1">
        <f aca="true" t="shared" si="1" ref="F22:F63">ROUND(2*E22,0)/2</f>
        <v>5801.5</v>
      </c>
      <c r="G22" s="1">
        <f aca="true" t="shared" si="2" ref="G22:G36">+C22-(C$7+F22*C$8)</f>
        <v>0.0183869499960565</v>
      </c>
      <c r="H22" s="1">
        <f aca="true" t="shared" si="3" ref="H22:H63">+G22</f>
        <v>0.0183869499960565</v>
      </c>
      <c r="O22" s="1">
        <f aca="true" t="shared" si="4" ref="O22:O36">+C$11+C$12*$F22</f>
        <v>-0.0014930062991863073</v>
      </c>
      <c r="P22" s="1">
        <f aca="true" t="shared" si="5" ref="P22:P36">+D$11+D$12*$F22</f>
        <v>0.03160379020051662</v>
      </c>
      <c r="Q22" s="25">
        <f aca="true" t="shared" si="6" ref="Q22:Q36">+C22-15018.5</f>
        <v>32547.801</v>
      </c>
      <c r="S22" s="1">
        <f>G22</f>
        <v>0.0183869499960565</v>
      </c>
    </row>
    <row r="23" spans="1:18" ht="12.75">
      <c r="A23" s="23" t="s">
        <v>46</v>
      </c>
      <c r="B23" s="23"/>
      <c r="C23" s="24">
        <v>48623.416</v>
      </c>
      <c r="D23" s="24">
        <v>0.002</v>
      </c>
      <c r="E23" s="1">
        <f t="shared" si="0"/>
        <v>6229.010016181456</v>
      </c>
      <c r="F23" s="1">
        <f t="shared" si="1"/>
        <v>6229</v>
      </c>
      <c r="G23" s="1">
        <f t="shared" si="2"/>
        <v>0.024767700000666082</v>
      </c>
      <c r="H23" s="1">
        <f t="shared" si="3"/>
        <v>0.024767700000666082</v>
      </c>
      <c r="O23" s="1">
        <f t="shared" si="4"/>
        <v>-0.001460865210861964</v>
      </c>
      <c r="P23" s="1">
        <f t="shared" si="5"/>
        <v>0.03115143505393093</v>
      </c>
      <c r="Q23" s="25">
        <f t="shared" si="6"/>
        <v>33604.916</v>
      </c>
      <c r="R23" s="1">
        <f>G23</f>
        <v>0.024767700000666082</v>
      </c>
    </row>
    <row r="24" spans="1:19" ht="12.75">
      <c r="A24" s="4" t="s">
        <v>47</v>
      </c>
      <c r="B24" s="23"/>
      <c r="C24" s="24">
        <v>53374.8307</v>
      </c>
      <c r="D24" s="24">
        <v>0.0005</v>
      </c>
      <c r="E24" s="1">
        <f t="shared" si="0"/>
        <v>8150.505827738761</v>
      </c>
      <c r="F24" s="1">
        <f t="shared" si="1"/>
        <v>8150.5</v>
      </c>
      <c r="G24" s="1">
        <f t="shared" si="2"/>
        <v>0.014410650001082104</v>
      </c>
      <c r="H24" s="1">
        <f t="shared" si="3"/>
        <v>0.014410650001082104</v>
      </c>
      <c r="O24" s="1">
        <f t="shared" si="4"/>
        <v>-0.0013163994770251787</v>
      </c>
      <c r="P24" s="1">
        <f t="shared" si="5"/>
        <v>0.029118217710856313</v>
      </c>
      <c r="Q24" s="25">
        <f t="shared" si="6"/>
        <v>38356.3307</v>
      </c>
      <c r="S24" s="1">
        <f>G24</f>
        <v>0.014410650001082104</v>
      </c>
    </row>
    <row r="25" spans="1:19" ht="12.75">
      <c r="A25" s="26" t="s">
        <v>48</v>
      </c>
      <c r="B25" s="27"/>
      <c r="C25" s="24">
        <v>53780.3713</v>
      </c>
      <c r="D25" s="24">
        <v>0.001</v>
      </c>
      <c r="E25" s="1">
        <f t="shared" si="0"/>
        <v>8314.508469797438</v>
      </c>
      <c r="F25" s="1">
        <f t="shared" si="1"/>
        <v>8314.5</v>
      </c>
      <c r="G25" s="1">
        <f t="shared" si="2"/>
        <v>0.02094385000236798</v>
      </c>
      <c r="H25" s="1">
        <f t="shared" si="3"/>
        <v>0.02094385000236798</v>
      </c>
      <c r="O25" s="1">
        <f t="shared" si="4"/>
        <v>-0.001304069328521805</v>
      </c>
      <c r="P25" s="1">
        <f t="shared" si="5"/>
        <v>0.028944682637078414</v>
      </c>
      <c r="Q25" s="25">
        <f t="shared" si="6"/>
        <v>38761.8713</v>
      </c>
      <c r="S25" s="1">
        <f>G25</f>
        <v>0.02094385000236798</v>
      </c>
    </row>
    <row r="26" spans="1:18" ht="12.75">
      <c r="A26" s="28" t="s">
        <v>49</v>
      </c>
      <c r="B26" s="29" t="s">
        <v>50</v>
      </c>
      <c r="C26" s="28">
        <v>54802.8234</v>
      </c>
      <c r="D26" s="28">
        <v>0.001</v>
      </c>
      <c r="E26" s="1">
        <f t="shared" si="0"/>
        <v>8727.99320049627</v>
      </c>
      <c r="F26" s="1">
        <f t="shared" si="1"/>
        <v>8728</v>
      </c>
      <c r="G26" s="1">
        <f t="shared" si="2"/>
        <v>-0.016813599999295548</v>
      </c>
      <c r="H26" s="1">
        <f t="shared" si="3"/>
        <v>-0.016813599999295548</v>
      </c>
      <c r="O26" s="1">
        <f t="shared" si="4"/>
        <v>-0.0012729808138501886</v>
      </c>
      <c r="P26" s="1">
        <f t="shared" si="5"/>
        <v>0.028507141460205474</v>
      </c>
      <c r="Q26" s="25">
        <f t="shared" si="6"/>
        <v>39784.3234</v>
      </c>
      <c r="R26" s="1">
        <f>G26</f>
        <v>-0.016813599999295548</v>
      </c>
    </row>
    <row r="27" spans="1:18" ht="12.75">
      <c r="A27" s="30" t="s">
        <v>51</v>
      </c>
      <c r="B27" s="31" t="s">
        <v>50</v>
      </c>
      <c r="C27" s="30">
        <v>55158.8996</v>
      </c>
      <c r="D27" s="30">
        <v>0.0003</v>
      </c>
      <c r="E27" s="1">
        <f t="shared" si="0"/>
        <v>8871.992192395512</v>
      </c>
      <c r="F27" s="1">
        <f t="shared" si="1"/>
        <v>8872</v>
      </c>
      <c r="G27" s="1">
        <f t="shared" si="2"/>
        <v>-0.019306399997731205</v>
      </c>
      <c r="H27" s="1">
        <f t="shared" si="3"/>
        <v>-0.019306399997731205</v>
      </c>
      <c r="O27" s="1">
        <f t="shared" si="4"/>
        <v>-0.0012621543419935677</v>
      </c>
      <c r="P27" s="1">
        <f t="shared" si="5"/>
        <v>0.028354769200302925</v>
      </c>
      <c r="Q27" s="25">
        <f t="shared" si="6"/>
        <v>40140.3996</v>
      </c>
      <c r="R27" s="1">
        <f>G27</f>
        <v>-0.019306399997731205</v>
      </c>
    </row>
    <row r="28" spans="1:19" ht="12.75">
      <c r="A28" s="32" t="s">
        <v>52</v>
      </c>
      <c r="B28" s="29" t="s">
        <v>50</v>
      </c>
      <c r="C28" s="28">
        <v>55600.34597</v>
      </c>
      <c r="D28" s="28">
        <v>0.0008</v>
      </c>
      <c r="E28" s="1">
        <f t="shared" si="0"/>
        <v>9050.515306991714</v>
      </c>
      <c r="F28" s="1">
        <f t="shared" si="1"/>
        <v>9050.5</v>
      </c>
      <c r="G28" s="1">
        <f t="shared" si="2"/>
        <v>0.03785065000556642</v>
      </c>
      <c r="H28" s="1">
        <f t="shared" si="3"/>
        <v>0.03785065000556642</v>
      </c>
      <c r="O28" s="1">
        <f t="shared" si="4"/>
        <v>-0.001248734027921298</v>
      </c>
      <c r="P28" s="1">
        <f t="shared" si="5"/>
        <v>0.028165891086465396</v>
      </c>
      <c r="Q28" s="25">
        <f t="shared" si="6"/>
        <v>40581.84597</v>
      </c>
      <c r="S28" s="1">
        <f aca="true" t="shared" si="7" ref="S28:S34">G28</f>
        <v>0.03785065000556642</v>
      </c>
    </row>
    <row r="29" spans="1:19" ht="12.75">
      <c r="A29" s="32" t="s">
        <v>52</v>
      </c>
      <c r="B29" s="29" t="s">
        <v>50</v>
      </c>
      <c r="C29" s="28">
        <v>55600.34687</v>
      </c>
      <c r="D29" s="28">
        <v>0.0005</v>
      </c>
      <c r="E29" s="1">
        <f t="shared" si="0"/>
        <v>9050.515670956205</v>
      </c>
      <c r="F29" s="1">
        <f t="shared" si="1"/>
        <v>9050.5</v>
      </c>
      <c r="G29" s="1">
        <f t="shared" si="2"/>
        <v>0.03875065000465838</v>
      </c>
      <c r="H29" s="1">
        <f t="shared" si="3"/>
        <v>0.03875065000465838</v>
      </c>
      <c r="O29" s="1">
        <f t="shared" si="4"/>
        <v>-0.001248734027921298</v>
      </c>
      <c r="P29" s="1">
        <f t="shared" si="5"/>
        <v>0.028165891086465396</v>
      </c>
      <c r="Q29" s="25">
        <f t="shared" si="6"/>
        <v>40581.84687</v>
      </c>
      <c r="S29" s="1">
        <f t="shared" si="7"/>
        <v>0.03875065000465838</v>
      </c>
    </row>
    <row r="30" spans="1:19" ht="12.75">
      <c r="A30" s="32" t="s">
        <v>52</v>
      </c>
      <c r="B30" s="29" t="s">
        <v>50</v>
      </c>
      <c r="C30" s="28">
        <v>55600.34887</v>
      </c>
      <c r="D30" s="28">
        <v>0.0003</v>
      </c>
      <c r="E30" s="1">
        <f t="shared" si="0"/>
        <v>9050.516479766184</v>
      </c>
      <c r="F30" s="1">
        <f t="shared" si="1"/>
        <v>9050.5</v>
      </c>
      <c r="G30" s="1">
        <f t="shared" si="2"/>
        <v>0.040750650005065836</v>
      </c>
      <c r="H30" s="1">
        <f t="shared" si="3"/>
        <v>0.040750650005065836</v>
      </c>
      <c r="O30" s="1">
        <f t="shared" si="4"/>
        <v>-0.001248734027921298</v>
      </c>
      <c r="P30" s="1">
        <f t="shared" si="5"/>
        <v>0.028165891086465396</v>
      </c>
      <c r="Q30" s="25">
        <f t="shared" si="6"/>
        <v>40581.84887</v>
      </c>
      <c r="S30" s="1">
        <f t="shared" si="7"/>
        <v>0.040750650005065836</v>
      </c>
    </row>
    <row r="31" spans="1:19" ht="12.75">
      <c r="A31" s="32" t="s">
        <v>53</v>
      </c>
      <c r="B31" s="29" t="s">
        <v>50</v>
      </c>
      <c r="C31" s="28">
        <v>56008.34982</v>
      </c>
      <c r="D31" s="28">
        <v>0.0002</v>
      </c>
      <c r="E31" s="1">
        <f t="shared" si="0"/>
        <v>9215.514099640619</v>
      </c>
      <c r="F31" s="1">
        <f t="shared" si="1"/>
        <v>9215.5</v>
      </c>
      <c r="G31" s="1">
        <f t="shared" si="2"/>
        <v>0.03486515000258805</v>
      </c>
      <c r="H31" s="1">
        <f t="shared" si="3"/>
        <v>0.03486515000258805</v>
      </c>
      <c r="O31" s="1">
        <f t="shared" si="4"/>
        <v>-0.0012363286955855866</v>
      </c>
      <c r="P31" s="1">
        <f t="shared" si="5"/>
        <v>0.027991297871993726</v>
      </c>
      <c r="Q31" s="25">
        <f t="shared" si="6"/>
        <v>40989.84982</v>
      </c>
      <c r="S31" s="1">
        <f t="shared" si="7"/>
        <v>0.03486515000258805</v>
      </c>
    </row>
    <row r="32" spans="1:19" ht="12.75">
      <c r="A32" s="32" t="s">
        <v>53</v>
      </c>
      <c r="B32" s="29" t="s">
        <v>50</v>
      </c>
      <c r="C32" s="28">
        <v>56013.29617</v>
      </c>
      <c r="D32" s="28">
        <v>0.0003</v>
      </c>
      <c r="E32" s="1">
        <f t="shared" si="0"/>
        <v>9217.514428260112</v>
      </c>
      <c r="F32" s="1">
        <f t="shared" si="1"/>
        <v>9217.5</v>
      </c>
      <c r="G32" s="1">
        <f t="shared" si="2"/>
        <v>0.035677749998285435</v>
      </c>
      <c r="H32" s="1">
        <f t="shared" si="3"/>
        <v>0.035677749998285435</v>
      </c>
      <c r="O32" s="1">
        <f t="shared" si="4"/>
        <v>-0.0012361783279209112</v>
      </c>
      <c r="P32" s="1">
        <f t="shared" si="5"/>
        <v>0.02798918159060619</v>
      </c>
      <c r="Q32" s="25">
        <f t="shared" si="6"/>
        <v>40994.79617</v>
      </c>
      <c r="S32" s="1">
        <f t="shared" si="7"/>
        <v>0.035677749998285435</v>
      </c>
    </row>
    <row r="33" spans="1:19" ht="12.75">
      <c r="A33" s="28" t="s">
        <v>54</v>
      </c>
      <c r="B33" s="29" t="s">
        <v>50</v>
      </c>
      <c r="C33" s="28">
        <v>55894.60455</v>
      </c>
      <c r="D33" s="28">
        <v>7E-05</v>
      </c>
      <c r="E33" s="1">
        <f t="shared" si="0"/>
        <v>9169.514944927925</v>
      </c>
      <c r="F33" s="1">
        <f t="shared" si="1"/>
        <v>9169.5</v>
      </c>
      <c r="G33" s="1">
        <f t="shared" si="2"/>
        <v>0.036955349998606835</v>
      </c>
      <c r="H33" s="1">
        <f t="shared" si="3"/>
        <v>0.036955349998606835</v>
      </c>
      <c r="O33" s="1">
        <f t="shared" si="4"/>
        <v>-0.0012397871518731183</v>
      </c>
      <c r="P33" s="1">
        <f t="shared" si="5"/>
        <v>0.028039972343907038</v>
      </c>
      <c r="Q33" s="25">
        <f t="shared" si="6"/>
        <v>40876.10455</v>
      </c>
      <c r="S33" s="1">
        <f t="shared" si="7"/>
        <v>0.036955349998606835</v>
      </c>
    </row>
    <row r="34" spans="1:19" ht="12.75">
      <c r="A34" s="33" t="s">
        <v>55</v>
      </c>
      <c r="B34" s="33"/>
      <c r="C34" s="34">
        <v>55600.3481</v>
      </c>
      <c r="D34" s="34">
        <v>0.0022</v>
      </c>
      <c r="E34" s="1">
        <f t="shared" si="0"/>
        <v>9050.516168374343</v>
      </c>
      <c r="F34" s="1">
        <f t="shared" si="1"/>
        <v>9050.5</v>
      </c>
      <c r="G34" s="1">
        <f t="shared" si="2"/>
        <v>0.03998065000632778</v>
      </c>
      <c r="H34" s="1">
        <f t="shared" si="3"/>
        <v>0.03998065000632778</v>
      </c>
      <c r="O34" s="1">
        <f t="shared" si="4"/>
        <v>-0.001248734027921298</v>
      </c>
      <c r="P34" s="1">
        <f t="shared" si="5"/>
        <v>0.028165891086465396</v>
      </c>
      <c r="Q34" s="25">
        <f t="shared" si="6"/>
        <v>40581.8481</v>
      </c>
      <c r="S34" s="1">
        <f t="shared" si="7"/>
        <v>0.03998065000632778</v>
      </c>
    </row>
    <row r="35" spans="1:18" ht="12.75">
      <c r="A35" s="34" t="s">
        <v>56</v>
      </c>
      <c r="B35" s="35" t="s">
        <v>57</v>
      </c>
      <c r="C35" s="36">
        <v>56575.79392</v>
      </c>
      <c r="D35" s="34">
        <v>0.0006</v>
      </c>
      <c r="E35" s="1">
        <f t="shared" si="0"/>
        <v>9444.991324906368</v>
      </c>
      <c r="F35" s="1">
        <f t="shared" si="1"/>
        <v>9445</v>
      </c>
      <c r="G35" s="1">
        <f t="shared" si="2"/>
        <v>-0.021451500004332047</v>
      </c>
      <c r="H35" s="1">
        <f t="shared" si="3"/>
        <v>-0.021451500004332047</v>
      </c>
      <c r="O35" s="1">
        <f t="shared" si="4"/>
        <v>-0.0012190740060640968</v>
      </c>
      <c r="P35" s="1">
        <f t="shared" si="5"/>
        <v>0.02774845458277404</v>
      </c>
      <c r="Q35" s="25">
        <f t="shared" si="6"/>
        <v>41557.29392</v>
      </c>
      <c r="R35" s="1">
        <f>G35</f>
        <v>-0.021451500004332047</v>
      </c>
    </row>
    <row r="36" spans="1:18" ht="12.75">
      <c r="A36" s="34" t="s">
        <v>56</v>
      </c>
      <c r="B36" s="35" t="s">
        <v>57</v>
      </c>
      <c r="C36" s="36">
        <v>56575.79644</v>
      </c>
      <c r="D36" s="34">
        <v>0.0004</v>
      </c>
      <c r="E36" s="1">
        <f t="shared" si="0"/>
        <v>9444.992344006941</v>
      </c>
      <c r="F36" s="1">
        <f t="shared" si="1"/>
        <v>9445</v>
      </c>
      <c r="G36" s="1">
        <f t="shared" si="2"/>
        <v>-0.018931500002508983</v>
      </c>
      <c r="H36" s="1">
        <f t="shared" si="3"/>
        <v>-0.018931500002508983</v>
      </c>
      <c r="O36" s="1">
        <f t="shared" si="4"/>
        <v>-0.0012190740060640968</v>
      </c>
      <c r="P36" s="1">
        <f t="shared" si="5"/>
        <v>0.02774845458277404</v>
      </c>
      <c r="Q36" s="25">
        <f t="shared" si="6"/>
        <v>41557.29644</v>
      </c>
      <c r="R36" s="1">
        <f>G36</f>
        <v>-0.018931500002508983</v>
      </c>
    </row>
    <row r="37" spans="1:18" ht="12.75">
      <c r="A37" s="34" t="s">
        <v>58</v>
      </c>
      <c r="B37" s="35"/>
      <c r="C37" s="34">
        <v>57101.3213</v>
      </c>
      <c r="D37" s="34">
        <v>0.0043</v>
      </c>
      <c r="E37" s="1">
        <f aca="true" t="shared" si="8" ref="E37:E63">+(C37-C$7)/C$8</f>
        <v>9657.51721946335</v>
      </c>
      <c r="F37" s="1">
        <f t="shared" si="1"/>
        <v>9657.5</v>
      </c>
      <c r="G37" s="1">
        <f aca="true" t="shared" si="9" ref="G37:G63">+C37-(C$7+F37*C$8)</f>
        <v>0.04257974999927683</v>
      </c>
      <c r="H37" s="1">
        <f t="shared" si="3"/>
        <v>0.04257974999927683</v>
      </c>
      <c r="O37" s="1">
        <f aca="true" t="shared" si="10" ref="O37:O63">+C$11+C$12*$F37</f>
        <v>-0.0012030974416923474</v>
      </c>
      <c r="P37" s="1">
        <f aca="true" t="shared" si="11" ref="P37:P63">+D$11+D$12*$F37</f>
        <v>0.027523599685348406</v>
      </c>
      <c r="Q37" s="25">
        <f aca="true" t="shared" si="12" ref="Q37:Q63">+C37-15018.5</f>
        <v>42082.8213</v>
      </c>
      <c r="R37" s="1">
        <f aca="true" t="shared" si="13" ref="R37:R59">G37</f>
        <v>0.04257974999927683</v>
      </c>
    </row>
    <row r="38" spans="1:18" ht="12.75">
      <c r="A38" s="37" t="s">
        <v>59</v>
      </c>
      <c r="B38" s="38" t="s">
        <v>50</v>
      </c>
      <c r="C38" s="37">
        <v>29250.493</v>
      </c>
      <c r="E38" s="1">
        <f t="shared" si="8"/>
        <v>-1605.496704968807</v>
      </c>
      <c r="F38" s="1">
        <f t="shared" si="1"/>
        <v>-1605.5</v>
      </c>
      <c r="G38" s="1">
        <f t="shared" si="9"/>
        <v>0.008147849999659229</v>
      </c>
      <c r="H38" s="1">
        <f t="shared" si="3"/>
        <v>0.008147849999659229</v>
      </c>
      <c r="O38" s="1">
        <f t="shared" si="10"/>
        <v>-0.0020498929453112453</v>
      </c>
      <c r="P38" s="1">
        <f t="shared" si="11"/>
        <v>0.039441438319253896</v>
      </c>
      <c r="Q38" s="25">
        <f t="shared" si="12"/>
        <v>14231.992999999999</v>
      </c>
      <c r="R38" s="1">
        <f t="shared" si="13"/>
        <v>0.008147849999659229</v>
      </c>
    </row>
    <row r="39" spans="1:18" ht="12.75">
      <c r="A39" s="37" t="s">
        <v>59</v>
      </c>
      <c r="B39" s="38" t="s">
        <v>50</v>
      </c>
      <c r="C39" s="37">
        <v>31803.572</v>
      </c>
      <c r="E39" s="1">
        <f t="shared" si="8"/>
        <v>-573.0188189457426</v>
      </c>
      <c r="F39" s="1">
        <f t="shared" si="1"/>
        <v>-573</v>
      </c>
      <c r="G39" s="1">
        <f t="shared" si="9"/>
        <v>-0.046534900000551715</v>
      </c>
      <c r="H39" s="1">
        <f t="shared" si="3"/>
        <v>-0.046534900000551715</v>
      </c>
      <c r="O39" s="1">
        <f t="shared" si="10"/>
        <v>-0.001972265638422627</v>
      </c>
      <c r="P39" s="1">
        <f t="shared" si="11"/>
        <v>0.03834890805293876</v>
      </c>
      <c r="Q39" s="25">
        <f t="shared" si="12"/>
        <v>16785.072</v>
      </c>
      <c r="R39" s="1">
        <f t="shared" si="13"/>
        <v>-0.046534900000551715</v>
      </c>
    </row>
    <row r="40" spans="1:18" ht="12.75">
      <c r="A40" s="37" t="s">
        <v>59</v>
      </c>
      <c r="B40" s="38" t="s">
        <v>50</v>
      </c>
      <c r="C40" s="37">
        <v>31917.328</v>
      </c>
      <c r="E40" s="1">
        <f t="shared" si="8"/>
        <v>-527.0153249675144</v>
      </c>
      <c r="F40" s="1">
        <f t="shared" si="1"/>
        <v>-527</v>
      </c>
      <c r="G40" s="1">
        <f t="shared" si="9"/>
        <v>-0.037895099998422666</v>
      </c>
      <c r="H40" s="1">
        <f t="shared" si="3"/>
        <v>-0.037895099998422666</v>
      </c>
      <c r="O40" s="1">
        <f t="shared" si="10"/>
        <v>-0.0019688071821350947</v>
      </c>
      <c r="P40" s="1">
        <f t="shared" si="11"/>
        <v>0.038300233581025446</v>
      </c>
      <c r="Q40" s="25">
        <f t="shared" si="12"/>
        <v>16898.828</v>
      </c>
      <c r="R40" s="1">
        <f t="shared" si="13"/>
        <v>-0.037895099998422666</v>
      </c>
    </row>
    <row r="41" spans="1:18" ht="12.75">
      <c r="A41" s="37" t="s">
        <v>59</v>
      </c>
      <c r="B41" s="38" t="s">
        <v>50</v>
      </c>
      <c r="C41" s="37">
        <v>32231.423</v>
      </c>
      <c r="E41" s="1">
        <f t="shared" si="8"/>
        <v>-399.99373981076377</v>
      </c>
      <c r="F41" s="1">
        <f t="shared" si="1"/>
        <v>-400</v>
      </c>
      <c r="G41" s="1">
        <f t="shared" si="9"/>
        <v>0.01547999999820604</v>
      </c>
      <c r="H41" s="1">
        <f t="shared" si="3"/>
        <v>0.01547999999820604</v>
      </c>
      <c r="O41" s="1">
        <f t="shared" si="10"/>
        <v>-0.0019592588354282138</v>
      </c>
      <c r="P41" s="1">
        <f t="shared" si="11"/>
        <v>0.03816584971291695</v>
      </c>
      <c r="Q41" s="25">
        <f t="shared" si="12"/>
        <v>17212.923</v>
      </c>
      <c r="R41" s="1">
        <f t="shared" si="13"/>
        <v>0.01547999999820604</v>
      </c>
    </row>
    <row r="42" spans="1:18" ht="12.75">
      <c r="A42" s="37" t="s">
        <v>59</v>
      </c>
      <c r="B42" s="38" t="s">
        <v>50</v>
      </c>
      <c r="C42" s="37">
        <v>32257.387</v>
      </c>
      <c r="E42" s="1">
        <f t="shared" si="8"/>
        <v>-389.49376866505975</v>
      </c>
      <c r="F42" s="1">
        <f t="shared" si="1"/>
        <v>-389.5</v>
      </c>
      <c r="G42" s="1">
        <f t="shared" si="9"/>
        <v>0.015408650000608759</v>
      </c>
      <c r="H42" s="1">
        <f t="shared" si="3"/>
        <v>0.015408650000608759</v>
      </c>
      <c r="O42" s="1">
        <f t="shared" si="10"/>
        <v>-0.0019584694051886687</v>
      </c>
      <c r="P42" s="1">
        <f t="shared" si="11"/>
        <v>0.03815473923563239</v>
      </c>
      <c r="Q42" s="25">
        <f t="shared" si="12"/>
        <v>17238.887</v>
      </c>
      <c r="R42" s="1">
        <f t="shared" si="13"/>
        <v>0.015408650000608759</v>
      </c>
    </row>
    <row r="43" spans="1:18" ht="12.75">
      <c r="A43" s="37" t="s">
        <v>59</v>
      </c>
      <c r="B43" s="38" t="s">
        <v>50</v>
      </c>
      <c r="C43" s="37">
        <v>32916.382</v>
      </c>
      <c r="E43" s="1">
        <f t="shared" si="8"/>
        <v>-122.99290265199556</v>
      </c>
      <c r="F43" s="1">
        <f t="shared" si="1"/>
        <v>-123</v>
      </c>
      <c r="G43" s="1">
        <f t="shared" si="9"/>
        <v>0.017550099997606594</v>
      </c>
      <c r="H43" s="1">
        <f t="shared" si="3"/>
        <v>0.017550099997606594</v>
      </c>
      <c r="O43" s="1">
        <f t="shared" si="10"/>
        <v>-0.0019384329138706863</v>
      </c>
      <c r="P43" s="1">
        <f t="shared" si="11"/>
        <v>0.0378727447407433</v>
      </c>
      <c r="Q43" s="25">
        <f t="shared" si="12"/>
        <v>17897.881999999998</v>
      </c>
      <c r="R43" s="1">
        <f t="shared" si="13"/>
        <v>0.017550099997606594</v>
      </c>
    </row>
    <row r="44" spans="1:18" ht="12.75">
      <c r="A44" s="37" t="s">
        <v>59</v>
      </c>
      <c r="B44" s="38" t="s">
        <v>50</v>
      </c>
      <c r="C44" s="37">
        <v>32948.464</v>
      </c>
      <c r="E44" s="1">
        <f t="shared" si="8"/>
        <v>-110.01878178092414</v>
      </c>
      <c r="F44" s="1">
        <f t="shared" si="1"/>
        <v>-110</v>
      </c>
      <c r="G44" s="1">
        <f t="shared" si="9"/>
        <v>-0.046442999999271706</v>
      </c>
      <c r="H44" s="1">
        <f t="shared" si="3"/>
        <v>-0.046442999999271706</v>
      </c>
      <c r="O44" s="1">
        <f t="shared" si="10"/>
        <v>-0.001937455524050297</v>
      </c>
      <c r="P44" s="1">
        <f t="shared" si="11"/>
        <v>0.03785898891172432</v>
      </c>
      <c r="Q44" s="25">
        <f t="shared" si="12"/>
        <v>17929.964</v>
      </c>
      <c r="R44" s="1">
        <f t="shared" si="13"/>
        <v>-0.046442999999271706</v>
      </c>
    </row>
    <row r="45" spans="1:18" ht="12.75">
      <c r="A45" s="37" t="s">
        <v>59</v>
      </c>
      <c r="B45" s="38" t="s">
        <v>50</v>
      </c>
      <c r="C45" s="37">
        <v>33005.348</v>
      </c>
      <c r="E45" s="1">
        <f t="shared" si="8"/>
        <v>-87.0146083618744</v>
      </c>
      <c r="F45" s="1">
        <f t="shared" si="1"/>
        <v>-87</v>
      </c>
      <c r="G45" s="1">
        <f t="shared" si="9"/>
        <v>-0.03612309999880381</v>
      </c>
      <c r="H45" s="1">
        <f t="shared" si="3"/>
        <v>-0.03612309999880381</v>
      </c>
      <c r="O45" s="1">
        <f t="shared" si="10"/>
        <v>-0.001935726295906531</v>
      </c>
      <c r="P45" s="1">
        <f t="shared" si="11"/>
        <v>0.03783465167576766</v>
      </c>
      <c r="Q45" s="25">
        <f t="shared" si="12"/>
        <v>17986.847999999998</v>
      </c>
      <c r="R45" s="1">
        <f t="shared" si="13"/>
        <v>-0.03612309999880381</v>
      </c>
    </row>
    <row r="46" spans="1:18" ht="12.75">
      <c r="A46" s="37" t="s">
        <v>59</v>
      </c>
      <c r="B46" s="38" t="s">
        <v>50</v>
      </c>
      <c r="C46" s="37">
        <v>33220.513</v>
      </c>
      <c r="E46" s="1">
        <f t="shared" si="8"/>
        <v>-0.0008088099790358288</v>
      </c>
      <c r="F46" s="1">
        <f t="shared" si="1"/>
        <v>0</v>
      </c>
      <c r="G46" s="1">
        <f t="shared" si="9"/>
        <v>-0.0020000000004074536</v>
      </c>
      <c r="H46" s="1">
        <f t="shared" si="3"/>
        <v>-0.0020000000004074536</v>
      </c>
      <c r="O46" s="1">
        <f t="shared" si="10"/>
        <v>-0.0019291853024931559</v>
      </c>
      <c r="P46" s="1">
        <f t="shared" si="11"/>
        <v>0.03774259343540987</v>
      </c>
      <c r="Q46" s="25">
        <f t="shared" si="12"/>
        <v>18202.013</v>
      </c>
      <c r="R46" s="1">
        <f t="shared" si="13"/>
        <v>-0.0020000000004074536</v>
      </c>
    </row>
    <row r="47" spans="1:18" ht="12.75">
      <c r="A47" s="37" t="s">
        <v>59</v>
      </c>
      <c r="B47" s="38" t="s">
        <v>50</v>
      </c>
      <c r="C47" s="37">
        <v>34087.307</v>
      </c>
      <c r="E47" s="1">
        <f t="shared" si="8"/>
        <v>350.53500960279916</v>
      </c>
      <c r="F47" s="1">
        <f t="shared" si="1"/>
        <v>350.5</v>
      </c>
      <c r="G47" s="1">
        <f t="shared" si="9"/>
        <v>0.08657065000443254</v>
      </c>
      <c r="H47" s="1">
        <f t="shared" si="3"/>
        <v>0.08657065000443254</v>
      </c>
      <c r="O47" s="1">
        <f t="shared" si="10"/>
        <v>-0.0019028333692588113</v>
      </c>
      <c r="P47" s="1">
        <f t="shared" si="11"/>
        <v>0.0373717151222443</v>
      </c>
      <c r="Q47" s="25">
        <f t="shared" si="12"/>
        <v>19068.807</v>
      </c>
      <c r="R47" s="1">
        <f t="shared" si="13"/>
        <v>0.08657065000443254</v>
      </c>
    </row>
    <row r="48" spans="1:18" ht="12.75">
      <c r="A48" s="37" t="s">
        <v>59</v>
      </c>
      <c r="B48" s="38" t="s">
        <v>50</v>
      </c>
      <c r="C48" s="37">
        <v>34664.573</v>
      </c>
      <c r="E48" s="1">
        <f t="shared" si="8"/>
        <v>583.984260234286</v>
      </c>
      <c r="F48" s="1">
        <f t="shared" si="1"/>
        <v>584</v>
      </c>
      <c r="G48" s="1">
        <f t="shared" si="9"/>
        <v>-0.038920800005143974</v>
      </c>
      <c r="H48" s="1">
        <f t="shared" si="3"/>
        <v>-0.038920800005143974</v>
      </c>
      <c r="O48" s="1">
        <f t="shared" si="10"/>
        <v>-0.0018852779444079712</v>
      </c>
      <c r="P48" s="1">
        <f t="shared" si="11"/>
        <v>0.03712463927024954</v>
      </c>
      <c r="Q48" s="25">
        <f t="shared" si="12"/>
        <v>19646.072999999997</v>
      </c>
      <c r="R48" s="1">
        <f t="shared" si="13"/>
        <v>-0.038920800005143974</v>
      </c>
    </row>
    <row r="49" spans="1:18" ht="12.75">
      <c r="A49" s="37" t="s">
        <v>59</v>
      </c>
      <c r="B49" s="38" t="s">
        <v>50</v>
      </c>
      <c r="C49" s="37">
        <v>34773.344</v>
      </c>
      <c r="E49" s="1">
        <f t="shared" si="8"/>
        <v>627.9717953401779</v>
      </c>
      <c r="F49" s="1">
        <f t="shared" si="1"/>
        <v>628</v>
      </c>
      <c r="G49" s="1">
        <f t="shared" si="9"/>
        <v>-0.06974360000458546</v>
      </c>
      <c r="H49" s="1">
        <f t="shared" si="3"/>
        <v>-0.06974360000458546</v>
      </c>
      <c r="O49" s="1">
        <f t="shared" si="10"/>
        <v>-0.0018819698557851147</v>
      </c>
      <c r="P49" s="1">
        <f t="shared" si="11"/>
        <v>0.03707808107972376</v>
      </c>
      <c r="Q49" s="25">
        <f t="shared" si="12"/>
        <v>19754.843999999997</v>
      </c>
      <c r="R49" s="1">
        <f t="shared" si="13"/>
        <v>-0.06974360000458546</v>
      </c>
    </row>
    <row r="50" spans="1:18" ht="12.75">
      <c r="A50" s="37" t="s">
        <v>59</v>
      </c>
      <c r="B50" s="38" t="s">
        <v>50</v>
      </c>
      <c r="C50" s="37">
        <v>34778.346</v>
      </c>
      <c r="E50" s="1">
        <f t="shared" si="8"/>
        <v>629.9946290973346</v>
      </c>
      <c r="F50" s="1">
        <f t="shared" si="1"/>
        <v>630</v>
      </c>
      <c r="G50" s="1">
        <f t="shared" si="9"/>
        <v>-0.013280999999551568</v>
      </c>
      <c r="H50" s="1">
        <f t="shared" si="3"/>
        <v>-0.013280999999551568</v>
      </c>
      <c r="O50" s="1">
        <f t="shared" si="10"/>
        <v>-0.0018818194881204393</v>
      </c>
      <c r="P50" s="1">
        <f t="shared" si="11"/>
        <v>0.037075964798336226</v>
      </c>
      <c r="Q50" s="25">
        <f t="shared" si="12"/>
        <v>19759.845999999998</v>
      </c>
      <c r="R50" s="1">
        <f t="shared" si="13"/>
        <v>-0.013280999999551568</v>
      </c>
    </row>
    <row r="51" spans="1:18" ht="12.75">
      <c r="A51" s="37" t="s">
        <v>59</v>
      </c>
      <c r="B51" s="38" t="s">
        <v>50</v>
      </c>
      <c r="C51" s="37">
        <v>34825.315</v>
      </c>
      <c r="E51" s="1">
        <f t="shared" si="8"/>
        <v>648.9891270461337</v>
      </c>
      <c r="F51" s="1">
        <f t="shared" si="1"/>
        <v>649</v>
      </c>
      <c r="G51" s="1">
        <f t="shared" si="9"/>
        <v>-0.026886299994657747</v>
      </c>
      <c r="H51" s="1">
        <f t="shared" si="3"/>
        <v>-0.026886299994657747</v>
      </c>
      <c r="O51" s="1">
        <f t="shared" si="10"/>
        <v>-0.0018803909953060242</v>
      </c>
      <c r="P51" s="1">
        <f t="shared" si="11"/>
        <v>0.03705586012515464</v>
      </c>
      <c r="Q51" s="25">
        <f t="shared" si="12"/>
        <v>19806.815000000002</v>
      </c>
      <c r="R51" s="1">
        <f t="shared" si="13"/>
        <v>-0.026886299994657747</v>
      </c>
    </row>
    <row r="52" spans="1:18" ht="12.75">
      <c r="A52" s="37" t="s">
        <v>59</v>
      </c>
      <c r="B52" s="38" t="s">
        <v>50</v>
      </c>
      <c r="C52" s="37">
        <v>35129.479</v>
      </c>
      <c r="E52" s="1">
        <f t="shared" si="8"/>
        <v>771.9945662527999</v>
      </c>
      <c r="F52" s="1">
        <f t="shared" si="1"/>
        <v>772</v>
      </c>
      <c r="G52" s="1">
        <f t="shared" si="9"/>
        <v>-0.013436399996862747</v>
      </c>
      <c r="H52" s="1">
        <f t="shared" si="3"/>
        <v>-0.013436399996862747</v>
      </c>
      <c r="O52" s="1">
        <f t="shared" si="10"/>
        <v>-0.0018711433839284938</v>
      </c>
      <c r="P52" s="1">
        <f t="shared" si="11"/>
        <v>0.03692570881982121</v>
      </c>
      <c r="Q52" s="25">
        <f t="shared" si="12"/>
        <v>20110.979</v>
      </c>
      <c r="R52" s="1">
        <f t="shared" si="13"/>
        <v>-0.013436399996862747</v>
      </c>
    </row>
    <row r="53" spans="1:18" ht="12.75">
      <c r="A53" s="37" t="s">
        <v>59</v>
      </c>
      <c r="B53" s="38" t="s">
        <v>50</v>
      </c>
      <c r="C53" s="37">
        <v>35160.483</v>
      </c>
      <c r="E53" s="1">
        <f t="shared" si="8"/>
        <v>784.5327385452593</v>
      </c>
      <c r="F53" s="1">
        <f t="shared" si="1"/>
        <v>784.5</v>
      </c>
      <c r="G53" s="1">
        <f t="shared" si="9"/>
        <v>0.08095485000376357</v>
      </c>
      <c r="H53" s="1">
        <f t="shared" si="3"/>
        <v>0.08095485000376357</v>
      </c>
      <c r="O53" s="1">
        <f t="shared" si="10"/>
        <v>-0.0018702035860242731</v>
      </c>
      <c r="P53" s="1">
        <f t="shared" si="11"/>
        <v>0.03691248206114912</v>
      </c>
      <c r="Q53" s="25">
        <f t="shared" si="12"/>
        <v>20141.983</v>
      </c>
      <c r="R53" s="1">
        <f t="shared" si="13"/>
        <v>0.08095485000376357</v>
      </c>
    </row>
    <row r="54" spans="1:18" ht="12.75">
      <c r="A54" s="37" t="s">
        <v>59</v>
      </c>
      <c r="B54" s="38" t="s">
        <v>50</v>
      </c>
      <c r="C54" s="37">
        <v>35165.359</v>
      </c>
      <c r="E54" s="1">
        <f t="shared" si="8"/>
        <v>786.5046172737456</v>
      </c>
      <c r="F54" s="1">
        <f t="shared" si="1"/>
        <v>786.5</v>
      </c>
      <c r="G54" s="1">
        <f t="shared" si="9"/>
        <v>0.011417449997679796</v>
      </c>
      <c r="H54" s="1">
        <f t="shared" si="3"/>
        <v>0.011417449997679796</v>
      </c>
      <c r="O54" s="1">
        <f t="shared" si="10"/>
        <v>-0.001870053218359598</v>
      </c>
      <c r="P54" s="1">
        <f t="shared" si="11"/>
        <v>0.03691036577976158</v>
      </c>
      <c r="Q54" s="25">
        <f t="shared" si="12"/>
        <v>20146.858999999997</v>
      </c>
      <c r="R54" s="1">
        <f t="shared" si="13"/>
        <v>0.011417449997679796</v>
      </c>
    </row>
    <row r="55" spans="1:18" ht="12.75">
      <c r="A55" s="37" t="s">
        <v>59</v>
      </c>
      <c r="B55" s="38" t="s">
        <v>50</v>
      </c>
      <c r="C55" s="37">
        <v>35186.353</v>
      </c>
      <c r="E55" s="1">
        <f t="shared" si="8"/>
        <v>794.9946956219575</v>
      </c>
      <c r="F55" s="1">
        <f t="shared" si="1"/>
        <v>795</v>
      </c>
      <c r="G55" s="1">
        <f t="shared" si="9"/>
        <v>-0.013116499998432118</v>
      </c>
      <c r="H55" s="1">
        <f t="shared" si="3"/>
        <v>-0.013116499998432118</v>
      </c>
      <c r="O55" s="1">
        <f t="shared" si="10"/>
        <v>-0.001869414155784728</v>
      </c>
      <c r="P55" s="1">
        <f t="shared" si="11"/>
        <v>0.036901371583864556</v>
      </c>
      <c r="Q55" s="25">
        <f t="shared" si="12"/>
        <v>20167.853000000003</v>
      </c>
      <c r="R55" s="1">
        <f t="shared" si="13"/>
        <v>-0.013116499998432118</v>
      </c>
    </row>
    <row r="56" spans="1:18" ht="12.75">
      <c r="A56" s="37" t="s">
        <v>59</v>
      </c>
      <c r="B56" s="38" t="s">
        <v>50</v>
      </c>
      <c r="C56" s="37">
        <v>35432.479</v>
      </c>
      <c r="E56" s="1">
        <f t="shared" si="8"/>
        <v>894.5292780517643</v>
      </c>
      <c r="F56" s="1">
        <f t="shared" si="1"/>
        <v>894.5</v>
      </c>
      <c r="G56" s="1">
        <f t="shared" si="9"/>
        <v>0.07239785000274424</v>
      </c>
      <c r="H56" s="1">
        <f t="shared" si="3"/>
        <v>0.07239785000274424</v>
      </c>
      <c r="O56" s="1">
        <f t="shared" si="10"/>
        <v>-0.0018619333644671323</v>
      </c>
      <c r="P56" s="1">
        <f t="shared" si="11"/>
        <v>0.03679608658483467</v>
      </c>
      <c r="Q56" s="25">
        <f t="shared" si="12"/>
        <v>20413.979</v>
      </c>
      <c r="R56" s="1">
        <f t="shared" si="13"/>
        <v>0.07239785000274424</v>
      </c>
    </row>
    <row r="57" spans="1:18" ht="12.75">
      <c r="A57" s="37" t="s">
        <v>59</v>
      </c>
      <c r="B57" s="38" t="s">
        <v>50</v>
      </c>
      <c r="C57" s="37">
        <v>35459.628</v>
      </c>
      <c r="E57" s="1">
        <f t="shared" si="8"/>
        <v>905.5084691099485</v>
      </c>
      <c r="F57" s="1">
        <f t="shared" si="1"/>
        <v>905.5</v>
      </c>
      <c r="G57" s="1">
        <f t="shared" si="9"/>
        <v>0.0209421499966993</v>
      </c>
      <c r="H57" s="1">
        <f t="shared" si="3"/>
        <v>0.0209421499966993</v>
      </c>
      <c r="O57" s="1">
        <f t="shared" si="10"/>
        <v>-0.001861106342311418</v>
      </c>
      <c r="P57" s="1">
        <f t="shared" si="11"/>
        <v>0.03678444703720323</v>
      </c>
      <c r="Q57" s="25">
        <f t="shared" si="12"/>
        <v>20441.127999999997</v>
      </c>
      <c r="R57" s="1">
        <f t="shared" si="13"/>
        <v>0.0209421499966993</v>
      </c>
    </row>
    <row r="58" spans="1:18" ht="12.75">
      <c r="A58" s="37" t="s">
        <v>59</v>
      </c>
      <c r="B58" s="38" t="s">
        <v>50</v>
      </c>
      <c r="C58" s="37">
        <v>36253.416</v>
      </c>
      <c r="E58" s="1">
        <f t="shared" si="8"/>
        <v>1226.5202968639962</v>
      </c>
      <c r="F58" s="1">
        <f t="shared" si="1"/>
        <v>1226.5</v>
      </c>
      <c r="G58" s="1">
        <f t="shared" si="9"/>
        <v>0.05018944999756059</v>
      </c>
      <c r="H58" s="1">
        <f t="shared" si="3"/>
        <v>0.05018944999756059</v>
      </c>
      <c r="O58" s="1">
        <f t="shared" si="10"/>
        <v>-0.0018369723321310341</v>
      </c>
      <c r="P58" s="1">
        <f t="shared" si="11"/>
        <v>0.036444783874503804</v>
      </c>
      <c r="Q58" s="25">
        <f t="shared" si="12"/>
        <v>21234.915999999997</v>
      </c>
      <c r="R58" s="1">
        <f t="shared" si="13"/>
        <v>0.05018944999756059</v>
      </c>
    </row>
    <row r="59" spans="1:18" ht="12.75">
      <c r="A59" s="37" t="s">
        <v>59</v>
      </c>
      <c r="B59" s="38" t="s">
        <v>50</v>
      </c>
      <c r="C59" s="37">
        <v>36630.386</v>
      </c>
      <c r="E59" s="1">
        <f t="shared" si="8"/>
        <v>1378.968845731507</v>
      </c>
      <c r="F59" s="1">
        <f t="shared" si="1"/>
        <v>1379</v>
      </c>
      <c r="G59" s="1">
        <f t="shared" si="9"/>
        <v>-0.07703729999775533</v>
      </c>
      <c r="H59" s="1">
        <f t="shared" si="3"/>
        <v>-0.07703729999775533</v>
      </c>
      <c r="O59" s="1">
        <f t="shared" si="10"/>
        <v>-0.001825506797699543</v>
      </c>
      <c r="P59" s="1">
        <f t="shared" si="11"/>
        <v>0.03628341741870423</v>
      </c>
      <c r="Q59" s="25">
        <f t="shared" si="12"/>
        <v>21611.886</v>
      </c>
      <c r="R59" s="1">
        <f t="shared" si="13"/>
        <v>-0.07703729999775533</v>
      </c>
    </row>
    <row r="60" spans="1:19" ht="12.75">
      <c r="A60" s="37" t="s">
        <v>60</v>
      </c>
      <c r="B60" s="38" t="s">
        <v>57</v>
      </c>
      <c r="C60" s="37">
        <v>50095.959</v>
      </c>
      <c r="E60" s="1">
        <f t="shared" si="8"/>
        <v>6824.513752539816</v>
      </c>
      <c r="F60" s="1">
        <f t="shared" si="1"/>
        <v>6824.5</v>
      </c>
      <c r="G60" s="1">
        <f t="shared" si="9"/>
        <v>0.03400685000815429</v>
      </c>
      <c r="H60" s="1">
        <f t="shared" si="3"/>
        <v>0.03400685000815429</v>
      </c>
      <c r="O60" s="1">
        <f t="shared" si="10"/>
        <v>-0.0014160932387048961</v>
      </c>
      <c r="P60" s="1">
        <f t="shared" si="11"/>
        <v>0.030521312270792272</v>
      </c>
      <c r="Q60" s="25">
        <f t="shared" si="12"/>
        <v>35077.459</v>
      </c>
      <c r="S60" s="1">
        <f>G60</f>
        <v>0.03400685000815429</v>
      </c>
    </row>
    <row r="61" spans="1:19" ht="12.75">
      <c r="A61" s="37" t="s">
        <v>61</v>
      </c>
      <c r="B61" s="38" t="s">
        <v>57</v>
      </c>
      <c r="C61" s="37">
        <v>55600.3459</v>
      </c>
      <c r="E61" s="1">
        <f t="shared" si="8"/>
        <v>9050.515278683364</v>
      </c>
      <c r="F61" s="1">
        <f t="shared" si="1"/>
        <v>9050.5</v>
      </c>
      <c r="G61" s="1">
        <f t="shared" si="9"/>
        <v>0.03778065000369679</v>
      </c>
      <c r="H61" s="1">
        <f t="shared" si="3"/>
        <v>0.03778065000369679</v>
      </c>
      <c r="O61" s="1">
        <f t="shared" si="10"/>
        <v>-0.001248734027921298</v>
      </c>
      <c r="P61" s="1">
        <f t="shared" si="11"/>
        <v>0.028165891086465396</v>
      </c>
      <c r="Q61" s="25">
        <f t="shared" si="12"/>
        <v>40581.8459</v>
      </c>
      <c r="S61" s="1">
        <f>G61</f>
        <v>0.03778065000369679</v>
      </c>
    </row>
    <row r="62" spans="1:19" ht="12.75">
      <c r="A62" s="37" t="s">
        <v>61</v>
      </c>
      <c r="B62" s="38" t="s">
        <v>57</v>
      </c>
      <c r="C62" s="37">
        <v>55600.3468</v>
      </c>
      <c r="E62" s="1">
        <f t="shared" si="8"/>
        <v>9050.515642647855</v>
      </c>
      <c r="F62" s="1">
        <f t="shared" si="1"/>
        <v>9050.5</v>
      </c>
      <c r="G62" s="1">
        <f t="shared" si="9"/>
        <v>0.03868065000278875</v>
      </c>
      <c r="H62" s="1">
        <f t="shared" si="3"/>
        <v>0.03868065000278875</v>
      </c>
      <c r="O62" s="1">
        <f t="shared" si="10"/>
        <v>-0.001248734027921298</v>
      </c>
      <c r="P62" s="1">
        <f t="shared" si="11"/>
        <v>0.028165891086465396</v>
      </c>
      <c r="Q62" s="25">
        <f t="shared" si="12"/>
        <v>40581.8468</v>
      </c>
      <c r="S62" s="1">
        <f>G62</f>
        <v>0.03868065000278875</v>
      </c>
    </row>
    <row r="63" spans="1:19" ht="12.75">
      <c r="A63" s="37" t="s">
        <v>61</v>
      </c>
      <c r="B63" s="38" t="s">
        <v>57</v>
      </c>
      <c r="C63" s="37">
        <v>55600.3488</v>
      </c>
      <c r="E63" s="1">
        <f t="shared" si="8"/>
        <v>9050.516451457834</v>
      </c>
      <c r="F63" s="1">
        <f t="shared" si="1"/>
        <v>9050.5</v>
      </c>
      <c r="G63" s="1">
        <f t="shared" si="9"/>
        <v>0.040680650003196206</v>
      </c>
      <c r="H63" s="1">
        <f t="shared" si="3"/>
        <v>0.040680650003196206</v>
      </c>
      <c r="O63" s="1">
        <f t="shared" si="10"/>
        <v>-0.001248734027921298</v>
      </c>
      <c r="P63" s="1">
        <f t="shared" si="11"/>
        <v>0.028165891086465396</v>
      </c>
      <c r="Q63" s="25">
        <f t="shared" si="12"/>
        <v>40581.8488</v>
      </c>
      <c r="S63" s="1">
        <f>G63</f>
        <v>0.040680650003196206</v>
      </c>
    </row>
    <row r="64" spans="1:19" ht="12.75">
      <c r="A64" s="39" t="s">
        <v>62</v>
      </c>
      <c r="B64" s="40" t="s">
        <v>57</v>
      </c>
      <c r="C64" s="41">
        <v>57718.2093</v>
      </c>
      <c r="D64" s="41">
        <v>0.0006</v>
      </c>
      <c r="E64" s="1">
        <f aca="true" t="shared" si="14" ref="E64:E69">+(C64-C$7)/C$8</f>
        <v>9906.989804586252</v>
      </c>
      <c r="F64" s="1">
        <f aca="true" t="shared" si="15" ref="F64:F69">ROUND(2*E64,0)/2</f>
        <v>9907</v>
      </c>
      <c r="G64" s="1">
        <f aca="true" t="shared" si="16" ref="G64:G69">+C64-(C$7+F64*C$8)</f>
        <v>-0.02521089999936521</v>
      </c>
      <c r="H64" s="1">
        <f aca="true" t="shared" si="17" ref="H64:H69">+G64</f>
        <v>-0.02521089999936521</v>
      </c>
      <c r="O64" s="1">
        <f aca="true" t="shared" si="18" ref="O64:O69">+C$11+C$12*$F64</f>
        <v>-0.0011843390755241047</v>
      </c>
      <c r="P64" s="1">
        <f aca="true" t="shared" si="19" ref="P64:P69">+D$11+D$12*$F64</f>
        <v>0.02725959358225337</v>
      </c>
      <c r="Q64" s="25">
        <f aca="true" t="shared" si="20" ref="Q64:Q69">+C64-15018.5</f>
        <v>42699.7093</v>
      </c>
      <c r="S64" s="1">
        <f aca="true" t="shared" si="21" ref="S64:S69">G64</f>
        <v>-0.02521089999936521</v>
      </c>
    </row>
    <row r="65" spans="1:19" ht="12.75">
      <c r="A65" s="42" t="s">
        <v>63</v>
      </c>
      <c r="B65" s="43" t="s">
        <v>57</v>
      </c>
      <c r="C65" s="44">
        <v>58511.9577</v>
      </c>
      <c r="D65" s="44">
        <v>0.00044</v>
      </c>
      <c r="E65" s="1">
        <f t="shared" si="14"/>
        <v>10227.985617902717</v>
      </c>
      <c r="F65" s="1">
        <f t="shared" si="15"/>
        <v>10228</v>
      </c>
      <c r="G65" s="1">
        <f t="shared" si="16"/>
        <v>-0.03556360000220593</v>
      </c>
      <c r="H65" s="1">
        <f t="shared" si="17"/>
        <v>-0.03556360000220593</v>
      </c>
      <c r="O65" s="1">
        <f t="shared" si="18"/>
        <v>-0.0011602050653437208</v>
      </c>
      <c r="P65" s="1">
        <f t="shared" si="19"/>
        <v>0.02691993041955394</v>
      </c>
      <c r="Q65" s="25">
        <f t="shared" si="20"/>
        <v>43493.4577</v>
      </c>
      <c r="S65" s="1">
        <f t="shared" si="21"/>
        <v>-0.03556360000220593</v>
      </c>
    </row>
    <row r="66" spans="1:19" ht="12.75">
      <c r="A66" s="42" t="s">
        <v>64</v>
      </c>
      <c r="B66" s="43" t="s">
        <v>50</v>
      </c>
      <c r="C66" s="44">
        <v>58877.937</v>
      </c>
      <c r="D66" s="44" t="s">
        <v>65</v>
      </c>
      <c r="E66" s="1">
        <f t="shared" si="14"/>
        <v>10375.989472852838</v>
      </c>
      <c r="F66" s="1">
        <f t="shared" si="15"/>
        <v>10376</v>
      </c>
      <c r="G66" s="1">
        <f t="shared" si="16"/>
        <v>-0.02603120000276249</v>
      </c>
      <c r="H66" s="1">
        <f t="shared" si="17"/>
        <v>-0.02603120000276249</v>
      </c>
      <c r="O66" s="1">
        <f t="shared" si="18"/>
        <v>-0.0011490778581577494</v>
      </c>
      <c r="P66" s="1">
        <f t="shared" si="19"/>
        <v>0.02676332559687632</v>
      </c>
      <c r="Q66" s="25">
        <f t="shared" si="20"/>
        <v>43859.437</v>
      </c>
      <c r="S66" s="1">
        <f t="shared" si="21"/>
        <v>-0.02603120000276249</v>
      </c>
    </row>
    <row r="67" spans="1:19" ht="12.75">
      <c r="A67" s="42" t="s">
        <v>64</v>
      </c>
      <c r="B67" s="43" t="s">
        <v>50</v>
      </c>
      <c r="C67" s="44">
        <v>58852.0575</v>
      </c>
      <c r="D67" s="44" t="s">
        <v>65</v>
      </c>
      <c r="E67" s="1">
        <f t="shared" si="14"/>
        <v>10365.523673928743</v>
      </c>
      <c r="F67" s="1">
        <f t="shared" si="15"/>
        <v>10365.5</v>
      </c>
      <c r="G67" s="1">
        <f t="shared" si="16"/>
        <v>0.05854015000659274</v>
      </c>
      <c r="H67" s="1">
        <f t="shared" si="17"/>
        <v>0.05854015000659274</v>
      </c>
      <c r="O67" s="1">
        <f t="shared" si="18"/>
        <v>-0.0011498672883972945</v>
      </c>
      <c r="P67" s="1">
        <f t="shared" si="19"/>
        <v>0.02677443607416088</v>
      </c>
      <c r="Q67" s="25">
        <f t="shared" si="20"/>
        <v>43833.5575</v>
      </c>
      <c r="S67" s="1">
        <f t="shared" si="21"/>
        <v>0.05854015000659274</v>
      </c>
    </row>
    <row r="68" spans="1:19" ht="12.75">
      <c r="A68" s="42" t="s">
        <v>64</v>
      </c>
      <c r="B68" s="43" t="s">
        <v>50</v>
      </c>
      <c r="C68" s="44">
        <v>58852.0593</v>
      </c>
      <c r="D68" s="44" t="s">
        <v>66</v>
      </c>
      <c r="E68" s="1">
        <f t="shared" si="14"/>
        <v>10365.524401857723</v>
      </c>
      <c r="F68" s="1">
        <f t="shared" si="15"/>
        <v>10365.5</v>
      </c>
      <c r="G68" s="1">
        <f t="shared" si="16"/>
        <v>0.06034015000477666</v>
      </c>
      <c r="H68" s="1">
        <f t="shared" si="17"/>
        <v>0.06034015000477666</v>
      </c>
      <c r="O68" s="1">
        <f t="shared" si="18"/>
        <v>-0.0011498672883972945</v>
      </c>
      <c r="P68" s="1">
        <f t="shared" si="19"/>
        <v>0.02677443607416088</v>
      </c>
      <c r="Q68" s="25">
        <f t="shared" si="20"/>
        <v>43833.5593</v>
      </c>
      <c r="S68" s="1">
        <f t="shared" si="21"/>
        <v>0.06034015000477666</v>
      </c>
    </row>
    <row r="69" spans="1:19" ht="12.75">
      <c r="A69" s="42" t="s">
        <v>64</v>
      </c>
      <c r="B69" s="43" t="s">
        <v>50</v>
      </c>
      <c r="C69" s="44">
        <v>58852.0598</v>
      </c>
      <c r="D69" s="44" t="s">
        <v>67</v>
      </c>
      <c r="E69" s="1">
        <f t="shared" si="14"/>
        <v>10365.52460406022</v>
      </c>
      <c r="F69" s="1">
        <f t="shared" si="15"/>
        <v>10365.5</v>
      </c>
      <c r="G69" s="1">
        <f t="shared" si="16"/>
        <v>0.06084015000669751</v>
      </c>
      <c r="H69" s="1">
        <f t="shared" si="17"/>
        <v>0.06084015000669751</v>
      </c>
      <c r="O69" s="1">
        <f t="shared" si="18"/>
        <v>-0.0011498672883972945</v>
      </c>
      <c r="P69" s="1">
        <f t="shared" si="19"/>
        <v>0.02677443607416088</v>
      </c>
      <c r="Q69" s="25">
        <f t="shared" si="20"/>
        <v>43833.5598</v>
      </c>
      <c r="S69" s="1">
        <f t="shared" si="21"/>
        <v>0.06084015000669751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9.7109375" style="45" customWidth="1"/>
    <col min="2" max="2" width="4.421875" style="0" customWidth="1"/>
    <col min="3" max="3" width="12.7109375" style="45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45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46" t="s">
        <v>68</v>
      </c>
      <c r="I1" s="47" t="s">
        <v>69</v>
      </c>
      <c r="J1" s="48" t="s">
        <v>70</v>
      </c>
    </row>
    <row r="2" spans="9:10" ht="12.75">
      <c r="I2" s="49" t="s">
        <v>71</v>
      </c>
      <c r="J2" s="50" t="s">
        <v>72</v>
      </c>
    </row>
    <row r="3" spans="1:10" ht="12.75">
      <c r="A3" s="51" t="s">
        <v>73</v>
      </c>
      <c r="I3" s="49" t="s">
        <v>74</v>
      </c>
      <c r="J3" s="50" t="s">
        <v>75</v>
      </c>
    </row>
    <row r="4" spans="9:10" ht="12.75">
      <c r="I4" s="49" t="s">
        <v>76</v>
      </c>
      <c r="J4" s="50" t="s">
        <v>75</v>
      </c>
    </row>
    <row r="5" spans="9:10" ht="12.75">
      <c r="I5" s="52" t="s">
        <v>66</v>
      </c>
      <c r="J5" s="53" t="s">
        <v>77</v>
      </c>
    </row>
    <row r="11" spans="1:16" ht="12.75" customHeight="1">
      <c r="A11" s="45" t="str">
        <f aca="true" t="shared" si="0" ref="A11:A47">P11</f>
        <v>BAVM 241 (=IBVS 6157) </v>
      </c>
      <c r="B11" s="54" t="str">
        <f aca="true" t="shared" si="1" ref="B11:B47">IF(H11=INT(H11),"I","II")</f>
        <v>II</v>
      </c>
      <c r="C11" s="45">
        <f aca="true" t="shared" si="2" ref="C11:C47">1*G11</f>
        <v>57101.3213</v>
      </c>
      <c r="D11" t="str">
        <f aca="true" t="shared" si="3" ref="D11:D47">VLOOKUP(F11,I$1:J$5,2,FALSE)</f>
        <v>vis</v>
      </c>
      <c r="E11">
        <f>VLOOKUP(C11,A!C$21:E$973,3,FALSE)</f>
        <v>9657.51721946335</v>
      </c>
      <c r="F11" s="54" t="s">
        <v>66</v>
      </c>
      <c r="G11" t="str">
        <f aca="true" t="shared" si="4" ref="G11:G47">MID(I11,3,LEN(I11)-3)</f>
        <v>57101.3213</v>
      </c>
      <c r="H11" s="45">
        <f aca="true" t="shared" si="5" ref="H11:H47">1*K11</f>
        <v>19315.5</v>
      </c>
      <c r="I11" s="55" t="s">
        <v>78</v>
      </c>
      <c r="J11" s="56" t="s">
        <v>79</v>
      </c>
      <c r="K11" s="55" t="s">
        <v>80</v>
      </c>
      <c r="L11" s="55" t="s">
        <v>81</v>
      </c>
      <c r="M11" s="56" t="s">
        <v>82</v>
      </c>
      <c r="N11" s="56">
        <v>0</v>
      </c>
      <c r="O11" s="57" t="s">
        <v>83</v>
      </c>
      <c r="P11" s="58" t="s">
        <v>84</v>
      </c>
    </row>
    <row r="12" spans="1:16" ht="12.75" customHeight="1">
      <c r="A12" s="45" t="str">
        <f t="shared" si="0"/>
        <v> BBS 91 </v>
      </c>
      <c r="B12" s="54" t="str">
        <f t="shared" si="1"/>
        <v>II</v>
      </c>
      <c r="C12" s="45">
        <f t="shared" si="2"/>
        <v>47566.301</v>
      </c>
      <c r="D12" t="str">
        <f t="shared" si="3"/>
        <v>vis</v>
      </c>
      <c r="E12">
        <f>VLOOKUP(C12,A!C$21:E$973,3,FALSE)</f>
        <v>5801.507435774321</v>
      </c>
      <c r="F12" s="54" t="s">
        <v>66</v>
      </c>
      <c r="G12" t="str">
        <f t="shared" si="4"/>
        <v>47566.301</v>
      </c>
      <c r="H12" s="45">
        <f t="shared" si="5"/>
        <v>11603.5</v>
      </c>
      <c r="I12" s="55" t="s">
        <v>85</v>
      </c>
      <c r="J12" s="56" t="s">
        <v>86</v>
      </c>
      <c r="K12" s="55">
        <v>11603.5</v>
      </c>
      <c r="L12" s="55" t="s">
        <v>87</v>
      </c>
      <c r="M12" s="56" t="s">
        <v>88</v>
      </c>
      <c r="N12" s="56" t="s">
        <v>89</v>
      </c>
      <c r="O12" s="57" t="s">
        <v>90</v>
      </c>
      <c r="P12" s="57" t="s">
        <v>91</v>
      </c>
    </row>
    <row r="13" spans="1:16" ht="12.75" customHeight="1">
      <c r="A13" s="45" t="str">
        <f t="shared" si="0"/>
        <v> BBS 99 </v>
      </c>
      <c r="B13" s="54" t="str">
        <f t="shared" si="1"/>
        <v>II</v>
      </c>
      <c r="C13" s="45">
        <f t="shared" si="2"/>
        <v>48623.416</v>
      </c>
      <c r="D13" t="str">
        <f t="shared" si="3"/>
        <v>vis</v>
      </c>
      <c r="E13">
        <f>VLOOKUP(C13,A!C$21:E$973,3,FALSE)</f>
        <v>6229.010016181456</v>
      </c>
      <c r="F13" s="54" t="s">
        <v>66</v>
      </c>
      <c r="G13" t="str">
        <f t="shared" si="4"/>
        <v>48623.416</v>
      </c>
      <c r="H13" s="45">
        <f t="shared" si="5"/>
        <v>12458.5</v>
      </c>
      <c r="I13" s="55" t="s">
        <v>92</v>
      </c>
      <c r="J13" s="56" t="s">
        <v>93</v>
      </c>
      <c r="K13" s="55">
        <v>12458.5</v>
      </c>
      <c r="L13" s="55" t="s">
        <v>94</v>
      </c>
      <c r="M13" s="56" t="s">
        <v>88</v>
      </c>
      <c r="N13" s="56" t="s">
        <v>89</v>
      </c>
      <c r="O13" s="57" t="s">
        <v>90</v>
      </c>
      <c r="P13" s="57" t="s">
        <v>95</v>
      </c>
    </row>
    <row r="14" spans="1:16" ht="12.75" customHeight="1">
      <c r="A14" s="45" t="str">
        <f t="shared" si="0"/>
        <v>IBVS 5672 </v>
      </c>
      <c r="B14" s="54" t="str">
        <f t="shared" si="1"/>
        <v>II</v>
      </c>
      <c r="C14" s="45">
        <f t="shared" si="2"/>
        <v>53374.8307</v>
      </c>
      <c r="D14" t="str">
        <f t="shared" si="3"/>
        <v>vis</v>
      </c>
      <c r="E14">
        <f>VLOOKUP(C14,A!C$21:E$973,3,FALSE)</f>
        <v>8150.505827738761</v>
      </c>
      <c r="F14" s="54" t="s">
        <v>66</v>
      </c>
      <c r="G14" t="str">
        <f t="shared" si="4"/>
        <v>53374.8307</v>
      </c>
      <c r="H14" s="45">
        <f t="shared" si="5"/>
        <v>16301.5</v>
      </c>
      <c r="I14" s="55" t="s">
        <v>96</v>
      </c>
      <c r="J14" s="56" t="s">
        <v>97</v>
      </c>
      <c r="K14" s="55">
        <v>16301.5</v>
      </c>
      <c r="L14" s="55" t="s">
        <v>98</v>
      </c>
      <c r="M14" s="56" t="s">
        <v>88</v>
      </c>
      <c r="N14" s="56" t="s">
        <v>89</v>
      </c>
      <c r="O14" s="57" t="s">
        <v>99</v>
      </c>
      <c r="P14" s="58" t="s">
        <v>100</v>
      </c>
    </row>
    <row r="15" spans="1:16" ht="12.75" customHeight="1">
      <c r="A15" s="45" t="str">
        <f t="shared" si="0"/>
        <v>BAVM 178 </v>
      </c>
      <c r="B15" s="54" t="str">
        <f t="shared" si="1"/>
        <v>II</v>
      </c>
      <c r="C15" s="45">
        <f t="shared" si="2"/>
        <v>53780.3713</v>
      </c>
      <c r="D15" t="str">
        <f t="shared" si="3"/>
        <v>vis</v>
      </c>
      <c r="E15">
        <f>VLOOKUP(C15,A!C$21:E$973,3,FALSE)</f>
        <v>8314.508469797438</v>
      </c>
      <c r="F15" s="54" t="s">
        <v>66</v>
      </c>
      <c r="G15" t="str">
        <f t="shared" si="4"/>
        <v>53780.3713</v>
      </c>
      <c r="H15" s="45">
        <f t="shared" si="5"/>
        <v>16629.5</v>
      </c>
      <c r="I15" s="55" t="s">
        <v>101</v>
      </c>
      <c r="J15" s="56" t="s">
        <v>102</v>
      </c>
      <c r="K15" s="55">
        <v>16629.5</v>
      </c>
      <c r="L15" s="55" t="s">
        <v>103</v>
      </c>
      <c r="M15" s="56" t="s">
        <v>82</v>
      </c>
      <c r="N15" s="56" t="s">
        <v>104</v>
      </c>
      <c r="O15" s="57" t="s">
        <v>83</v>
      </c>
      <c r="P15" s="58" t="s">
        <v>105</v>
      </c>
    </row>
    <row r="16" spans="1:16" ht="12.75" customHeight="1">
      <c r="A16" s="45" t="str">
        <f t="shared" si="0"/>
        <v>IBVS 5871 </v>
      </c>
      <c r="B16" s="54" t="str">
        <f t="shared" si="1"/>
        <v>II</v>
      </c>
      <c r="C16" s="45">
        <f t="shared" si="2"/>
        <v>54802.8234</v>
      </c>
      <c r="D16" t="str">
        <f t="shared" si="3"/>
        <v>vis</v>
      </c>
      <c r="E16">
        <f>VLOOKUP(C16,A!C$21:E$973,3,FALSE)</f>
        <v>8727.99320049627</v>
      </c>
      <c r="F16" s="54" t="s">
        <v>66</v>
      </c>
      <c r="G16" t="str">
        <f t="shared" si="4"/>
        <v>54802.8234</v>
      </c>
      <c r="H16" s="45">
        <f t="shared" si="5"/>
        <v>17456.5</v>
      </c>
      <c r="I16" s="55" t="s">
        <v>106</v>
      </c>
      <c r="J16" s="56" t="s">
        <v>107</v>
      </c>
      <c r="K16" s="55" t="s">
        <v>108</v>
      </c>
      <c r="L16" s="55" t="s">
        <v>109</v>
      </c>
      <c r="M16" s="56" t="s">
        <v>82</v>
      </c>
      <c r="N16" s="56" t="s">
        <v>66</v>
      </c>
      <c r="O16" s="57" t="s">
        <v>90</v>
      </c>
      <c r="P16" s="58" t="s">
        <v>110</v>
      </c>
    </row>
    <row r="17" spans="1:16" ht="12.75" customHeight="1">
      <c r="A17" s="45" t="str">
        <f t="shared" si="0"/>
        <v>IBVS 5920 </v>
      </c>
      <c r="B17" s="54" t="str">
        <f t="shared" si="1"/>
        <v>II</v>
      </c>
      <c r="C17" s="45">
        <f t="shared" si="2"/>
        <v>55158.8996</v>
      </c>
      <c r="D17" t="str">
        <f t="shared" si="3"/>
        <v>vis</v>
      </c>
      <c r="E17">
        <f>VLOOKUP(C17,A!C$21:E$973,3,FALSE)</f>
        <v>8871.992192395512</v>
      </c>
      <c r="F17" s="54" t="s">
        <v>66</v>
      </c>
      <c r="G17" t="str">
        <f t="shared" si="4"/>
        <v>55158.8996</v>
      </c>
      <c r="H17" s="45">
        <f t="shared" si="5"/>
        <v>17744.5</v>
      </c>
      <c r="I17" s="55" t="s">
        <v>111</v>
      </c>
      <c r="J17" s="56" t="s">
        <v>112</v>
      </c>
      <c r="K17" s="55" t="s">
        <v>113</v>
      </c>
      <c r="L17" s="55" t="s">
        <v>114</v>
      </c>
      <c r="M17" s="56" t="s">
        <v>82</v>
      </c>
      <c r="N17" s="56" t="s">
        <v>66</v>
      </c>
      <c r="O17" s="57" t="s">
        <v>90</v>
      </c>
      <c r="P17" s="58" t="s">
        <v>115</v>
      </c>
    </row>
    <row r="18" spans="1:16" ht="12.75" customHeight="1">
      <c r="A18" s="45" t="str">
        <f t="shared" si="0"/>
        <v>BAVM 215 </v>
      </c>
      <c r="B18" s="54" t="str">
        <f t="shared" si="1"/>
        <v>II</v>
      </c>
      <c r="C18" s="45">
        <f t="shared" si="2"/>
        <v>55600.3481</v>
      </c>
      <c r="D18" t="str">
        <f t="shared" si="3"/>
        <v>vis</v>
      </c>
      <c r="E18">
        <f>VLOOKUP(C18,A!C$21:E$973,3,FALSE)</f>
        <v>9050.516168374343</v>
      </c>
      <c r="F18" s="54" t="s">
        <v>66</v>
      </c>
      <c r="G18" t="str">
        <f t="shared" si="4"/>
        <v>55600.3481</v>
      </c>
      <c r="H18" s="45">
        <f t="shared" si="5"/>
        <v>18101.5</v>
      </c>
      <c r="I18" s="55" t="s">
        <v>116</v>
      </c>
      <c r="J18" s="56" t="s">
        <v>117</v>
      </c>
      <c r="K18" s="55" t="s">
        <v>118</v>
      </c>
      <c r="L18" s="55" t="s">
        <v>119</v>
      </c>
      <c r="M18" s="56" t="s">
        <v>82</v>
      </c>
      <c r="N18" s="56" t="s">
        <v>104</v>
      </c>
      <c r="O18" s="57" t="s">
        <v>83</v>
      </c>
      <c r="P18" s="58" t="s">
        <v>120</v>
      </c>
    </row>
    <row r="19" spans="1:16" ht="12.75" customHeight="1">
      <c r="A19" s="45" t="str">
        <f t="shared" si="0"/>
        <v>IBVS 6114 </v>
      </c>
      <c r="B19" s="54" t="str">
        <f t="shared" si="1"/>
        <v>II</v>
      </c>
      <c r="C19" s="45">
        <f t="shared" si="2"/>
        <v>55894.60455</v>
      </c>
      <c r="D19" t="str">
        <f t="shared" si="3"/>
        <v>vis</v>
      </c>
      <c r="E19">
        <f>VLOOKUP(C19,A!C$21:E$973,3,FALSE)</f>
        <v>9169.514944927925</v>
      </c>
      <c r="F19" s="54" t="s">
        <v>66</v>
      </c>
      <c r="G19" t="str">
        <f t="shared" si="4"/>
        <v>55894.60455</v>
      </c>
      <c r="H19" s="45">
        <f t="shared" si="5"/>
        <v>18339.5</v>
      </c>
      <c r="I19" s="55" t="s">
        <v>121</v>
      </c>
      <c r="J19" s="56" t="s">
        <v>122</v>
      </c>
      <c r="K19" s="55" t="s">
        <v>123</v>
      </c>
      <c r="L19" s="55" t="s">
        <v>124</v>
      </c>
      <c r="M19" s="56" t="s">
        <v>82</v>
      </c>
      <c r="N19" s="56" t="s">
        <v>67</v>
      </c>
      <c r="O19" s="57" t="s">
        <v>125</v>
      </c>
      <c r="P19" s="58" t="s">
        <v>126</v>
      </c>
    </row>
    <row r="20" spans="1:16" ht="12.75" customHeight="1">
      <c r="A20" s="45" t="str">
        <f t="shared" si="0"/>
        <v>OEJV 0160 </v>
      </c>
      <c r="B20" s="54" t="str">
        <f t="shared" si="1"/>
        <v>II</v>
      </c>
      <c r="C20" s="45">
        <f t="shared" si="2"/>
        <v>56008.34982</v>
      </c>
      <c r="D20" t="str">
        <f t="shared" si="3"/>
        <v>vis</v>
      </c>
      <c r="E20">
        <f>VLOOKUP(C20,A!C$21:E$973,3,FALSE)</f>
        <v>9215.514099640619</v>
      </c>
      <c r="F20" s="54" t="s">
        <v>66</v>
      </c>
      <c r="G20" t="str">
        <f t="shared" si="4"/>
        <v>56008.34982</v>
      </c>
      <c r="H20" s="45">
        <f t="shared" si="5"/>
        <v>18431.5</v>
      </c>
      <c r="I20" s="55" t="s">
        <v>127</v>
      </c>
      <c r="J20" s="56" t="s">
        <v>128</v>
      </c>
      <c r="K20" s="55" t="s">
        <v>129</v>
      </c>
      <c r="L20" s="55" t="s">
        <v>130</v>
      </c>
      <c r="M20" s="56" t="s">
        <v>82</v>
      </c>
      <c r="N20" s="56" t="s">
        <v>69</v>
      </c>
      <c r="O20" s="57" t="s">
        <v>131</v>
      </c>
      <c r="P20" s="58" t="s">
        <v>132</v>
      </c>
    </row>
    <row r="21" spans="1:16" ht="12.75" customHeight="1">
      <c r="A21" s="45" t="str">
        <f t="shared" si="0"/>
        <v>OEJV 0160 </v>
      </c>
      <c r="B21" s="54" t="str">
        <f t="shared" si="1"/>
        <v>II</v>
      </c>
      <c r="C21" s="45">
        <f t="shared" si="2"/>
        <v>56013.29617</v>
      </c>
      <c r="D21" t="str">
        <f t="shared" si="3"/>
        <v>vis</v>
      </c>
      <c r="E21">
        <f>VLOOKUP(C21,A!C$21:E$973,3,FALSE)</f>
        <v>9217.514428260112</v>
      </c>
      <c r="F21" s="54" t="s">
        <v>66</v>
      </c>
      <c r="G21" t="str">
        <f t="shared" si="4"/>
        <v>56013.29617</v>
      </c>
      <c r="H21" s="45">
        <f t="shared" si="5"/>
        <v>18435.5</v>
      </c>
      <c r="I21" s="55" t="s">
        <v>133</v>
      </c>
      <c r="J21" s="56" t="s">
        <v>134</v>
      </c>
      <c r="K21" s="55" t="s">
        <v>135</v>
      </c>
      <c r="L21" s="55" t="s">
        <v>136</v>
      </c>
      <c r="M21" s="56" t="s">
        <v>82</v>
      </c>
      <c r="N21" s="56" t="s">
        <v>69</v>
      </c>
      <c r="O21" s="57" t="s">
        <v>131</v>
      </c>
      <c r="P21" s="58" t="s">
        <v>132</v>
      </c>
    </row>
    <row r="22" spans="1:16" ht="12.75" customHeight="1">
      <c r="A22" s="45" t="str">
        <f t="shared" si="0"/>
        <v> AHSB 7.7.354 </v>
      </c>
      <c r="B22" s="54" t="str">
        <f t="shared" si="1"/>
        <v>I</v>
      </c>
      <c r="C22" s="45">
        <f t="shared" si="2"/>
        <v>29250.493</v>
      </c>
      <c r="D22" t="str">
        <f t="shared" si="3"/>
        <v>vis</v>
      </c>
      <c r="E22">
        <f>VLOOKUP(C22,A!C$21:E$973,3,FALSE)</f>
        <v>-1605.496704968807</v>
      </c>
      <c r="F22" s="54" t="s">
        <v>66</v>
      </c>
      <c r="G22" t="str">
        <f t="shared" si="4"/>
        <v>29250.493</v>
      </c>
      <c r="H22" s="45">
        <f t="shared" si="5"/>
        <v>-3211</v>
      </c>
      <c r="I22" s="55" t="s">
        <v>137</v>
      </c>
      <c r="J22" s="56" t="s">
        <v>138</v>
      </c>
      <c r="K22" s="55">
        <v>-3211</v>
      </c>
      <c r="L22" s="55" t="s">
        <v>139</v>
      </c>
      <c r="M22" s="56" t="s">
        <v>140</v>
      </c>
      <c r="N22" s="56"/>
      <c r="O22" s="57" t="s">
        <v>141</v>
      </c>
      <c r="P22" s="57" t="s">
        <v>59</v>
      </c>
    </row>
    <row r="23" spans="1:16" ht="12.75" customHeight="1">
      <c r="A23" s="45" t="str">
        <f t="shared" si="0"/>
        <v> AHSB 7.7.354 </v>
      </c>
      <c r="B23" s="54" t="str">
        <f t="shared" si="1"/>
        <v>I</v>
      </c>
      <c r="C23" s="45">
        <f t="shared" si="2"/>
        <v>31803.572</v>
      </c>
      <c r="D23" t="str">
        <f t="shared" si="3"/>
        <v>vis</v>
      </c>
      <c r="E23">
        <f>VLOOKUP(C23,A!C$21:E$973,3,FALSE)</f>
        <v>-573.0188189457426</v>
      </c>
      <c r="F23" s="54" t="s">
        <v>66</v>
      </c>
      <c r="G23" t="str">
        <f t="shared" si="4"/>
        <v>31803.572</v>
      </c>
      <c r="H23" s="45">
        <f t="shared" si="5"/>
        <v>-1146</v>
      </c>
      <c r="I23" s="55" t="s">
        <v>142</v>
      </c>
      <c r="J23" s="56" t="s">
        <v>143</v>
      </c>
      <c r="K23" s="55">
        <v>-1146</v>
      </c>
      <c r="L23" s="55" t="s">
        <v>144</v>
      </c>
      <c r="M23" s="56" t="s">
        <v>140</v>
      </c>
      <c r="N23" s="56"/>
      <c r="O23" s="57" t="s">
        <v>141</v>
      </c>
      <c r="P23" s="57" t="s">
        <v>59</v>
      </c>
    </row>
    <row r="24" spans="1:16" ht="12.75" customHeight="1">
      <c r="A24" s="45" t="str">
        <f t="shared" si="0"/>
        <v> AHSB 7.7.354 </v>
      </c>
      <c r="B24" s="54" t="str">
        <f t="shared" si="1"/>
        <v>I</v>
      </c>
      <c r="C24" s="45">
        <f t="shared" si="2"/>
        <v>31917.328</v>
      </c>
      <c r="D24" t="str">
        <f t="shared" si="3"/>
        <v>vis</v>
      </c>
      <c r="E24">
        <f>VLOOKUP(C24,A!C$21:E$973,3,FALSE)</f>
        <v>-527.0153249675144</v>
      </c>
      <c r="F24" s="54" t="s">
        <v>66</v>
      </c>
      <c r="G24" t="str">
        <f t="shared" si="4"/>
        <v>31917.328</v>
      </c>
      <c r="H24" s="45">
        <f t="shared" si="5"/>
        <v>-1054</v>
      </c>
      <c r="I24" s="55" t="s">
        <v>145</v>
      </c>
      <c r="J24" s="56" t="s">
        <v>146</v>
      </c>
      <c r="K24" s="55">
        <v>-1054</v>
      </c>
      <c r="L24" s="55" t="s">
        <v>147</v>
      </c>
      <c r="M24" s="56" t="s">
        <v>140</v>
      </c>
      <c r="N24" s="56"/>
      <c r="O24" s="57" t="s">
        <v>141</v>
      </c>
      <c r="P24" s="57" t="s">
        <v>59</v>
      </c>
    </row>
    <row r="25" spans="1:16" ht="12.75" customHeight="1">
      <c r="A25" s="45" t="str">
        <f t="shared" si="0"/>
        <v> AHSB 7.7.354 </v>
      </c>
      <c r="B25" s="54" t="str">
        <f t="shared" si="1"/>
        <v>I</v>
      </c>
      <c r="C25" s="45">
        <f t="shared" si="2"/>
        <v>32231.423</v>
      </c>
      <c r="D25" t="str">
        <f t="shared" si="3"/>
        <v>vis</v>
      </c>
      <c r="E25">
        <f>VLOOKUP(C25,A!C$21:E$973,3,FALSE)</f>
        <v>-399.99373981076377</v>
      </c>
      <c r="F25" s="54" t="s">
        <v>66</v>
      </c>
      <c r="G25" t="str">
        <f t="shared" si="4"/>
        <v>32231.423</v>
      </c>
      <c r="H25" s="45">
        <f t="shared" si="5"/>
        <v>-800</v>
      </c>
      <c r="I25" s="55" t="s">
        <v>148</v>
      </c>
      <c r="J25" s="56" t="s">
        <v>149</v>
      </c>
      <c r="K25" s="55">
        <v>-800</v>
      </c>
      <c r="L25" s="55" t="s">
        <v>150</v>
      </c>
      <c r="M25" s="56" t="s">
        <v>140</v>
      </c>
      <c r="N25" s="56"/>
      <c r="O25" s="57" t="s">
        <v>141</v>
      </c>
      <c r="P25" s="57" t="s">
        <v>59</v>
      </c>
    </row>
    <row r="26" spans="1:16" ht="12.75" customHeight="1">
      <c r="A26" s="45" t="str">
        <f t="shared" si="0"/>
        <v> AHSB 7.7.354 </v>
      </c>
      <c r="B26" s="54" t="str">
        <f t="shared" si="1"/>
        <v>I</v>
      </c>
      <c r="C26" s="45">
        <f t="shared" si="2"/>
        <v>32257.387</v>
      </c>
      <c r="D26" t="str">
        <f t="shared" si="3"/>
        <v>vis</v>
      </c>
      <c r="E26">
        <f>VLOOKUP(C26,A!C$21:E$973,3,FALSE)</f>
        <v>-389.49376866505975</v>
      </c>
      <c r="F26" s="54" t="s">
        <v>66</v>
      </c>
      <c r="G26" t="str">
        <f t="shared" si="4"/>
        <v>32257.387</v>
      </c>
      <c r="H26" s="45">
        <f t="shared" si="5"/>
        <v>-779</v>
      </c>
      <c r="I26" s="55" t="s">
        <v>151</v>
      </c>
      <c r="J26" s="56" t="s">
        <v>152</v>
      </c>
      <c r="K26" s="55">
        <v>-779</v>
      </c>
      <c r="L26" s="55" t="s">
        <v>150</v>
      </c>
      <c r="M26" s="56" t="s">
        <v>140</v>
      </c>
      <c r="N26" s="56"/>
      <c r="O26" s="57" t="s">
        <v>141</v>
      </c>
      <c r="P26" s="57" t="s">
        <v>59</v>
      </c>
    </row>
    <row r="27" spans="1:16" ht="12.75" customHeight="1">
      <c r="A27" s="45" t="str">
        <f t="shared" si="0"/>
        <v> AHSB 7.7.354 </v>
      </c>
      <c r="B27" s="54" t="str">
        <f t="shared" si="1"/>
        <v>I</v>
      </c>
      <c r="C27" s="45">
        <f t="shared" si="2"/>
        <v>32916.382</v>
      </c>
      <c r="D27" t="str">
        <f t="shared" si="3"/>
        <v>vis</v>
      </c>
      <c r="E27">
        <f>VLOOKUP(C27,A!C$21:E$973,3,FALSE)</f>
        <v>-122.99290265199556</v>
      </c>
      <c r="F27" s="54" t="s">
        <v>66</v>
      </c>
      <c r="G27" t="str">
        <f t="shared" si="4"/>
        <v>32916.382</v>
      </c>
      <c r="H27" s="45">
        <f t="shared" si="5"/>
        <v>-246</v>
      </c>
      <c r="I27" s="55" t="s">
        <v>153</v>
      </c>
      <c r="J27" s="56" t="s">
        <v>154</v>
      </c>
      <c r="K27" s="55">
        <v>-246</v>
      </c>
      <c r="L27" s="55" t="s">
        <v>155</v>
      </c>
      <c r="M27" s="56" t="s">
        <v>140</v>
      </c>
      <c r="N27" s="56"/>
      <c r="O27" s="57" t="s">
        <v>141</v>
      </c>
      <c r="P27" s="57" t="s">
        <v>59</v>
      </c>
    </row>
    <row r="28" spans="1:16" ht="12.75" customHeight="1">
      <c r="A28" s="45" t="str">
        <f t="shared" si="0"/>
        <v> AHSB 7.7.354 </v>
      </c>
      <c r="B28" s="54" t="str">
        <f t="shared" si="1"/>
        <v>I</v>
      </c>
      <c r="C28" s="45">
        <f t="shared" si="2"/>
        <v>32948.464</v>
      </c>
      <c r="D28" t="str">
        <f t="shared" si="3"/>
        <v>vis</v>
      </c>
      <c r="E28">
        <f>VLOOKUP(C28,A!C$21:E$973,3,FALSE)</f>
        <v>-110.01878178092414</v>
      </c>
      <c r="F28" s="54" t="s">
        <v>66</v>
      </c>
      <c r="G28" t="str">
        <f t="shared" si="4"/>
        <v>32948.464</v>
      </c>
      <c r="H28" s="45">
        <f t="shared" si="5"/>
        <v>-220</v>
      </c>
      <c r="I28" s="55" t="s">
        <v>156</v>
      </c>
      <c r="J28" s="56" t="s">
        <v>157</v>
      </c>
      <c r="K28" s="55">
        <v>-220</v>
      </c>
      <c r="L28" s="55" t="s">
        <v>158</v>
      </c>
      <c r="M28" s="56" t="s">
        <v>140</v>
      </c>
      <c r="N28" s="56"/>
      <c r="O28" s="57" t="s">
        <v>141</v>
      </c>
      <c r="P28" s="57" t="s">
        <v>59</v>
      </c>
    </row>
    <row r="29" spans="1:16" ht="12.75" customHeight="1">
      <c r="A29" s="45" t="str">
        <f t="shared" si="0"/>
        <v> AHSB 7.7.354 </v>
      </c>
      <c r="B29" s="54" t="str">
        <f t="shared" si="1"/>
        <v>I</v>
      </c>
      <c r="C29" s="45">
        <f t="shared" si="2"/>
        <v>33005.348</v>
      </c>
      <c r="D29" t="str">
        <f t="shared" si="3"/>
        <v>vis</v>
      </c>
      <c r="E29">
        <f>VLOOKUP(C29,A!C$21:E$973,3,FALSE)</f>
        <v>-87.0146083618744</v>
      </c>
      <c r="F29" s="54" t="s">
        <v>66</v>
      </c>
      <c r="G29" t="str">
        <f t="shared" si="4"/>
        <v>33005.348</v>
      </c>
      <c r="H29" s="45">
        <f t="shared" si="5"/>
        <v>-174</v>
      </c>
      <c r="I29" s="55" t="s">
        <v>159</v>
      </c>
      <c r="J29" s="56" t="s">
        <v>160</v>
      </c>
      <c r="K29" s="55">
        <v>-174</v>
      </c>
      <c r="L29" s="55" t="s">
        <v>161</v>
      </c>
      <c r="M29" s="56" t="s">
        <v>140</v>
      </c>
      <c r="N29" s="56"/>
      <c r="O29" s="57" t="s">
        <v>141</v>
      </c>
      <c r="P29" s="57" t="s">
        <v>59</v>
      </c>
    </row>
    <row r="30" spans="1:16" ht="12.75" customHeight="1">
      <c r="A30" s="45" t="str">
        <f t="shared" si="0"/>
        <v> AHSB 7.7.354 </v>
      </c>
      <c r="B30" s="54" t="str">
        <f t="shared" si="1"/>
        <v>I</v>
      </c>
      <c r="C30" s="45">
        <f t="shared" si="2"/>
        <v>33220.513</v>
      </c>
      <c r="D30" t="str">
        <f t="shared" si="3"/>
        <v>vis</v>
      </c>
      <c r="E30">
        <f>VLOOKUP(C30,A!C$21:E$973,3,FALSE)</f>
        <v>-0.0008088099790358288</v>
      </c>
      <c r="F30" s="54" t="s">
        <v>66</v>
      </c>
      <c r="G30" t="str">
        <f t="shared" si="4"/>
        <v>33220.513</v>
      </c>
      <c r="H30" s="45">
        <f t="shared" si="5"/>
        <v>0</v>
      </c>
      <c r="I30" s="55" t="s">
        <v>162</v>
      </c>
      <c r="J30" s="56" t="s">
        <v>163</v>
      </c>
      <c r="K30" s="55">
        <v>0</v>
      </c>
      <c r="L30" s="55" t="s">
        <v>164</v>
      </c>
      <c r="M30" s="56" t="s">
        <v>140</v>
      </c>
      <c r="N30" s="56"/>
      <c r="O30" s="57" t="s">
        <v>141</v>
      </c>
      <c r="P30" s="57" t="s">
        <v>59</v>
      </c>
    </row>
    <row r="31" spans="1:16" ht="12.75" customHeight="1">
      <c r="A31" s="45" t="str">
        <f t="shared" si="0"/>
        <v> AHSB 7.7.354 </v>
      </c>
      <c r="B31" s="54" t="str">
        <f t="shared" si="1"/>
        <v>I</v>
      </c>
      <c r="C31" s="45">
        <f t="shared" si="2"/>
        <v>34087.307</v>
      </c>
      <c r="D31" t="str">
        <f t="shared" si="3"/>
        <v>vis</v>
      </c>
      <c r="E31">
        <f>VLOOKUP(C31,A!C$21:E$973,3,FALSE)</f>
        <v>350.53500960279916</v>
      </c>
      <c r="F31" s="54" t="s">
        <v>66</v>
      </c>
      <c r="G31" t="str">
        <f t="shared" si="4"/>
        <v>34087.307</v>
      </c>
      <c r="H31" s="45">
        <f t="shared" si="5"/>
        <v>701</v>
      </c>
      <c r="I31" s="55" t="s">
        <v>165</v>
      </c>
      <c r="J31" s="56" t="s">
        <v>166</v>
      </c>
      <c r="K31" s="55">
        <v>701</v>
      </c>
      <c r="L31" s="55" t="s">
        <v>167</v>
      </c>
      <c r="M31" s="56" t="s">
        <v>140</v>
      </c>
      <c r="N31" s="56"/>
      <c r="O31" s="57" t="s">
        <v>141</v>
      </c>
      <c r="P31" s="57" t="s">
        <v>59</v>
      </c>
    </row>
    <row r="32" spans="1:16" ht="12.75" customHeight="1">
      <c r="A32" s="45" t="str">
        <f t="shared" si="0"/>
        <v> AHSB 7.7.354 </v>
      </c>
      <c r="B32" s="54" t="str">
        <f t="shared" si="1"/>
        <v>I</v>
      </c>
      <c r="C32" s="45">
        <f t="shared" si="2"/>
        <v>34664.573</v>
      </c>
      <c r="D32" t="str">
        <f t="shared" si="3"/>
        <v>vis</v>
      </c>
      <c r="E32">
        <f>VLOOKUP(C32,A!C$21:E$973,3,FALSE)</f>
        <v>583.984260234286</v>
      </c>
      <c r="F32" s="54" t="s">
        <v>66</v>
      </c>
      <c r="G32" t="str">
        <f t="shared" si="4"/>
        <v>34664.573</v>
      </c>
      <c r="H32" s="45">
        <f t="shared" si="5"/>
        <v>1168</v>
      </c>
      <c r="I32" s="55" t="s">
        <v>168</v>
      </c>
      <c r="J32" s="56" t="s">
        <v>169</v>
      </c>
      <c r="K32" s="55">
        <v>1168</v>
      </c>
      <c r="L32" s="55" t="s">
        <v>170</v>
      </c>
      <c r="M32" s="56" t="s">
        <v>140</v>
      </c>
      <c r="N32" s="56"/>
      <c r="O32" s="57" t="s">
        <v>141</v>
      </c>
      <c r="P32" s="57" t="s">
        <v>59</v>
      </c>
    </row>
    <row r="33" spans="1:16" ht="12.75" customHeight="1">
      <c r="A33" s="45" t="str">
        <f t="shared" si="0"/>
        <v> AHSB 7.7.354 </v>
      </c>
      <c r="B33" s="54" t="str">
        <f t="shared" si="1"/>
        <v>I</v>
      </c>
      <c r="C33" s="45">
        <f t="shared" si="2"/>
        <v>34773.344</v>
      </c>
      <c r="D33" t="str">
        <f t="shared" si="3"/>
        <v>vis</v>
      </c>
      <c r="E33">
        <f>VLOOKUP(C33,A!C$21:E$973,3,FALSE)</f>
        <v>627.9717953401779</v>
      </c>
      <c r="F33" s="54" t="s">
        <v>66</v>
      </c>
      <c r="G33" t="str">
        <f t="shared" si="4"/>
        <v>34773.344</v>
      </c>
      <c r="H33" s="45">
        <f t="shared" si="5"/>
        <v>1256</v>
      </c>
      <c r="I33" s="55" t="s">
        <v>171</v>
      </c>
      <c r="J33" s="56" t="s">
        <v>172</v>
      </c>
      <c r="K33" s="55">
        <v>1256</v>
      </c>
      <c r="L33" s="55" t="s">
        <v>173</v>
      </c>
      <c r="M33" s="56" t="s">
        <v>140</v>
      </c>
      <c r="N33" s="56"/>
      <c r="O33" s="57" t="s">
        <v>141</v>
      </c>
      <c r="P33" s="57" t="s">
        <v>59</v>
      </c>
    </row>
    <row r="34" spans="1:16" ht="12.75" customHeight="1">
      <c r="A34" s="45" t="str">
        <f t="shared" si="0"/>
        <v> AHSB 7.7.354 </v>
      </c>
      <c r="B34" s="54" t="str">
        <f t="shared" si="1"/>
        <v>I</v>
      </c>
      <c r="C34" s="45">
        <f t="shared" si="2"/>
        <v>34778.346</v>
      </c>
      <c r="D34" t="str">
        <f t="shared" si="3"/>
        <v>vis</v>
      </c>
      <c r="E34">
        <f>VLOOKUP(C34,A!C$21:E$973,3,FALSE)</f>
        <v>629.9946290973346</v>
      </c>
      <c r="F34" s="54" t="s">
        <v>66</v>
      </c>
      <c r="G34" t="str">
        <f t="shared" si="4"/>
        <v>34778.346</v>
      </c>
      <c r="H34" s="45">
        <f t="shared" si="5"/>
        <v>1260</v>
      </c>
      <c r="I34" s="55" t="s">
        <v>174</v>
      </c>
      <c r="J34" s="56" t="s">
        <v>175</v>
      </c>
      <c r="K34" s="55">
        <v>1260</v>
      </c>
      <c r="L34" s="55" t="s">
        <v>176</v>
      </c>
      <c r="M34" s="56" t="s">
        <v>140</v>
      </c>
      <c r="N34" s="56"/>
      <c r="O34" s="57" t="s">
        <v>141</v>
      </c>
      <c r="P34" s="57" t="s">
        <v>59</v>
      </c>
    </row>
    <row r="35" spans="1:16" ht="12.75" customHeight="1">
      <c r="A35" s="45" t="str">
        <f t="shared" si="0"/>
        <v> AHSB 7.7.354 </v>
      </c>
      <c r="B35" s="54" t="str">
        <f t="shared" si="1"/>
        <v>I</v>
      </c>
      <c r="C35" s="45">
        <f t="shared" si="2"/>
        <v>34825.315</v>
      </c>
      <c r="D35" t="str">
        <f t="shared" si="3"/>
        <v>vis</v>
      </c>
      <c r="E35">
        <f>VLOOKUP(C35,A!C$21:E$973,3,FALSE)</f>
        <v>648.9891270461337</v>
      </c>
      <c r="F35" s="54" t="s">
        <v>66</v>
      </c>
      <c r="G35" t="str">
        <f t="shared" si="4"/>
        <v>34825.315</v>
      </c>
      <c r="H35" s="45">
        <f t="shared" si="5"/>
        <v>1298</v>
      </c>
      <c r="I35" s="55" t="s">
        <v>177</v>
      </c>
      <c r="J35" s="56" t="s">
        <v>178</v>
      </c>
      <c r="K35" s="55">
        <v>1298</v>
      </c>
      <c r="L35" s="55" t="s">
        <v>161</v>
      </c>
      <c r="M35" s="56" t="s">
        <v>140</v>
      </c>
      <c r="N35" s="56"/>
      <c r="O35" s="57" t="s">
        <v>141</v>
      </c>
      <c r="P35" s="57" t="s">
        <v>59</v>
      </c>
    </row>
    <row r="36" spans="1:16" ht="12.75" customHeight="1">
      <c r="A36" s="45" t="str">
        <f t="shared" si="0"/>
        <v> AHSB 7.7.354 </v>
      </c>
      <c r="B36" s="54" t="str">
        <f t="shared" si="1"/>
        <v>I</v>
      </c>
      <c r="C36" s="45">
        <f t="shared" si="2"/>
        <v>35129.479</v>
      </c>
      <c r="D36" t="str">
        <f t="shared" si="3"/>
        <v>vis</v>
      </c>
      <c r="E36">
        <f>VLOOKUP(C36,A!C$21:E$973,3,FALSE)</f>
        <v>771.9945662527999</v>
      </c>
      <c r="F36" s="54" t="s">
        <v>66</v>
      </c>
      <c r="G36" t="str">
        <f t="shared" si="4"/>
        <v>35129.479</v>
      </c>
      <c r="H36" s="45">
        <f t="shared" si="5"/>
        <v>1544</v>
      </c>
      <c r="I36" s="55" t="s">
        <v>179</v>
      </c>
      <c r="J36" s="56" t="s">
        <v>180</v>
      </c>
      <c r="K36" s="55">
        <v>1544</v>
      </c>
      <c r="L36" s="55" t="s">
        <v>181</v>
      </c>
      <c r="M36" s="56" t="s">
        <v>140</v>
      </c>
      <c r="N36" s="56"/>
      <c r="O36" s="57" t="s">
        <v>141</v>
      </c>
      <c r="P36" s="57" t="s">
        <v>59</v>
      </c>
    </row>
    <row r="37" spans="1:16" ht="12.75" customHeight="1">
      <c r="A37" s="45" t="str">
        <f t="shared" si="0"/>
        <v> AHSB 7.7.354 </v>
      </c>
      <c r="B37" s="54" t="str">
        <f t="shared" si="1"/>
        <v>I</v>
      </c>
      <c r="C37" s="45">
        <f t="shared" si="2"/>
        <v>35160.483</v>
      </c>
      <c r="D37" t="str">
        <f t="shared" si="3"/>
        <v>vis</v>
      </c>
      <c r="E37">
        <f>VLOOKUP(C37,A!C$21:E$973,3,FALSE)</f>
        <v>784.5327385452593</v>
      </c>
      <c r="F37" s="54" t="s">
        <v>66</v>
      </c>
      <c r="G37" t="str">
        <f t="shared" si="4"/>
        <v>35160.483</v>
      </c>
      <c r="H37" s="45">
        <f t="shared" si="5"/>
        <v>1569</v>
      </c>
      <c r="I37" s="55" t="s">
        <v>182</v>
      </c>
      <c r="J37" s="56" t="s">
        <v>183</v>
      </c>
      <c r="K37" s="55">
        <v>1569</v>
      </c>
      <c r="L37" s="55" t="s">
        <v>184</v>
      </c>
      <c r="M37" s="56" t="s">
        <v>140</v>
      </c>
      <c r="N37" s="56"/>
      <c r="O37" s="57" t="s">
        <v>141</v>
      </c>
      <c r="P37" s="57" t="s">
        <v>59</v>
      </c>
    </row>
    <row r="38" spans="1:16" ht="12.75" customHeight="1">
      <c r="A38" s="45" t="str">
        <f t="shared" si="0"/>
        <v> AHSB 7.7.354 </v>
      </c>
      <c r="B38" s="54" t="str">
        <f t="shared" si="1"/>
        <v>I</v>
      </c>
      <c r="C38" s="45">
        <f t="shared" si="2"/>
        <v>35165.359</v>
      </c>
      <c r="D38" t="str">
        <f t="shared" si="3"/>
        <v>vis</v>
      </c>
      <c r="E38">
        <f>VLOOKUP(C38,A!C$21:E$973,3,FALSE)</f>
        <v>786.5046172737456</v>
      </c>
      <c r="F38" s="54" t="s">
        <v>66</v>
      </c>
      <c r="G38" t="str">
        <f t="shared" si="4"/>
        <v>35165.359</v>
      </c>
      <c r="H38" s="45">
        <f t="shared" si="5"/>
        <v>1573</v>
      </c>
      <c r="I38" s="55" t="s">
        <v>185</v>
      </c>
      <c r="J38" s="56" t="s">
        <v>186</v>
      </c>
      <c r="K38" s="55">
        <v>1573</v>
      </c>
      <c r="L38" s="55" t="s">
        <v>187</v>
      </c>
      <c r="M38" s="56" t="s">
        <v>140</v>
      </c>
      <c r="N38" s="56"/>
      <c r="O38" s="57" t="s">
        <v>141</v>
      </c>
      <c r="P38" s="57" t="s">
        <v>59</v>
      </c>
    </row>
    <row r="39" spans="1:16" ht="12.75" customHeight="1">
      <c r="A39" s="45" t="str">
        <f t="shared" si="0"/>
        <v> AHSB 7.7.354 </v>
      </c>
      <c r="B39" s="54" t="str">
        <f t="shared" si="1"/>
        <v>I</v>
      </c>
      <c r="C39" s="45">
        <f t="shared" si="2"/>
        <v>35186.353</v>
      </c>
      <c r="D39" t="str">
        <f t="shared" si="3"/>
        <v>vis</v>
      </c>
      <c r="E39">
        <f>VLOOKUP(C39,A!C$21:E$973,3,FALSE)</f>
        <v>794.9946956219575</v>
      </c>
      <c r="F39" s="54" t="s">
        <v>66</v>
      </c>
      <c r="G39" t="str">
        <f t="shared" si="4"/>
        <v>35186.353</v>
      </c>
      <c r="H39" s="45">
        <f t="shared" si="5"/>
        <v>1590</v>
      </c>
      <c r="I39" s="55" t="s">
        <v>188</v>
      </c>
      <c r="J39" s="56" t="s">
        <v>189</v>
      </c>
      <c r="K39" s="55">
        <v>1590</v>
      </c>
      <c r="L39" s="55" t="s">
        <v>181</v>
      </c>
      <c r="M39" s="56" t="s">
        <v>140</v>
      </c>
      <c r="N39" s="56"/>
      <c r="O39" s="57" t="s">
        <v>141</v>
      </c>
      <c r="P39" s="57" t="s">
        <v>59</v>
      </c>
    </row>
    <row r="40" spans="1:16" ht="12.75" customHeight="1">
      <c r="A40" s="45" t="str">
        <f t="shared" si="0"/>
        <v> AHSB 7.7.354 </v>
      </c>
      <c r="B40" s="54" t="str">
        <f t="shared" si="1"/>
        <v>I</v>
      </c>
      <c r="C40" s="45">
        <f t="shared" si="2"/>
        <v>35432.479</v>
      </c>
      <c r="D40" t="str">
        <f t="shared" si="3"/>
        <v>vis</v>
      </c>
      <c r="E40">
        <f>VLOOKUP(C40,A!C$21:E$973,3,FALSE)</f>
        <v>894.5292780517643</v>
      </c>
      <c r="F40" s="54" t="s">
        <v>66</v>
      </c>
      <c r="G40" t="str">
        <f t="shared" si="4"/>
        <v>35432.479</v>
      </c>
      <c r="H40" s="45">
        <f t="shared" si="5"/>
        <v>1789</v>
      </c>
      <c r="I40" s="55" t="s">
        <v>190</v>
      </c>
      <c r="J40" s="56" t="s">
        <v>191</v>
      </c>
      <c r="K40" s="55">
        <v>1789</v>
      </c>
      <c r="L40" s="55" t="s">
        <v>192</v>
      </c>
      <c r="M40" s="56" t="s">
        <v>140</v>
      </c>
      <c r="N40" s="56"/>
      <c r="O40" s="57" t="s">
        <v>141</v>
      </c>
      <c r="P40" s="57" t="s">
        <v>59</v>
      </c>
    </row>
    <row r="41" spans="1:16" ht="12.75" customHeight="1">
      <c r="A41" s="45" t="str">
        <f t="shared" si="0"/>
        <v> AHSB 7.7.354 </v>
      </c>
      <c r="B41" s="54" t="str">
        <f t="shared" si="1"/>
        <v>I</v>
      </c>
      <c r="C41" s="45">
        <f t="shared" si="2"/>
        <v>35459.628</v>
      </c>
      <c r="D41" t="str">
        <f t="shared" si="3"/>
        <v>vis</v>
      </c>
      <c r="E41">
        <f>VLOOKUP(C41,A!C$21:E$973,3,FALSE)</f>
        <v>905.5084691099485</v>
      </c>
      <c r="F41" s="54" t="s">
        <v>66</v>
      </c>
      <c r="G41" t="str">
        <f t="shared" si="4"/>
        <v>35459.628</v>
      </c>
      <c r="H41" s="45">
        <f t="shared" si="5"/>
        <v>1811</v>
      </c>
      <c r="I41" s="55" t="s">
        <v>193</v>
      </c>
      <c r="J41" s="56" t="s">
        <v>194</v>
      </c>
      <c r="K41" s="55">
        <v>1811</v>
      </c>
      <c r="L41" s="55" t="s">
        <v>195</v>
      </c>
      <c r="M41" s="56" t="s">
        <v>140</v>
      </c>
      <c r="N41" s="56"/>
      <c r="O41" s="57" t="s">
        <v>141</v>
      </c>
      <c r="P41" s="57" t="s">
        <v>59</v>
      </c>
    </row>
    <row r="42" spans="1:16" ht="12.75" customHeight="1">
      <c r="A42" s="45" t="str">
        <f t="shared" si="0"/>
        <v> AHSB 7.7.354 </v>
      </c>
      <c r="B42" s="54" t="str">
        <f t="shared" si="1"/>
        <v>I</v>
      </c>
      <c r="C42" s="45">
        <f t="shared" si="2"/>
        <v>36253.416</v>
      </c>
      <c r="D42" t="str">
        <f t="shared" si="3"/>
        <v>vis</v>
      </c>
      <c r="E42">
        <f>VLOOKUP(C42,A!C$21:E$973,3,FALSE)</f>
        <v>1226.5202968639962</v>
      </c>
      <c r="F42" s="54" t="s">
        <v>66</v>
      </c>
      <c r="G42" t="str">
        <f t="shared" si="4"/>
        <v>36253.416</v>
      </c>
      <c r="H42" s="45">
        <f t="shared" si="5"/>
        <v>2453</v>
      </c>
      <c r="I42" s="55" t="s">
        <v>196</v>
      </c>
      <c r="J42" s="56" t="s">
        <v>197</v>
      </c>
      <c r="K42" s="55">
        <v>2453</v>
      </c>
      <c r="L42" s="55" t="s">
        <v>198</v>
      </c>
      <c r="M42" s="56" t="s">
        <v>140</v>
      </c>
      <c r="N42" s="56"/>
      <c r="O42" s="57" t="s">
        <v>141</v>
      </c>
      <c r="P42" s="57" t="s">
        <v>59</v>
      </c>
    </row>
    <row r="43" spans="1:16" ht="12.75" customHeight="1">
      <c r="A43" s="45" t="str">
        <f t="shared" si="0"/>
        <v> AHSB 7.7.354 </v>
      </c>
      <c r="B43" s="54" t="str">
        <f t="shared" si="1"/>
        <v>I</v>
      </c>
      <c r="C43" s="45">
        <f t="shared" si="2"/>
        <v>36630.386</v>
      </c>
      <c r="D43" t="str">
        <f t="shared" si="3"/>
        <v>vis</v>
      </c>
      <c r="E43">
        <f>VLOOKUP(C43,A!C$21:E$973,3,FALSE)</f>
        <v>1378.968845731507</v>
      </c>
      <c r="F43" s="54" t="s">
        <v>66</v>
      </c>
      <c r="G43" t="str">
        <f t="shared" si="4"/>
        <v>36630.386</v>
      </c>
      <c r="H43" s="45">
        <f t="shared" si="5"/>
        <v>2758</v>
      </c>
      <c r="I43" s="55" t="s">
        <v>199</v>
      </c>
      <c r="J43" s="56" t="s">
        <v>200</v>
      </c>
      <c r="K43" s="55">
        <v>2758</v>
      </c>
      <c r="L43" s="55" t="s">
        <v>201</v>
      </c>
      <c r="M43" s="56" t="s">
        <v>140</v>
      </c>
      <c r="N43" s="56"/>
      <c r="O43" s="57" t="s">
        <v>141</v>
      </c>
      <c r="P43" s="57" t="s">
        <v>59</v>
      </c>
    </row>
    <row r="44" spans="1:16" ht="12.75" customHeight="1">
      <c r="A44" s="45" t="str">
        <f t="shared" si="0"/>
        <v>VSB 47 </v>
      </c>
      <c r="B44" s="54" t="str">
        <f t="shared" si="1"/>
        <v>II</v>
      </c>
      <c r="C44" s="45">
        <f t="shared" si="2"/>
        <v>50095.959</v>
      </c>
      <c r="D44" t="str">
        <f t="shared" si="3"/>
        <v>vis</v>
      </c>
      <c r="E44">
        <f>VLOOKUP(C44,A!C$21:E$973,3,FALSE)</f>
        <v>6824.513752539816</v>
      </c>
      <c r="F44" s="54" t="s">
        <v>66</v>
      </c>
      <c r="G44" t="str">
        <f t="shared" si="4"/>
        <v>50095.959</v>
      </c>
      <c r="H44" s="45">
        <f t="shared" si="5"/>
        <v>13649.5</v>
      </c>
      <c r="I44" s="55" t="s">
        <v>202</v>
      </c>
      <c r="J44" s="56" t="s">
        <v>203</v>
      </c>
      <c r="K44" s="55">
        <v>13649.5</v>
      </c>
      <c r="L44" s="55" t="s">
        <v>204</v>
      </c>
      <c r="M44" s="56" t="s">
        <v>82</v>
      </c>
      <c r="N44" s="56" t="s">
        <v>66</v>
      </c>
      <c r="O44" s="57" t="s">
        <v>205</v>
      </c>
      <c r="P44" s="58" t="s">
        <v>60</v>
      </c>
    </row>
    <row r="45" spans="1:16" ht="12.75" customHeight="1">
      <c r="A45" s="45" t="str">
        <f t="shared" si="0"/>
        <v>OEJV 0137 </v>
      </c>
      <c r="B45" s="54" t="str">
        <f t="shared" si="1"/>
        <v>II</v>
      </c>
      <c r="C45" s="45">
        <f t="shared" si="2"/>
        <v>55600.3459</v>
      </c>
      <c r="D45" t="str">
        <f t="shared" si="3"/>
        <v>vis</v>
      </c>
      <c r="E45">
        <f>VLOOKUP(C45,A!C$21:E$973,3,FALSE)</f>
        <v>9050.515278683364</v>
      </c>
      <c r="F45" s="54" t="s">
        <v>66</v>
      </c>
      <c r="G45" t="str">
        <f t="shared" si="4"/>
        <v>55600.3459</v>
      </c>
      <c r="H45" s="45">
        <f t="shared" si="5"/>
        <v>18101.5</v>
      </c>
      <c r="I45" s="55" t="s">
        <v>206</v>
      </c>
      <c r="J45" s="56" t="s">
        <v>207</v>
      </c>
      <c r="K45" s="55" t="s">
        <v>118</v>
      </c>
      <c r="L45" s="55" t="s">
        <v>208</v>
      </c>
      <c r="M45" s="56" t="s">
        <v>82</v>
      </c>
      <c r="N45" s="56" t="s">
        <v>209</v>
      </c>
      <c r="O45" s="57" t="s">
        <v>210</v>
      </c>
      <c r="P45" s="58" t="s">
        <v>61</v>
      </c>
    </row>
    <row r="46" spans="1:16" ht="12.75" customHeight="1">
      <c r="A46" s="45" t="str">
        <f t="shared" si="0"/>
        <v>OEJV 0137 </v>
      </c>
      <c r="B46" s="54" t="str">
        <f t="shared" si="1"/>
        <v>II</v>
      </c>
      <c r="C46" s="45">
        <f t="shared" si="2"/>
        <v>55600.3468</v>
      </c>
      <c r="D46" t="str">
        <f t="shared" si="3"/>
        <v>vis</v>
      </c>
      <c r="E46">
        <f>VLOOKUP(C46,A!C$21:E$973,3,FALSE)</f>
        <v>9050.515642647855</v>
      </c>
      <c r="F46" s="54" t="s">
        <v>66</v>
      </c>
      <c r="G46" t="str">
        <f t="shared" si="4"/>
        <v>55600.3468</v>
      </c>
      <c r="H46" s="45">
        <f t="shared" si="5"/>
        <v>18101.5</v>
      </c>
      <c r="I46" s="55" t="s">
        <v>211</v>
      </c>
      <c r="J46" s="56" t="s">
        <v>212</v>
      </c>
      <c r="K46" s="55" t="s">
        <v>118</v>
      </c>
      <c r="L46" s="55" t="s">
        <v>213</v>
      </c>
      <c r="M46" s="56" t="s">
        <v>82</v>
      </c>
      <c r="N46" s="56" t="s">
        <v>66</v>
      </c>
      <c r="O46" s="57" t="s">
        <v>210</v>
      </c>
      <c r="P46" s="58" t="s">
        <v>61</v>
      </c>
    </row>
    <row r="47" spans="1:16" ht="12.75" customHeight="1">
      <c r="A47" s="45" t="str">
        <f t="shared" si="0"/>
        <v>OEJV 0137 </v>
      </c>
      <c r="B47" s="54" t="str">
        <f t="shared" si="1"/>
        <v>II</v>
      </c>
      <c r="C47" s="45">
        <f t="shared" si="2"/>
        <v>55600.3488</v>
      </c>
      <c r="D47" t="str">
        <f t="shared" si="3"/>
        <v>vis</v>
      </c>
      <c r="E47">
        <f>VLOOKUP(C47,A!C$21:E$973,3,FALSE)</f>
        <v>9050.516451457834</v>
      </c>
      <c r="F47" s="54" t="s">
        <v>66</v>
      </c>
      <c r="G47" t="str">
        <f t="shared" si="4"/>
        <v>55600.3488</v>
      </c>
      <c r="H47" s="45">
        <f t="shared" si="5"/>
        <v>18101.5</v>
      </c>
      <c r="I47" s="55" t="s">
        <v>214</v>
      </c>
      <c r="J47" s="56" t="s">
        <v>215</v>
      </c>
      <c r="K47" s="55" t="s">
        <v>118</v>
      </c>
      <c r="L47" s="55" t="s">
        <v>216</v>
      </c>
      <c r="M47" s="56" t="s">
        <v>82</v>
      </c>
      <c r="N47" s="56" t="s">
        <v>50</v>
      </c>
      <c r="O47" s="57" t="s">
        <v>210</v>
      </c>
      <c r="P47" s="58" t="s">
        <v>61</v>
      </c>
    </row>
  </sheetData>
  <sheetProtection selectLockedCells="1" selectUnlockedCells="1"/>
  <hyperlinks>
    <hyperlink ref="P11" r:id="rId1" display="BAVM 241 (=IBVS 6157) "/>
    <hyperlink ref="P14" r:id="rId2" display="IBVS 5672 "/>
    <hyperlink ref="P15" r:id="rId3" display="BAVM 178 "/>
    <hyperlink ref="P16" r:id="rId4" display="IBVS 5871 "/>
    <hyperlink ref="P17" r:id="rId5" display="IBVS 5920 "/>
    <hyperlink ref="P18" r:id="rId6" display="BAVM 215 "/>
    <hyperlink ref="P19" r:id="rId7" display="IBVS 6114 "/>
    <hyperlink ref="P20" r:id="rId8" display="OEJV 0160 "/>
    <hyperlink ref="P21" r:id="rId9" display="OEJV 0160 "/>
    <hyperlink ref="P44" r:id="rId10" display="VSB 47 "/>
    <hyperlink ref="P45" r:id="rId11" display="OEJV 0137 "/>
    <hyperlink ref="P46" r:id="rId12" display="OEJV 0137 "/>
    <hyperlink ref="P47" r:id="rId13" display="OEJV 0137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2022-11-20T04:30:41Z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