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<sst xmlns="http://schemas.openxmlformats.org/spreadsheetml/2006/main" count="97" uniqueCount="54">
  <si>
    <t>V0888 Mon / GSC 5401-0179  / NSV 03645</t>
  </si>
  <si>
    <t>EA/KE:</t>
  </si>
  <si>
    <t>IBVS 5495 Eph.</t>
  </si>
  <si>
    <t>IBVS 5495</t>
  </si>
  <si>
    <t>Mon</t>
  </si>
  <si>
    <t>System Type:</t>
  </si>
  <si>
    <t>G5401-0179_Mon.xls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</si>
  <si>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</si>
  <si>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</si>
  <si>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</si>
  <si>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</si>
  <si>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</si>
  <si>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</si>
  <si>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</si>
  <si>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</si>
  <si>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</si>
  <si>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</si>
  <si>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</si>
  <si>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</si>
  <si>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</si>
  <si>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</si>
  <si>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</si>
  <si>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</si>
  <si>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</si>
  <si>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</si>
  <si>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</si>
  <si>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</si>
  <si>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</si>
  <si>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</si>
  <si>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</si>
  <si>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</si>
  <si>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</si>
  <si>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</si>
  <si>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</si>
  <si>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</si>
  <si>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</si>
  <si>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</si>
  <si>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</si>
  <si>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</si>
  <si>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</si>
  <si>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</si>
  <si>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s7</t>
  </si>
  <si>
    <t>Lin Fit</t>
  </si>
  <si>
    <t>Q. Fit</t>
  </si>
  <si>
    <t>Date</t>
  </si>
  <si>
    <t>VSB-64</t>
  </si>
  <si>
    <t>I</t>
  </si>
  <si>
    <t>Ic</t>
  </si>
  <si>
    <t>V</t>
  </si>
  <si>
    <t>B</t>
  </si>
  <si>
    <t>VSB-66</t>
  </si>
  <si>
    <t>II</t>
  </si>
  <si>
    <t>VSB 067</t>
  </si>
  <si>
    <t>VSB 069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</si>
</sst>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0.0000"/>
  </numFmts>
  <fonts count="47">
    <font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5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0" fillId="0" borderId="0" xfId="0" applyAlignment="1">
      <alignment horizont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5" fontId="7" fillId="0" borderId="0" xfId="0" applyNumberFormat="1" applyFont="1" applyAlignment="1">
      <alignment vertical="top"/>
    </xf>
    <xf numFmtId="0" fontId="5" fillId="0" borderId="13" xfId="0" applyFont="1" applyBorder="1" applyAlignment="1">
      <alignment horizontal="center"/>
    </xf>
    <xf numFmtId="166" fontId="0" fillId="0" borderId="0" xfId="0" applyNumberFormat="1" applyAlignment="1">
      <alignment/>
    </xf>
    <xf numFmtId="0" fontId="8" fillId="0" borderId="0" xfId="59" applyFont="1">
      <alignment/>
      <protection/>
    </xf>
    <xf numFmtId="0" fontId="8" fillId="0" borderId="0" xfId="59" applyFont="1" applyBorder="1" applyAlignment="1">
      <alignment horizontal="center"/>
      <protection/>
    </xf>
    <xf numFmtId="167" fontId="8" fillId="0" borderId="0" xfId="59" applyNumberFormat="1" applyFont="1" applyFill="1" applyBorder="1" applyAlignment="1" applyProtection="1">
      <alignment horizontal="left" vertical="top"/>
      <protection/>
    </xf>
    <xf numFmtId="0" fontId="8" fillId="0" borderId="0" xfId="59" applyNumberFormat="1" applyFont="1" applyFill="1" applyBorder="1" applyAlignment="1" applyProtection="1">
      <alignment horizontal="left" vertical="top"/>
      <protection/>
    </xf>
    <xf numFmtId="0" fontId="9" fillId="0" borderId="0" xfId="60" applyFont="1" applyAlignment="1">
      <alignment horizontal="left"/>
      <protection/>
    </xf>
    <xf numFmtId="0" fontId="9" fillId="0" borderId="0" xfId="60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9" fillId="0" borderId="0" xfId="59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rmal_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V0888 Mon - O-C Diagr.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775"/>
          <c:w val="0.906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A!$F$21:$F$37</c:f>
              <c:numCache/>
            </c:numRef>
          </c:xVal>
          <c:yVal>
            <c:numRef>
              <c:f>A!$H$21:$H$37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A!$F$21:$F$37</c:f>
              <c:numCache/>
            </c:numRef>
          </c:xVal>
          <c:yVal>
            <c:numRef>
              <c:f>A!$I$21:$I$37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A!$F$21:$F$37</c:f>
              <c:numCache/>
            </c:numRef>
          </c:xVal>
          <c:yVal>
            <c:numRef>
              <c:f>A!$J$21:$J$37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A!$F$21:$F$37</c:f>
              <c:numCache/>
            </c:numRef>
          </c:xVal>
          <c:yVal>
            <c:numRef>
              <c:f>A!$K$21:$K$37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A!$F$21:$F$37</c:f>
              <c:numCache/>
            </c:numRef>
          </c:xVal>
          <c:yVal>
            <c:numRef>
              <c:f>A!$L$21:$L$37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A!$F$21:$F$37</c:f>
              <c:numCache/>
            </c:numRef>
          </c:xVal>
          <c:yVal>
            <c:numRef>
              <c:f>A!$M$21:$M$37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A!$F$21:$F$37</c:f>
              <c:numCache/>
            </c:numRef>
          </c:xVal>
          <c:yVal>
            <c:numRef>
              <c:f>A!$N$21:$N$37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A!$F$21:$F$37</c:f>
              <c:numCache/>
            </c:numRef>
          </c:xVal>
          <c:yVal>
            <c:numRef>
              <c:f>A!$O$21:$O$37</c:f>
              <c:numCache/>
            </c:numRef>
          </c:yVal>
          <c:smooth val="0"/>
        </c:ser>
        <c:axId val="4685748"/>
        <c:axId val="42171733"/>
      </c:scatterChart>
      <c:valAx>
        <c:axId val="468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71733"/>
        <c:crossesAt val="0"/>
        <c:crossBetween val="midCat"/>
        <c:dispUnits/>
      </c:valAx>
      <c:valAx>
        <c:axId val="42171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5748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55"/>
          <c:y val="0.92275"/>
          <c:w val="0.620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17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67225" y="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12" ht="20.25">
      <c r="A1" s="2" t="s">
        <v>0</v>
      </c>
      <c r="E1" s="3"/>
      <c r="F1" s="3"/>
      <c r="G1" s="4" t="s">
        <v>1</v>
      </c>
      <c r="H1" s="5" t="s">
        <v>2</v>
      </c>
      <c r="I1" s="6">
        <v>51873.806</v>
      </c>
      <c r="J1" s="6">
        <v>2.54961</v>
      </c>
      <c r="K1" s="7" t="s">
        <v>3</v>
      </c>
      <c r="L1" s="8" t="s">
        <v>4</v>
      </c>
    </row>
    <row r="2" spans="1:4" ht="12.75">
      <c r="A2" s="1" t="s">
        <v>5</v>
      </c>
      <c r="B2" s="1" t="s">
        <v>1</v>
      </c>
      <c r="C2" s="9" t="s">
        <v>4</v>
      </c>
      <c r="D2" s="1" t="s">
        <v>6</v>
      </c>
    </row>
    <row r="4" spans="1:4" ht="12.75">
      <c r="A4" s="10" t="s">
        <v>2</v>
      </c>
      <c r="C4" s="11">
        <v>51873.806</v>
      </c>
      <c r="D4" s="12">
        <v>2.54961</v>
      </c>
    </row>
    <row r="5" spans="1:4" ht="12.75">
      <c r="A5" s="5" t="s">
        <v>7</v>
      </c>
      <c r="B5"/>
      <c r="C5" s="13">
        <v>-9.5</v>
      </c>
      <c r="D5" t="s">
        <v>8</v>
      </c>
    </row>
    <row r="6" ht="12.75">
      <c r="A6" s="14" t="s">
        <v>9</v>
      </c>
    </row>
    <row r="7" spans="1:3" ht="12.75">
      <c r="A7" s="1" t="s">
        <v>10</v>
      </c>
      <c r="C7" s="1">
        <f>+C4</f>
        <v>51873.806</v>
      </c>
    </row>
    <row r="8" spans="1:3" ht="12.75">
      <c r="A8" s="1" t="s">
        <v>11</v>
      </c>
      <c r="C8" s="1">
        <f>+D4</f>
        <v>2.54961</v>
      </c>
    </row>
    <row r="9" spans="1:4" ht="12.75">
      <c r="A9" s="15" t="s">
        <v>12</v>
      </c>
      <c r="B9" s="16">
        <v>21</v>
      </c>
      <c r="C9" s="17" t="str">
        <f>"F"&amp;B9</f>
        <v>F21</v>
      </c>
      <c r="D9" s="18" t="str">
        <f>"G"&amp;B9</f>
        <v>G21</v>
      </c>
    </row>
    <row r="10" spans="1:5" ht="12.75">
      <c r="A10"/>
      <c r="B10"/>
      <c r="C10" s="19" t="s">
        <v>13</v>
      </c>
      <c r="D10" s="19" t="s">
        <v>14</v>
      </c>
      <c r="E10"/>
    </row>
    <row r="11" spans="1:5" ht="12.75">
      <c r="A11" t="s">
        <v>15</v>
      </c>
      <c r="B11"/>
      <c r="C11" s="20">
        <f ca="1">INTERCEPT(INDIRECT($D$9):G992,INDIRECT($C$9):F992)</f>
        <v>0.0026933116919609333</v>
      </c>
      <c r="D11" s="21"/>
      <c r="E11"/>
    </row>
    <row r="12" spans="1:5" ht="12.75">
      <c r="A12" t="s">
        <v>16</v>
      </c>
      <c r="B12"/>
      <c r="C12" s="20">
        <f ca="1">SLOPE(INDIRECT($D$9):G992,INDIRECT($C$9):F992)</f>
        <v>-8.747659706658028E-06</v>
      </c>
      <c r="D12" s="21"/>
      <c r="E12"/>
    </row>
    <row r="13" spans="1:3" ht="12.75">
      <c r="A13" t="s">
        <v>17</v>
      </c>
      <c r="B13"/>
      <c r="C13" s="21" t="s">
        <v>18</v>
      </c>
    </row>
    <row r="14" spans="1:3" ht="12.75">
      <c r="A14"/>
      <c r="B14"/>
      <c r="C14"/>
    </row>
    <row r="15" spans="1:6" ht="12.75">
      <c r="A15" s="22" t="s">
        <v>19</v>
      </c>
      <c r="B15"/>
      <c r="C15" s="23">
        <f>(C7+C11)+(C8+C12)*INT(MAX(F21:F3533))</f>
        <v>58897.96014350919</v>
      </c>
      <c r="E15" s="24" t="s">
        <v>20</v>
      </c>
      <c r="F15" s="25">
        <v>1</v>
      </c>
    </row>
    <row r="16" spans="1:6" ht="12.75">
      <c r="A16" s="22" t="s">
        <v>21</v>
      </c>
      <c r="B16"/>
      <c r="C16" s="23">
        <f>+C8+C12</f>
        <v>2.549601252340293</v>
      </c>
      <c r="E16" s="24" t="s">
        <v>22</v>
      </c>
      <c r="F16" s="26">
        <f ca="1">NOW()+15018.5+$C$5/24</f>
        <v>59903.747017476846</v>
      </c>
    </row>
    <row r="17" spans="1:6" ht="12.75">
      <c r="A17" s="24" t="s">
        <v>23</v>
      </c>
      <c r="B17"/>
      <c r="C17">
        <f>COUNT(C21:C2191)</f>
        <v>17</v>
      </c>
      <c r="E17" s="24" t="s">
        <v>24</v>
      </c>
      <c r="F17" s="20">
        <f>ROUND(2*(F16-$C$7)/$C$8,0)/2+F15</f>
        <v>3150.5</v>
      </c>
    </row>
    <row r="18" spans="1:6" ht="12.75">
      <c r="A18" s="22" t="s">
        <v>25</v>
      </c>
      <c r="B18"/>
      <c r="C18" s="27">
        <f>+C15</f>
        <v>58897.96014350919</v>
      </c>
      <c r="D18" s="28">
        <f>+C16</f>
        <v>2.549601252340293</v>
      </c>
      <c r="E18" s="24" t="s">
        <v>26</v>
      </c>
      <c r="F18" s="18">
        <f>ROUND(2*(F16-$C$15)/$C$16,0)/2+F15</f>
        <v>395.5</v>
      </c>
    </row>
    <row r="19" spans="5:6" ht="12.75">
      <c r="E19" s="24" t="s">
        <v>27</v>
      </c>
      <c r="F19" s="29">
        <f>+$C$15+$C$16*F18-15018.5-$C$5/24</f>
        <v>44888.223272143114</v>
      </c>
    </row>
    <row r="20" spans="1:17" ht="12.75">
      <c r="A20" s="19" t="s">
        <v>28</v>
      </c>
      <c r="B20" s="19" t="s">
        <v>29</v>
      </c>
      <c r="C20" s="19" t="s">
        <v>30</v>
      </c>
      <c r="D20" s="19" t="s">
        <v>31</v>
      </c>
      <c r="E20" s="19" t="s">
        <v>32</v>
      </c>
      <c r="F20" s="19" t="s">
        <v>33</v>
      </c>
      <c r="G20" s="19" t="s">
        <v>34</v>
      </c>
      <c r="H20" s="30" t="s">
        <v>35</v>
      </c>
      <c r="I20" s="30" t="s">
        <v>36</v>
      </c>
      <c r="J20" s="30" t="s">
        <v>37</v>
      </c>
      <c r="K20" s="30" t="s">
        <v>38</v>
      </c>
      <c r="L20" s="30" t="s">
        <v>39</v>
      </c>
      <c r="M20" s="30" t="s">
        <v>40</v>
      </c>
      <c r="N20" s="30" t="s">
        <v>41</v>
      </c>
      <c r="O20" s="30" t="s">
        <v>42</v>
      </c>
      <c r="P20" s="30" t="s">
        <v>43</v>
      </c>
      <c r="Q20" s="19" t="s">
        <v>44</v>
      </c>
    </row>
    <row r="21" spans="1:17" ht="12.75">
      <c r="A21" s="1" t="str">
        <f>$K$1</f>
        <v>IBVS 5495</v>
      </c>
      <c r="C21" s="9">
        <f>+$C$4</f>
        <v>51873.806</v>
      </c>
      <c r="D21" s="9" t="s">
        <v>18</v>
      </c>
      <c r="E21" s="1">
        <f>+(C21-C$7)/C$8</f>
        <v>0</v>
      </c>
      <c r="F21" s="1">
        <f>ROUND(2*E21,0)/2</f>
        <v>0</v>
      </c>
      <c r="G21" s="1">
        <f>+C21-(C$7+F21*C$8)</f>
        <v>0</v>
      </c>
      <c r="H21" s="1">
        <f>+G21</f>
        <v>0</v>
      </c>
      <c r="O21" s="1">
        <f>+C$11+C$12*$F21</f>
        <v>0.0026933116919609333</v>
      </c>
      <c r="Q21" s="31">
        <f>+C21-15018.5</f>
        <v>36855.306</v>
      </c>
    </row>
    <row r="22" spans="1:17" ht="12.75">
      <c r="A22" s="32" t="s">
        <v>45</v>
      </c>
      <c r="B22" s="33" t="s">
        <v>46</v>
      </c>
      <c r="C22" s="34">
        <v>58110.1262</v>
      </c>
      <c r="D22" s="35" t="s">
        <v>47</v>
      </c>
      <c r="E22" s="1">
        <f>+(C22-C$7)/C$8</f>
        <v>2445.9898572722896</v>
      </c>
      <c r="F22" s="1">
        <f>ROUND(2*E22,0)/2</f>
        <v>2446</v>
      </c>
      <c r="G22" s="1">
        <f>+C22-(C$7+F22*C$8)</f>
        <v>-0.02585999999428168</v>
      </c>
      <c r="K22" s="1">
        <f>+G22</f>
        <v>-0.02585999999428168</v>
      </c>
      <c r="O22" s="1">
        <f>+C$11+C$12*$F22</f>
        <v>-0.018703463950524604</v>
      </c>
      <c r="Q22" s="31">
        <f>+C22-15018.5</f>
        <v>43091.6262</v>
      </c>
    </row>
    <row r="23" spans="1:17" ht="12.75">
      <c r="A23" s="32" t="s">
        <v>45</v>
      </c>
      <c r="B23" s="33" t="s">
        <v>46</v>
      </c>
      <c r="C23" s="34">
        <v>58115.2291</v>
      </c>
      <c r="D23" s="35" t="s">
        <v>48</v>
      </c>
      <c r="E23" s="1">
        <f>+(C23-C$7)/C$8</f>
        <v>2447.9913006302927</v>
      </c>
      <c r="F23" s="1">
        <f>ROUND(2*E23,0)/2</f>
        <v>2448</v>
      </c>
      <c r="G23" s="1">
        <f>+C23-(C$7+F23*C$8)</f>
        <v>-0.022179999999934807</v>
      </c>
      <c r="K23" s="1">
        <f>+G23</f>
        <v>-0.022179999999934807</v>
      </c>
      <c r="O23" s="1">
        <f>+C$11+C$12*$F23</f>
        <v>-0.018720959269937918</v>
      </c>
      <c r="Q23" s="31">
        <f>+C23-15018.5</f>
        <v>43096.7291</v>
      </c>
    </row>
    <row r="24" spans="1:17" ht="12.75">
      <c r="A24" s="32" t="s">
        <v>45</v>
      </c>
      <c r="B24" s="33" t="s">
        <v>46</v>
      </c>
      <c r="C24" s="34">
        <v>58115.2332</v>
      </c>
      <c r="D24" s="35" t="s">
        <v>49</v>
      </c>
      <c r="E24" s="1">
        <f>+(C24-C$7)/C$8</f>
        <v>2447.992908719375</v>
      </c>
      <c r="F24" s="1">
        <f>ROUND(2*E24,0)/2</f>
        <v>2448</v>
      </c>
      <c r="G24" s="1">
        <f>+C24-(C$7+F24*C$8)</f>
        <v>-0.018079999994370155</v>
      </c>
      <c r="K24" s="1">
        <f>+G24</f>
        <v>-0.018079999994370155</v>
      </c>
      <c r="O24" s="1">
        <f>+C$11+C$12*$F24</f>
        <v>-0.018720959269937918</v>
      </c>
      <c r="Q24" s="31">
        <f>+C24-15018.5</f>
        <v>43096.7332</v>
      </c>
    </row>
    <row r="25" spans="1:17" ht="12.75">
      <c r="A25" s="32" t="s">
        <v>45</v>
      </c>
      <c r="B25" s="33" t="s">
        <v>46</v>
      </c>
      <c r="C25" s="34">
        <v>58115.2404</v>
      </c>
      <c r="D25" s="35" t="s">
        <v>47</v>
      </c>
      <c r="E25" s="1">
        <f>+(C25-C$7)/C$8</f>
        <v>2447.9957326806866</v>
      </c>
      <c r="F25" s="1">
        <f>ROUND(2*E25,0)/2</f>
        <v>2448</v>
      </c>
      <c r="G25" s="1">
        <f>+C25-(C$7+F25*C$8)</f>
        <v>-0.010879999994358514</v>
      </c>
      <c r="K25" s="1">
        <f>+G25</f>
        <v>-0.010879999994358514</v>
      </c>
      <c r="O25" s="1">
        <f>+C$11+C$12*$F25</f>
        <v>-0.018720959269937918</v>
      </c>
      <c r="Q25" s="31">
        <f>+C25-15018.5</f>
        <v>43096.7404</v>
      </c>
    </row>
    <row r="26" spans="1:17" ht="12.75">
      <c r="A26" s="36" t="s">
        <v>50</v>
      </c>
      <c r="B26" s="37" t="s">
        <v>51</v>
      </c>
      <c r="C26" s="36">
        <v>58129.253000000026</v>
      </c>
      <c r="D26" s="36" t="s">
        <v>18</v>
      </c>
      <c r="E26" s="1">
        <f aca="true" t="shared" si="0" ref="E26:E31">+(C26-C$7)/C$8</f>
        <v>2453.491710496911</v>
      </c>
      <c r="F26" s="1">
        <f aca="true" t="shared" si="1" ref="F26:F31">ROUND(2*E26,0)/2</f>
        <v>2453.5</v>
      </c>
      <c r="G26" s="1">
        <f aca="true" t="shared" si="2" ref="G26:G31">+C26-(C$7+F26*C$8)</f>
        <v>-0.021134999973583035</v>
      </c>
      <c r="K26" s="1">
        <f aca="true" t="shared" si="3" ref="K26:K31">+G26</f>
        <v>-0.021134999973583035</v>
      </c>
      <c r="O26" s="1">
        <f aca="true" t="shared" si="4" ref="O26:O31">+C$11+C$12*$F26</f>
        <v>-0.01876907139832454</v>
      </c>
      <c r="Q26" s="31">
        <f aca="true" t="shared" si="5" ref="Q26:Q31">+C26-15018.5</f>
        <v>43110.753000000026</v>
      </c>
    </row>
    <row r="27" spans="1:17" ht="12.75">
      <c r="A27" s="36" t="s">
        <v>50</v>
      </c>
      <c r="B27" s="37" t="s">
        <v>51</v>
      </c>
      <c r="C27" s="36">
        <v>58142.01649999991</v>
      </c>
      <c r="D27" s="36" t="s">
        <v>18</v>
      </c>
      <c r="E27" s="1">
        <f t="shared" si="0"/>
        <v>2458.4977702471806</v>
      </c>
      <c r="F27" s="1">
        <f t="shared" si="1"/>
        <v>2458.5</v>
      </c>
      <c r="G27" s="1">
        <f t="shared" si="2"/>
        <v>-0.005685000083758496</v>
      </c>
      <c r="K27" s="1">
        <f t="shared" si="3"/>
        <v>-0.005685000083758496</v>
      </c>
      <c r="O27" s="1">
        <f t="shared" si="4"/>
        <v>-0.018812809696857828</v>
      </c>
      <c r="Q27" s="31">
        <f t="shared" si="5"/>
        <v>43123.51649999991</v>
      </c>
    </row>
    <row r="28" spans="1:17" ht="12.75">
      <c r="A28" s="36" t="s">
        <v>50</v>
      </c>
      <c r="B28" s="37" t="s">
        <v>51</v>
      </c>
      <c r="C28" s="36">
        <v>58142.020399999805</v>
      </c>
      <c r="D28" s="36" t="s">
        <v>18</v>
      </c>
      <c r="E28" s="1">
        <f t="shared" si="0"/>
        <v>2458.4992998928496</v>
      </c>
      <c r="F28" s="1">
        <f t="shared" si="1"/>
        <v>2458.5</v>
      </c>
      <c r="G28" s="1">
        <f t="shared" si="2"/>
        <v>-0.0017850001895567402</v>
      </c>
      <c r="K28" s="1">
        <f t="shared" si="3"/>
        <v>-0.0017850001895567402</v>
      </c>
      <c r="O28" s="1">
        <f t="shared" si="4"/>
        <v>-0.018812809696857828</v>
      </c>
      <c r="Q28" s="31">
        <f t="shared" si="5"/>
        <v>43123.520399999805</v>
      </c>
    </row>
    <row r="29" spans="1:17" ht="12.75">
      <c r="A29" s="36" t="s">
        <v>50</v>
      </c>
      <c r="B29" s="37" t="s">
        <v>51</v>
      </c>
      <c r="C29" s="36">
        <v>58481.09830000019</v>
      </c>
      <c r="D29" s="36" t="s">
        <v>18</v>
      </c>
      <c r="E29" s="1">
        <f t="shared" si="0"/>
        <v>2591.491365346147</v>
      </c>
      <c r="F29" s="1">
        <f t="shared" si="1"/>
        <v>2591.5</v>
      </c>
      <c r="G29" s="1">
        <f t="shared" si="2"/>
        <v>-0.022014999805833213</v>
      </c>
      <c r="K29" s="1">
        <f t="shared" si="3"/>
        <v>-0.022014999805833213</v>
      </c>
      <c r="O29" s="1">
        <f t="shared" si="4"/>
        <v>-0.019976248437843347</v>
      </c>
      <c r="Q29" s="31">
        <f t="shared" si="5"/>
        <v>43462.59830000019</v>
      </c>
    </row>
    <row r="30" spans="1:17" ht="12.75">
      <c r="A30" s="36" t="s">
        <v>50</v>
      </c>
      <c r="B30" s="37" t="s">
        <v>51</v>
      </c>
      <c r="C30" s="36">
        <v>58481.102099999785</v>
      </c>
      <c r="D30" s="36" t="s">
        <v>18</v>
      </c>
      <c r="E30" s="1">
        <f t="shared" si="0"/>
        <v>2591.4928557700155</v>
      </c>
      <c r="F30" s="1">
        <f t="shared" si="1"/>
        <v>2591.5</v>
      </c>
      <c r="G30" s="1">
        <f t="shared" si="2"/>
        <v>-0.018215000207419507</v>
      </c>
      <c r="K30" s="1">
        <f t="shared" si="3"/>
        <v>-0.018215000207419507</v>
      </c>
      <c r="O30" s="1">
        <f t="shared" si="4"/>
        <v>-0.019976248437843347</v>
      </c>
      <c r="Q30" s="31">
        <f t="shared" si="5"/>
        <v>43462.602099999785</v>
      </c>
    </row>
    <row r="31" spans="1:17" ht="12.75">
      <c r="A31" s="36" t="s">
        <v>50</v>
      </c>
      <c r="B31" s="37" t="s">
        <v>51</v>
      </c>
      <c r="C31" s="36">
        <v>58481.10300000012</v>
      </c>
      <c r="D31" s="36" t="s">
        <v>18</v>
      </c>
      <c r="E31" s="1">
        <f t="shared" si="0"/>
        <v>2591.49320876531</v>
      </c>
      <c r="F31" s="1">
        <f t="shared" si="1"/>
        <v>2591.5</v>
      </c>
      <c r="G31" s="1">
        <f t="shared" si="2"/>
        <v>-0.017314999873633496</v>
      </c>
      <c r="K31" s="1">
        <f t="shared" si="3"/>
        <v>-0.017314999873633496</v>
      </c>
      <c r="O31" s="1">
        <f t="shared" si="4"/>
        <v>-0.019976248437843347</v>
      </c>
      <c r="Q31" s="31">
        <f t="shared" si="5"/>
        <v>43462.60300000012</v>
      </c>
    </row>
    <row r="32" spans="1:17" ht="12.75">
      <c r="A32" s="38" t="s">
        <v>52</v>
      </c>
      <c r="B32" s="39" t="s">
        <v>51</v>
      </c>
      <c r="C32" s="40">
        <v>58820.1879</v>
      </c>
      <c r="D32" s="40" t="s">
        <v>49</v>
      </c>
      <c r="E32" s="1">
        <f aca="true" t="shared" si="6" ref="E32:E37">+(C32-C$7)/C$8</f>
        <v>2724.488019736352</v>
      </c>
      <c r="F32" s="1">
        <f aca="true" t="shared" si="7" ref="F32:F37">ROUND(2*E32,0)/2</f>
        <v>2724.5</v>
      </c>
      <c r="G32" s="1">
        <f aca="true" t="shared" si="8" ref="G32:G37">+C32-(C$7+F32*C$8)</f>
        <v>-0.030545000001438893</v>
      </c>
      <c r="K32" s="1">
        <f aca="true" t="shared" si="9" ref="K32:K37">+G32</f>
        <v>-0.030545000001438893</v>
      </c>
      <c r="O32" s="1">
        <f aca="true" t="shared" si="10" ref="O32:O37">+C$11+C$12*$F32</f>
        <v>-0.021139687178828866</v>
      </c>
      <c r="Q32" s="31">
        <f aca="true" t="shared" si="11" ref="Q32:Q37">+C32-15018.5</f>
        <v>43801.6879</v>
      </c>
    </row>
    <row r="33" spans="1:17" ht="12.75">
      <c r="A33" s="38" t="s">
        <v>52</v>
      </c>
      <c r="B33" s="39" t="s">
        <v>51</v>
      </c>
      <c r="C33" s="40">
        <v>58820.1919</v>
      </c>
      <c r="D33" s="40" t="s">
        <v>48</v>
      </c>
      <c r="E33" s="1">
        <f t="shared" si="6"/>
        <v>2724.489588603748</v>
      </c>
      <c r="F33" s="1">
        <f t="shared" si="7"/>
        <v>2724.5</v>
      </c>
      <c r="G33" s="1">
        <f t="shared" si="8"/>
        <v>-0.026545000000623986</v>
      </c>
      <c r="K33" s="1">
        <f t="shared" si="9"/>
        <v>-0.026545000000623986</v>
      </c>
      <c r="O33" s="1">
        <f t="shared" si="10"/>
        <v>-0.021139687178828866</v>
      </c>
      <c r="Q33" s="31">
        <f t="shared" si="11"/>
        <v>43801.6919</v>
      </c>
    </row>
    <row r="34" spans="1:17" ht="12.75">
      <c r="A34" s="38" t="s">
        <v>52</v>
      </c>
      <c r="B34" s="39" t="s">
        <v>51</v>
      </c>
      <c r="C34" s="40">
        <v>58820.1948</v>
      </c>
      <c r="D34" s="40" t="s">
        <v>47</v>
      </c>
      <c r="E34" s="1">
        <f t="shared" si="6"/>
        <v>2724.490726032609</v>
      </c>
      <c r="F34" s="1">
        <f t="shared" si="7"/>
        <v>2724.5</v>
      </c>
      <c r="G34" s="1">
        <f t="shared" si="8"/>
        <v>-0.023645000001124572</v>
      </c>
      <c r="K34" s="1">
        <f t="shared" si="9"/>
        <v>-0.023645000001124572</v>
      </c>
      <c r="O34" s="1">
        <f t="shared" si="10"/>
        <v>-0.021139687178828866</v>
      </c>
      <c r="Q34" s="31">
        <f t="shared" si="11"/>
        <v>43801.6948</v>
      </c>
    </row>
    <row r="35" spans="1:17" ht="12.75">
      <c r="A35" s="41" t="s">
        <v>53</v>
      </c>
      <c r="B35" s="42" t="s">
        <v>46</v>
      </c>
      <c r="C35" s="43">
        <v>58897.9551</v>
      </c>
      <c r="D35" s="43" t="s">
        <v>47</v>
      </c>
      <c r="E35" s="1">
        <f t="shared" si="6"/>
        <v>2754.989625864349</v>
      </c>
      <c r="F35" s="1">
        <f t="shared" si="7"/>
        <v>2755</v>
      </c>
      <c r="G35" s="1">
        <f t="shared" si="8"/>
        <v>-0.02644999999756692</v>
      </c>
      <c r="K35" s="1">
        <f t="shared" si="9"/>
        <v>-0.02644999999756692</v>
      </c>
      <c r="O35" s="1">
        <f t="shared" si="10"/>
        <v>-0.021406490799881935</v>
      </c>
      <c r="Q35" s="31">
        <f t="shared" si="11"/>
        <v>43879.4551</v>
      </c>
    </row>
    <row r="36" spans="1:17" ht="12.75">
      <c r="A36" s="41" t="s">
        <v>53</v>
      </c>
      <c r="B36" s="42" t="s">
        <v>46</v>
      </c>
      <c r="C36" s="43">
        <v>58897.9565</v>
      </c>
      <c r="D36" s="43" t="s">
        <v>48</v>
      </c>
      <c r="E36" s="1">
        <f t="shared" si="6"/>
        <v>2754.9901749679375</v>
      </c>
      <c r="F36" s="1">
        <f t="shared" si="7"/>
        <v>2755</v>
      </c>
      <c r="G36" s="1">
        <f t="shared" si="8"/>
        <v>-0.025049999996554106</v>
      </c>
      <c r="K36" s="1">
        <f t="shared" si="9"/>
        <v>-0.025049999996554106</v>
      </c>
      <c r="O36" s="1">
        <f t="shared" si="10"/>
        <v>-0.021406490799881935</v>
      </c>
      <c r="Q36" s="31">
        <f t="shared" si="11"/>
        <v>43879.4565</v>
      </c>
    </row>
    <row r="37" spans="1:17" ht="12.75">
      <c r="A37" s="41" t="s">
        <v>53</v>
      </c>
      <c r="B37" s="42" t="s">
        <v>46</v>
      </c>
      <c r="C37" s="43">
        <v>58897.9608</v>
      </c>
      <c r="D37" s="43" t="s">
        <v>49</v>
      </c>
      <c r="E37" s="1">
        <f t="shared" si="6"/>
        <v>2754.991861500388</v>
      </c>
      <c r="F37" s="1">
        <f t="shared" si="7"/>
        <v>2755</v>
      </c>
      <c r="G37" s="1">
        <f t="shared" si="8"/>
        <v>-0.02074999999604188</v>
      </c>
      <c r="K37" s="1">
        <f t="shared" si="9"/>
        <v>-0.02074999999604188</v>
      </c>
      <c r="O37" s="1">
        <f t="shared" si="10"/>
        <v>-0.021406490799881935</v>
      </c>
      <c r="Q37" s="31">
        <f t="shared" si="11"/>
        <v>43879.4608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2022-11-20T04:55:42Z</dcterms:modified>
  <cp:category/>
  <cp:version/>
  <cp:contentType/>
  <cp:contentStatus/>
</cp:coreProperties>
</file>