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<sst xmlns="http://schemas.openxmlformats.org/spreadsheetml/2006/main" count="51" uniqueCount="46">
  <si>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IBVS 6244</t>
  </si>
  <si>
    <t>I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</si>
  <si>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</si>
  <si>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</si>
  <si>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</si>
  <si>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</si>
  <si>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</si>
  <si>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</si>
  <si>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</si>
  <si>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</si>
  <si>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</si>
  <si>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</si>
  <si>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</si>
  <si>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</si>
  <si>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</si>
  <si>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</si>
  <si>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</si>
  <si>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</si>
  <si>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</si>
  <si>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</si>
  <si>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</si>
  <si>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</si>
  <si>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</si>
  <si>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</si>
  <si>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</si>
  <si>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</si>
  <si>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</si>
  <si>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</si>
  <si>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</si>
  <si>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</si>
  <si>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</si>
  <si>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</si>
  <si>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</si>
  <si>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</si>
  <si>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</si>
  <si>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</si>
  <si>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</si>
  <si>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</si>
  <si>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</si>
  <si>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</si>
  <si>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G4816-2928_Mon.xls</t>
  </si>
  <si>
    <t>EA</t>
  </si>
  <si>
    <t>IBVS 5458 Eph.</t>
  </si>
  <si>
    <t>IBVS 5458</t>
  </si>
  <si>
    <t>Mon</t>
  </si>
  <si>
    <t>V0935 Mon / GSC 4816-2928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</si>
</sst>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11" xfId="0" applyBorder="1" applyAlignment="1">
      <alignment horizontal="center"/>
    </xf>
    <xf numFmtId="0" fontId="0" fillId="22" borderId="11" xfId="0" applyFill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28" fillId="0" borderId="0" xfId="61" applyFont="1" applyAlignment="1">
      <alignment horizontal="left"/>
      <protection/>
    </xf>
    <xf numFmtId="0" fontId="28" fillId="0" borderId="0" xfId="61" applyFont="1" applyAlignment="1">
      <alignment horizontal="center" wrapText="1"/>
      <protection/>
    </xf>
    <xf numFmtId="0" fontId="28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V0935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4923734"/>
        <c:axId val="10250167"/>
      </c:scatterChart>
      <c:valAx>
        <c:axId val="34923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50167"/>
        <c:crosses val="autoZero"/>
        <c:crossBetween val="midCat"/>
        <c:dispUnits/>
      </c:valAx>
      <c:valAx>
        <c:axId val="10250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237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45</v>
      </c>
      <c r="E1" s="30"/>
      <c r="F1" s="30" t="s">
        <v>40</v>
      </c>
      <c r="G1" s="31" t="s">
        <v>41</v>
      </c>
      <c r="H1" s="10" t="s">
        <v>42</v>
      </c>
      <c r="I1" s="32">
        <v>52776.48</v>
      </c>
      <c r="J1" s="32">
        <v>6.013</v>
      </c>
      <c r="K1" s="33" t="s">
        <v>43</v>
      </c>
      <c r="L1" s="34" t="s">
        <v>44</v>
      </c>
    </row>
    <row r="2" spans="1:4" ht="12.75">
      <c r="A2" t="s">
        <v>25</v>
      </c>
      <c r="B2" t="s">
        <v>41</v>
      </c>
      <c r="C2" s="9" t="s">
        <v>44</v>
      </c>
      <c r="D2" t="s">
        <v>40</v>
      </c>
    </row>
    <row r="3" ht="13.5" thickBot="1"/>
    <row r="4" spans="1:4" ht="14.25" thickBot="1" thickTop="1">
      <c r="A4" s="29" t="s">
        <v>42</v>
      </c>
      <c r="C4" s="7">
        <v>52776.48</v>
      </c>
      <c r="D4" s="8">
        <v>6.013</v>
      </c>
    </row>
    <row r="6" ht="12.75">
      <c r="A6" s="4" t="s">
        <v>2</v>
      </c>
    </row>
    <row r="7" spans="1:3" ht="12.75">
      <c r="A7" t="s">
        <v>3</v>
      </c>
      <c r="C7">
        <f>+C4</f>
        <v>52776.48</v>
      </c>
    </row>
    <row r="8" spans="1:3" ht="12.75">
      <c r="A8" t="s">
        <v>4</v>
      </c>
      <c r="C8">
        <f>+D4</f>
        <v>6.013</v>
      </c>
    </row>
    <row r="9" spans="1:5" ht="12.75">
      <c r="A9" s="10" t="s">
        <v>32</v>
      </c>
      <c r="B9" s="11"/>
      <c r="C9" s="12">
        <v>-9.5</v>
      </c>
      <c r="D9" s="11" t="s">
        <v>33</v>
      </c>
      <c r="E9" s="11"/>
    </row>
    <row r="10" spans="1:5" ht="13.5" thickBot="1">
      <c r="A10" s="11"/>
      <c r="B10" s="11"/>
      <c r="C10" s="3" t="s">
        <v>21</v>
      </c>
      <c r="D10" s="3" t="s">
        <v>22</v>
      </c>
      <c r="E10" s="11"/>
    </row>
    <row r="11" spans="1:7" ht="12.75">
      <c r="A11" s="11" t="s">
        <v>16</v>
      </c>
      <c r="B11" s="11"/>
      <c r="C11" s="24">
        <f ca="1">INTERCEPT(INDIRECT($G$11):G992,INDIRECT($F$11):F992)</f>
        <v>-5.551115123125783E-17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17</v>
      </c>
      <c r="B12" s="11"/>
      <c r="C12" s="24">
        <f ca="1">SLOPE(INDIRECT($G$11):G992,INDIRECT($F$11):F992)</f>
        <v>-0.0011413524835436665</v>
      </c>
      <c r="D12" s="13"/>
      <c r="E12" s="11"/>
    </row>
    <row r="13" spans="1:5" ht="12.75">
      <c r="A13" s="11" t="s">
        <v>20</v>
      </c>
      <c r="B13" s="11"/>
      <c r="C13" s="13" t="s">
        <v>14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18</v>
      </c>
      <c r="B15" s="11"/>
      <c r="C15" s="15">
        <f>(C7+C11)+(C8+C12)*INT(MAX(F21:F3533))</f>
        <v>57796.381970676244</v>
      </c>
      <c r="D15" s="16" t="s">
        <v>34</v>
      </c>
      <c r="E15" s="17">
        <f ca="1">TODAY()+15018.5-B9/24</f>
        <v>59903.5</v>
      </c>
    </row>
    <row r="16" spans="1:5" ht="12.75">
      <c r="A16" s="18" t="s">
        <v>5</v>
      </c>
      <c r="B16" s="11"/>
      <c r="C16" s="19">
        <f>+C8+C12</f>
        <v>6.011858647516457</v>
      </c>
      <c r="D16" s="16" t="s">
        <v>35</v>
      </c>
      <c r="E16" s="17">
        <f>ROUND(2*(E15-C15)/C16,0)/2+1</f>
        <v>351.5</v>
      </c>
    </row>
    <row r="17" spans="1:5" ht="13.5" thickBot="1">
      <c r="A17" s="16" t="s">
        <v>31</v>
      </c>
      <c r="B17" s="11"/>
      <c r="C17" s="11">
        <f>COUNT(C21:C2191)</f>
        <v>2</v>
      </c>
      <c r="D17" s="16" t="s">
        <v>36</v>
      </c>
      <c r="E17" s="20">
        <f>+C15+C16*E16-15018.5-C9/24</f>
        <v>44891.44611861162</v>
      </c>
    </row>
    <row r="18" spans="1:5" ht="14.25" thickBot="1" thickTop="1">
      <c r="A18" s="18" t="s">
        <v>6</v>
      </c>
      <c r="B18" s="11"/>
      <c r="C18" s="21">
        <f>+C15</f>
        <v>57796.381970676244</v>
      </c>
      <c r="D18" s="22">
        <f>+C16</f>
        <v>6.011858647516457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3" t="s">
        <v>7</v>
      </c>
      <c r="B20" s="3" t="s">
        <v>8</v>
      </c>
      <c r="C20" s="3" t="s">
        <v>9</v>
      </c>
      <c r="D20" s="3" t="s">
        <v>13</v>
      </c>
      <c r="E20" s="3" t="s">
        <v>10</v>
      </c>
      <c r="F20" s="3" t="s">
        <v>11</v>
      </c>
      <c r="G20" s="3" t="s">
        <v>12</v>
      </c>
      <c r="H20" s="6" t="s">
        <v>30</v>
      </c>
      <c r="I20" s="6" t="s">
        <v>39</v>
      </c>
      <c r="J20" s="6" t="s">
        <v>19</v>
      </c>
      <c r="K20" s="6" t="s">
        <v>26</v>
      </c>
      <c r="L20" s="6" t="s">
        <v>27</v>
      </c>
      <c r="M20" s="6" t="s">
        <v>28</v>
      </c>
      <c r="N20" s="6" t="s">
        <v>29</v>
      </c>
      <c r="O20" s="6" t="s">
        <v>24</v>
      </c>
      <c r="P20" s="5" t="s">
        <v>23</v>
      </c>
      <c r="Q20" s="3" t="s">
        <v>15</v>
      </c>
    </row>
    <row r="21" spans="1:17" ht="12.75">
      <c r="A21" t="str">
        <f>$K$1</f>
        <v>IBVS 5458</v>
      </c>
      <c r="C21" s="9">
        <f>+$C$4</f>
        <v>52776.48</v>
      </c>
      <c r="D21" s="9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-5.551115123125783E-17</v>
      </c>
      <c r="Q21" s="2">
        <f>+C21-15018.5</f>
        <v>37757.98</v>
      </c>
    </row>
    <row r="22" spans="1:18" ht="12.75">
      <c r="A22" s="35" t="s">
        <v>0</v>
      </c>
      <c r="B22" s="36" t="s">
        <v>1</v>
      </c>
      <c r="C22" s="37">
        <v>57799.3879</v>
      </c>
      <c r="D22" s="37">
        <v>0.0019</v>
      </c>
      <c r="E22">
        <f>+(C22-C$7)/C$8</f>
        <v>835.3414102777314</v>
      </c>
      <c r="F22">
        <f>ROUND(2*E22,0)/2</f>
        <v>835.5</v>
      </c>
      <c r="G22">
        <f>+C22-(C$7+F22*C$8)</f>
        <v>-0.9536000000007334</v>
      </c>
      <c r="H22">
        <f>+G22</f>
        <v>-0.9536000000007334</v>
      </c>
      <c r="O22">
        <f>+C$11+C$12*$F22</f>
        <v>-0.9536000000007334</v>
      </c>
      <c r="Q22" s="2">
        <f>+C22-15018.5</f>
        <v>42780.8879</v>
      </c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hyperlinks>
    <hyperlink ref="H63645" r:id="rId1" display="http://vsolj.cetus-net.org/bulletin.html"/>
    <hyperlink ref="H63638" r:id="rId2" display="https://www.aavso.org/ejaavso"/>
    <hyperlink ref="I63645" r:id="rId3" display="http://vsolj.cetus-net.org/bulletin.html"/>
    <hyperlink ref="AQ57296" r:id="rId4" display="http://cdsbib.u-strasbg.fr/cgi-bin/cdsbib?1990RMxAA..21..381G"/>
    <hyperlink ref="H63642" r:id="rId5" display="https://www.aavso.org/ejaavso"/>
    <hyperlink ref="AP4660" r:id="rId6" display="http://cdsbib.u-strasbg.fr/cgi-bin/cdsbib?1990RMxAA..21..381G"/>
    <hyperlink ref="AP4663" r:id="rId7" display="http://cdsbib.u-strasbg.fr/cgi-bin/cdsbib?1990RMxAA..21..381G"/>
    <hyperlink ref="AP4661" r:id="rId8" display="http://cdsbib.u-strasbg.fr/cgi-bin/cdsbib?1990RMxAA..21..381G"/>
    <hyperlink ref="AP4645" r:id="rId9" display="http://cdsbib.u-strasbg.fr/cgi-bin/cdsbib?1990RMxAA..21..381G"/>
    <hyperlink ref="AQ4874" r:id="rId10" display="http://cdsbib.u-strasbg.fr/cgi-bin/cdsbib?1990RMxAA..21..381G"/>
    <hyperlink ref="AQ4878" r:id="rId11" display="http://cdsbib.u-strasbg.fr/cgi-bin/cdsbib?1990RMxAA..21..381G"/>
    <hyperlink ref="AQ64558" r:id="rId12" display="http://cdsbib.u-strasbg.fr/cgi-bin/cdsbib?1990RMxAA..21..381G"/>
    <hyperlink ref="I1766" r:id="rId13" display="http://vsolj.cetus-net.org/bulletin.html"/>
    <hyperlink ref="H1766" r:id="rId14" display="http://vsolj.cetus-net.org/bulletin.html"/>
    <hyperlink ref="AQ65219" r:id="rId15" display="http://cdsbib.u-strasbg.fr/cgi-bin/cdsbib?1990RMxAA..21..381G"/>
    <hyperlink ref="AQ65218" r:id="rId16" display="http://cdsbib.u-strasbg.fr/cgi-bin/cdsbib?1990RMxAA..21..381G"/>
    <hyperlink ref="AP2936" r:id="rId17" display="http://cdsbib.u-strasbg.fr/cgi-bin/cdsbib?1990RMxAA..21..381G"/>
    <hyperlink ref="AP2954" r:id="rId18" display="http://cdsbib.u-strasbg.fr/cgi-bin/cdsbib?1990RMxAA..21..381G"/>
    <hyperlink ref="AP2955" r:id="rId19" display="http://cdsbib.u-strasbg.fr/cgi-bin/cdsbib?1990RMxAA..21..381G"/>
    <hyperlink ref="AP2951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