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35" yWindow="3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<sst xmlns="http://schemas.openxmlformats.org/spreadsheetml/2006/main" count="55" uniqueCount="52">
  <si>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</si>
  <si>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</si>
  <si>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</si>
  <si>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</si>
  <si>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</si>
  <si>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</si>
  <si>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</si>
  <si>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</si>
  <si>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</si>
  <si>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</si>
  <si>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</si>
  <si>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</si>
  <si>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</si>
  <si>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</si>
  <si>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</si>
  <si>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</si>
  <si>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</si>
  <si>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</si>
  <si>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</si>
  <si>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</si>
  <si>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</si>
  <si>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</si>
  <si>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</si>
  <si>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</si>
  <si>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</si>
  <si>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</si>
  <si>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</si>
  <si>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</si>
  <si>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</si>
  <si>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</si>
  <si>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</si>
  <si>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</si>
  <si>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</si>
  <si>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</si>
  <si>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</si>
  <si>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</si>
  <si>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</si>
  <si>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</si>
  <si>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</si>
  <si>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</si>
  <si>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</si>
  <si>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Constell:</t>
  </si>
  <si>
    <t>G4858-2028</t>
  </si>
  <si>
    <t>IBVS 5992</t>
  </si>
  <si>
    <t>II</t>
  </si>
  <si>
    <t>IBVS 6029</t>
  </si>
  <si>
    <t>G4858-2028_Mon.xls</t>
  </si>
  <si>
    <t>EC</t>
  </si>
  <si>
    <t>Mon</t>
  </si>
  <si>
    <t>VSX</t>
  </si>
  <si>
    <t>V1029 Mon / GSC 4858-2028</t>
  </si>
  <si>
    <t>as of 2019-07-16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</si>
</sst>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i/>
      <sz val="10"/>
      <color indexed="20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4858-2028 -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0.0015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0.0015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1113282"/>
        <c:axId val="10019539"/>
      </c:scatterChart>
      <c:valAx>
        <c:axId val="1113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19539"/>
        <c:crosses val="autoZero"/>
        <c:crossBetween val="midCat"/>
        <c:dispUnits/>
      </c:valAx>
      <c:valAx>
        <c:axId val="10019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328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67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50</v>
      </c>
      <c r="E1" t="s">
        <v>46</v>
      </c>
    </row>
    <row r="2" spans="1:6" ht="12.75">
      <c r="A2" t="s">
        <v>24</v>
      </c>
      <c r="B2" t="s">
        <v>47</v>
      </c>
      <c r="C2" s="31" t="s">
        <v>41</v>
      </c>
      <c r="D2" s="3" t="s">
        <v>48</v>
      </c>
      <c r="E2" s="32" t="s">
        <v>42</v>
      </c>
      <c r="F2" t="e">
        <v>#N/A</v>
      </c>
    </row>
    <row r="3" ht="13.5" thickBot="1"/>
    <row r="4" spans="1:5" ht="14.25" thickBot="1" thickTop="1">
      <c r="A4" s="5" t="s">
        <v>0</v>
      </c>
      <c r="C4" s="28">
        <v>53834.625</v>
      </c>
      <c r="D4" s="29">
        <v>0.303088</v>
      </c>
      <c r="E4" s="37" t="s">
        <v>51</v>
      </c>
    </row>
    <row r="6" ht="12.75">
      <c r="A6" s="5" t="s">
        <v>1</v>
      </c>
    </row>
    <row r="7" spans="1:4" ht="12.75">
      <c r="A7" t="s">
        <v>2</v>
      </c>
      <c r="C7" s="8">
        <v>51869.33999999985</v>
      </c>
      <c r="D7" s="30" t="s">
        <v>49</v>
      </c>
    </row>
    <row r="8" spans="1:4" ht="12.75">
      <c r="A8" t="s">
        <v>3</v>
      </c>
      <c r="C8" s="8">
        <v>0.303085</v>
      </c>
      <c r="D8" s="30" t="s">
        <v>49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-0.113592882408114</v>
      </c>
      <c r="D11" s="3"/>
      <c r="E11" s="10"/>
      <c r="F11" s="23" t="str">
        <f>"F"&amp;E19</f>
        <v>F22</v>
      </c>
      <c r="G11" s="24" t="str">
        <f>"G"&amp;E19</f>
        <v>G22</v>
      </c>
    </row>
    <row r="12" spans="1:5" ht="12.75">
      <c r="A12" s="10" t="s">
        <v>16</v>
      </c>
      <c r="B12" s="10"/>
      <c r="C12" s="22">
        <f ca="1">SLOPE(INDIRECT($G$11):G992,INDIRECT($F$11):F992)</f>
        <v>4.4661921706279325E-06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59903.757008796296</v>
      </c>
    </row>
    <row r="15" spans="1:5" ht="12.75">
      <c r="A15" s="12" t="s">
        <v>17</v>
      </c>
      <c r="B15" s="10"/>
      <c r="C15" s="13">
        <f>(C7+C11)+(C8+C12)*INT(MAX(F21:F3533))</f>
        <v>55989.7277</v>
      </c>
      <c r="D15" s="14" t="s">
        <v>39</v>
      </c>
      <c r="E15" s="15">
        <f>ROUND(2*(E14-$C$7)/$C$8,0)/2+E13</f>
        <v>26510</v>
      </c>
    </row>
    <row r="16" spans="1:5" ht="12.75">
      <c r="A16" s="16" t="s">
        <v>4</v>
      </c>
      <c r="B16" s="10"/>
      <c r="C16" s="17">
        <f>+C8+C12</f>
        <v>0.30308946619217064</v>
      </c>
      <c r="D16" s="14" t="s">
        <v>40</v>
      </c>
      <c r="E16" s="24">
        <f>ROUND(2*(E14-$C$15)/$C$16,0)/2+E13</f>
        <v>12915</v>
      </c>
    </row>
    <row r="17" spans="1:5" ht="13.5" thickBot="1">
      <c r="A17" s="14" t="s">
        <v>30</v>
      </c>
      <c r="B17" s="10"/>
      <c r="C17" s="10">
        <f>COUNT(C21:C2191)</f>
        <v>3</v>
      </c>
      <c r="D17" s="14" t="s">
        <v>34</v>
      </c>
      <c r="E17" s="18">
        <f>+$C$15+$C$16*E16-15018.5-$C$9/24</f>
        <v>44886.02398920522</v>
      </c>
    </row>
    <row r="18" spans="1:5" ht="14.25" thickBot="1" thickTop="1">
      <c r="A18" s="16" t="s">
        <v>5</v>
      </c>
      <c r="B18" s="10"/>
      <c r="C18" s="19">
        <f>+C15</f>
        <v>55989.7277</v>
      </c>
      <c r="D18" s="20">
        <f>+C16</f>
        <v>0.30308946619217064</v>
      </c>
      <c r="E18" s="21" t="s">
        <v>35</v>
      </c>
    </row>
    <row r="19" spans="1:19" ht="13.5" thickTop="1">
      <c r="A19" s="25" t="s">
        <v>36</v>
      </c>
      <c r="E19" s="26">
        <v>22</v>
      </c>
      <c r="S19">
        <f>SQRT(SUM(S21:S50)/(COUNT(S21:S50)-1))</f>
        <v>0.08032229744530349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51869.33999999985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-0.113592882408114</v>
      </c>
      <c r="Q21" s="2">
        <f>+C21-15018.5</f>
        <v>36850.83999999985</v>
      </c>
      <c r="S21">
        <f>+(O21-G21)^2</f>
        <v>0.012903342933783613</v>
      </c>
    </row>
    <row r="22" spans="1:19" ht="12.75">
      <c r="A22" s="33" t="s">
        <v>43</v>
      </c>
      <c r="B22" s="34" t="s">
        <v>44</v>
      </c>
      <c r="C22" s="33">
        <v>55563.887</v>
      </c>
      <c r="D22" s="33">
        <v>0.0015</v>
      </c>
      <c r="E22">
        <f>+(C22-C$7)/C$8</f>
        <v>12189.80484022684</v>
      </c>
      <c r="F22">
        <f>ROUND(2*E22,0)/2</f>
        <v>12190</v>
      </c>
      <c r="G22">
        <f>+C22-(C$7+F22*C$8)</f>
        <v>-0.059149999848159496</v>
      </c>
      <c r="I22">
        <f>+G22</f>
        <v>-0.059149999848159496</v>
      </c>
      <c r="O22">
        <f>+C$11+C$12*$F22</f>
        <v>-0.059149999848159496</v>
      </c>
      <c r="Q22" s="2">
        <f>+C22-15018.5</f>
        <v>40545.387</v>
      </c>
      <c r="S22">
        <f>+(O22-G22)^2</f>
        <v>0</v>
      </c>
    </row>
    <row r="23" spans="1:19" ht="12.75">
      <c r="A23" s="35" t="s">
        <v>45</v>
      </c>
      <c r="B23" s="36" t="s">
        <v>44</v>
      </c>
      <c r="C23" s="35">
        <v>55989.7277</v>
      </c>
      <c r="D23" s="35">
        <v>0.0005</v>
      </c>
      <c r="E23">
        <f>+(C23-C$7)/C$8</f>
        <v>13594.825543989811</v>
      </c>
      <c r="F23">
        <f>ROUND(2*E23,0)/2</f>
        <v>13595</v>
      </c>
      <c r="G23">
        <f>+C23-(C$7+F23*C$8)</f>
        <v>-0.05287499984842725</v>
      </c>
      <c r="I23">
        <f>+G23</f>
        <v>-0.05287499984842725</v>
      </c>
      <c r="O23">
        <f>+C$11+C$12*$F23</f>
        <v>-0.05287499984842725</v>
      </c>
      <c r="Q23" s="2">
        <f>+C23-15018.5</f>
        <v>40971.2277</v>
      </c>
      <c r="S23">
        <f>+(O23-G23)^2</f>
        <v>0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2022-11-20T05:10:05Z</dcterms:modified>
  <cp:category/>
  <cp:version/>
  <cp:contentType/>
  <cp:contentStatus/>
</cp:coreProperties>
</file>