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<sst xmlns="http://schemas.openxmlformats.org/spreadsheetml/2006/main" count="80" uniqueCount="62">
  <si>
    <t>V0590 Oph / GSC 29401.536</t>
  </si>
  <si>
    <t>V0590 Oph</t>
  </si>
  <si>
    <t>EB</t>
  </si>
  <si>
    <t>System Type:</t>
  </si>
  <si>
    <t>GCVS 4 Eph.</t>
  </si>
  <si>
    <t>My time zone &gt;&gt;&gt;&gt;&gt;</t>
  </si>
  <si>
    <t>(PST=8, PDT=MDT=7, MDT=CST=6, etc.)</t>
  </si>
  <si>
    <t>--- Working ----</t>
  </si>
  <si>
    <t>Epoch =</t>
  </si>
  <si>
    <t>GCVS 4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</si>
  <si>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</si>
  <si>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</si>
  <si>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</si>
  <si>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</si>
  <si>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</si>
  <si>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</si>
  <si>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</si>
  <si>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</si>
  <si>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</si>
  <si>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</si>
  <si>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</si>
  <si>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</si>
  <si>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</si>
  <si>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</si>
  <si>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</si>
  <si>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</si>
  <si>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</si>
  <si>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</si>
  <si>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</si>
  <si>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</si>
  <si>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</si>
  <si>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</si>
  <si>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</si>
  <si>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</si>
  <si>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</si>
  <si>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</si>
  <si>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</si>
  <si>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</si>
  <si>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</si>
  <si>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</si>
  <si>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</si>
  <si>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</si>
  <si>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</si>
  <si>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</si>
  <si>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</si>
  <si>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 BBS 125 </t>
  </si>
  <si>
    <t>I</t>
  </si>
  <si>
    <t>OEJV 0211</t>
  </si>
  <si>
    <t>II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</si>
  <si>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</si>
  <si>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</si>
  <si>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</si>
  <si>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</si>
  <si>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</si>
  <si>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</si>
  <si>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</si>
  <si>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2452086.469 </t>
  </si>
  <si>
    <t> 25.06.2001 23:15 </t>
  </si>
  <si>
    <t> -0.136 </t>
  </si>
  <si>
    <t>E </t>
  </si>
  <si>
    <t>?</t>
  </si>
  <si>
    <t> R.Diethelm 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</si>
</sst>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8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left"/>
      <protection/>
    </xf>
    <xf numFmtId="0" fontId="1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3" fillId="35" borderId="20" xfId="0" applyFont="1" applyFill="1" applyBorder="1" applyAlignment="1">
      <alignment horizontal="left" vertical="top" wrapText="1" inden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righ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V590 Oph - O-C Diagr.</a:t>
            </a:r>
          </a:p>
        </c:rich>
      </c:tx>
      <c:layout>
        <c:manualLayout>
          <c:xMode val="factor"/>
          <c:yMode val="factor"/>
          <c:x val="-0.001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9725"/>
          <c:w val="0.9015"/>
          <c:h val="0.6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A!$H$21:$H$26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A!$I$21:$I$26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A!$J$21:$J$26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A!$K$21:$K$26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A!$L$21:$L$26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A!$M$21:$M$26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A!$N$21:$N$26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A!$F$21:$F$26</c:f>
              <c:numCache/>
            </c:numRef>
          </c:xVal>
          <c:yVal>
            <c:numRef>
              <c:f>A!$O$21:$O$26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A!$U$21:$U$26</c:f>
              <c:numCache/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At val="0"/>
        <c:crossBetween val="midCat"/>
        <c:dispUnits/>
      </c:valAx>
      <c:valAx>
        <c:axId val="660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9105"/>
          <c:w val="0.720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219075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19625" y="0"/>
        <a:ext cx="63627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F14" sqref="F13:F14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0.140625" style="1" customWidth="1"/>
    <col min="6" max="6" width="17.0039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5" ht="20.25">
      <c r="A1" s="2" t="s">
        <v>0</v>
      </c>
      <c r="F1" s="3" t="s">
        <v>1</v>
      </c>
      <c r="G1" s="4">
        <v>18.273139999999998</v>
      </c>
      <c r="H1" s="5">
        <v>9.1226</v>
      </c>
      <c r="I1" s="6">
        <v>29401.536</v>
      </c>
      <c r="J1" s="6">
        <v>0.826866</v>
      </c>
      <c r="K1" s="7" t="s">
        <v>2</v>
      </c>
      <c r="L1" s="5"/>
      <c r="M1" s="6">
        <v>29401.536</v>
      </c>
      <c r="N1" s="6">
        <v>0.826866</v>
      </c>
      <c r="O1" s="8" t="s">
        <v>2</v>
      </c>
    </row>
    <row r="2" spans="1:4" ht="12.75">
      <c r="A2" s="1" t="s">
        <v>3</v>
      </c>
      <c r="B2" s="1" t="s">
        <v>2</v>
      </c>
      <c r="C2" s="9"/>
      <c r="D2" s="10"/>
    </row>
    <row r="4" spans="1:4" ht="12.75">
      <c r="A4" s="11" t="s">
        <v>4</v>
      </c>
      <c r="C4" s="12">
        <v>29401.536</v>
      </c>
      <c r="D4" s="13">
        <v>0.826866</v>
      </c>
    </row>
    <row r="5" spans="1:5" ht="12.75">
      <c r="A5" s="14" t="s">
        <v>5</v>
      </c>
      <c r="B5"/>
      <c r="C5" s="15">
        <v>-9.5</v>
      </c>
      <c r="D5" t="s">
        <v>6</v>
      </c>
      <c r="E5"/>
    </row>
    <row r="6" ht="12.75">
      <c r="A6" s="11" t="s">
        <v>7</v>
      </c>
    </row>
    <row r="7" spans="1:4" ht="12.75">
      <c r="A7" s="1" t="s">
        <v>8</v>
      </c>
      <c r="C7" s="16">
        <v>29401.536</v>
      </c>
      <c r="D7" s="17" t="s">
        <v>9</v>
      </c>
    </row>
    <row r="8" spans="1:4" ht="12.75">
      <c r="A8" s="1" t="s">
        <v>10</v>
      </c>
      <c r="C8" s="16">
        <v>0.826866</v>
      </c>
      <c r="D8" s="17" t="s">
        <v>9</v>
      </c>
    </row>
    <row r="9" spans="1:5" ht="12.75">
      <c r="A9" s="18" t="s">
        <v>11</v>
      </c>
      <c r="C9" s="19">
        <v>21</v>
      </c>
      <c r="D9" s="20" t="str">
        <f>"F"&amp;C9</f>
        <v>F21</v>
      </c>
      <c r="E9" s="21" t="str">
        <f>"G"&amp;C9</f>
        <v>G21</v>
      </c>
    </row>
    <row r="10" spans="1:5" ht="12.75">
      <c r="A10"/>
      <c r="B10"/>
      <c r="C10" s="22" t="s">
        <v>12</v>
      </c>
      <c r="D10" s="22" t="s">
        <v>13</v>
      </c>
      <c r="E10"/>
    </row>
    <row r="11" spans="1:5" ht="12.75">
      <c r="A11" t="s">
        <v>14</v>
      </c>
      <c r="B11"/>
      <c r="C11" s="23">
        <f ca="1">INTERCEPT(INDIRECT($E$9):G992,INDIRECT($D$9):F992)</f>
        <v>-0.04379616935777281</v>
      </c>
      <c r="D11" s="10"/>
      <c r="E11"/>
    </row>
    <row r="12" spans="1:5" ht="12.75">
      <c r="A12" t="s">
        <v>15</v>
      </c>
      <c r="B12"/>
      <c r="C12" s="23">
        <f ca="1">SLOPE(INDIRECT($E$9):G992,INDIRECT($D$9):F992)</f>
        <v>4.4279846037914345E-06</v>
      </c>
      <c r="D12" s="10"/>
      <c r="E12"/>
    </row>
    <row r="13" spans="1:3" ht="12.75">
      <c r="A13" t="s">
        <v>16</v>
      </c>
      <c r="B13"/>
      <c r="C13" s="10" t="s">
        <v>17</v>
      </c>
    </row>
    <row r="14" spans="1:3" ht="12.75">
      <c r="A14"/>
      <c r="B14"/>
      <c r="C14"/>
    </row>
    <row r="15" spans="1:6" ht="12.75">
      <c r="A15" s="24" t="s">
        <v>18</v>
      </c>
      <c r="B15"/>
      <c r="C15" s="25">
        <f>(C7+C11)+(C8+C12)*INT(MAX(F21:F3533))</f>
        <v>57959.94304556289</v>
      </c>
      <c r="E15" s="26" t="s">
        <v>19</v>
      </c>
      <c r="F15" s="27">
        <v>1</v>
      </c>
    </row>
    <row r="16" spans="1:6" ht="12.75">
      <c r="A16" s="24" t="s">
        <v>20</v>
      </c>
      <c r="B16"/>
      <c r="C16" s="25">
        <f>+C8+C12</f>
        <v>0.8268704279846038</v>
      </c>
      <c r="E16" s="26" t="s">
        <v>21</v>
      </c>
      <c r="F16" s="28">
        <f ca="1">NOW()+15018.5+$C$5/24</f>
        <v>59904.72544421296</v>
      </c>
    </row>
    <row r="17" spans="1:6" ht="12.75">
      <c r="A17" s="26" t="s">
        <v>22</v>
      </c>
      <c r="B17"/>
      <c r="C17">
        <f>COUNT(C21:C2191)</f>
        <v>6</v>
      </c>
      <c r="E17" s="26" t="s">
        <v>23</v>
      </c>
      <c r="F17" s="23">
        <f>ROUND(2*(F16-$C$7)/$C$8,0)/2+F15</f>
        <v>36891</v>
      </c>
    </row>
    <row r="18" spans="1:6" ht="12.75">
      <c r="A18" s="24" t="s">
        <v>24</v>
      </c>
      <c r="B18"/>
      <c r="C18" s="29">
        <f>+C15</f>
        <v>57959.94304556289</v>
      </c>
      <c r="D18" s="30">
        <f>+C16</f>
        <v>0.8268704279846038</v>
      </c>
      <c r="E18" s="26" t="s">
        <v>25</v>
      </c>
      <c r="F18" s="21">
        <f>ROUND(2*(F16-$C$15)/$C$16,0)/2+F15</f>
        <v>2353</v>
      </c>
    </row>
    <row r="19" spans="5:6" ht="12.75">
      <c r="E19" s="26" t="s">
        <v>26</v>
      </c>
      <c r="F19" s="31">
        <f>+$C$15+$C$16*F18-15018.5-$C$5/24</f>
        <v>44887.464995944</v>
      </c>
    </row>
    <row r="20" spans="1:21" ht="12.75">
      <c r="A20" s="22" t="s">
        <v>27</v>
      </c>
      <c r="B20" s="22" t="s">
        <v>28</v>
      </c>
      <c r="C20" s="22" t="s">
        <v>29</v>
      </c>
      <c r="D20" s="22" t="s">
        <v>30</v>
      </c>
      <c r="E20" s="22" t="s">
        <v>31</v>
      </c>
      <c r="F20" s="22" t="s">
        <v>32</v>
      </c>
      <c r="G20" s="22" t="s">
        <v>33</v>
      </c>
      <c r="H20" s="32" t="s">
        <v>34</v>
      </c>
      <c r="I20" s="32" t="s">
        <v>35</v>
      </c>
      <c r="J20" s="32" t="s">
        <v>36</v>
      </c>
      <c r="K20" s="32" t="s">
        <v>37</v>
      </c>
      <c r="L20" s="32" t="s">
        <v>38</v>
      </c>
      <c r="M20" s="32" t="s">
        <v>39</v>
      </c>
      <c r="N20" s="32" t="s">
        <v>40</v>
      </c>
      <c r="O20" s="32" t="s">
        <v>41</v>
      </c>
      <c r="P20" s="32" t="s">
        <v>42</v>
      </c>
      <c r="Q20" s="22" t="s">
        <v>43</v>
      </c>
      <c r="U20" s="33" t="s">
        <v>44</v>
      </c>
    </row>
    <row r="21" spans="1:17" ht="12.75">
      <c r="A21" s="1" t="s">
        <v>9</v>
      </c>
      <c r="C21" s="16">
        <v>29401.536</v>
      </c>
      <c r="D21" s="16" t="s">
        <v>17</v>
      </c>
      <c r="E21" s="1">
        <f aca="true" t="shared" si="0" ref="E21:E26">+(C21-C$7)/C$8</f>
        <v>0</v>
      </c>
      <c r="F21" s="1">
        <f aca="true" t="shared" si="1" ref="F21:F26">ROUND(2*E21,0)/2</f>
        <v>0</v>
      </c>
      <c r="G21" s="1">
        <f aca="true" t="shared" si="2" ref="G21:G26">+C21-(C$7+F21*C$8)</f>
        <v>0</v>
      </c>
      <c r="H21" s="1">
        <f>+G21</f>
        <v>0</v>
      </c>
      <c r="O21" s="1">
        <f aca="true" t="shared" si="3" ref="O21:O26">+C$11+C$12*$F21</f>
        <v>-0.04379616935777281</v>
      </c>
      <c r="Q21" s="34">
        <f aca="true" t="shared" si="4" ref="Q21:Q26">+C21-15018.5</f>
        <v>14383.036</v>
      </c>
    </row>
    <row r="22" spans="1:17" ht="12.75">
      <c r="A22" s="1" t="s">
        <v>45</v>
      </c>
      <c r="B22" s="1" t="s">
        <v>46</v>
      </c>
      <c r="C22" s="16">
        <v>52086.469</v>
      </c>
      <c r="D22" s="16"/>
      <c r="E22" s="1">
        <f t="shared" si="0"/>
        <v>27434.835874252898</v>
      </c>
      <c r="F22" s="1">
        <f t="shared" si="1"/>
        <v>27435</v>
      </c>
      <c r="G22" s="1">
        <f t="shared" si="2"/>
        <v>-0.13571000000229105</v>
      </c>
      <c r="I22" s="1">
        <f>+G22</f>
        <v>-0.13571000000229105</v>
      </c>
      <c r="O22" s="1">
        <f t="shared" si="3"/>
        <v>0.0776855882472452</v>
      </c>
      <c r="Q22" s="34">
        <f t="shared" si="4"/>
        <v>37067.969</v>
      </c>
    </row>
    <row r="23" spans="1:17" ht="12.75">
      <c r="A23" s="35" t="s">
        <v>47</v>
      </c>
      <c r="B23" s="36" t="s">
        <v>46</v>
      </c>
      <c r="C23" s="37">
        <v>57931.45497999992</v>
      </c>
      <c r="D23" s="37">
        <v>0.0004</v>
      </c>
      <c r="E23" s="1">
        <f t="shared" si="0"/>
        <v>34503.67892741982</v>
      </c>
      <c r="F23" s="1">
        <f t="shared" si="1"/>
        <v>34503.5</v>
      </c>
      <c r="G23" s="1">
        <f t="shared" si="2"/>
        <v>0.1479489999182988</v>
      </c>
      <c r="I23" s="1">
        <f>+G23</f>
        <v>0.1479489999182988</v>
      </c>
      <c r="O23" s="1">
        <f t="shared" si="3"/>
        <v>0.10898479741914496</v>
      </c>
      <c r="Q23" s="34">
        <f t="shared" si="4"/>
        <v>42912.95497999992</v>
      </c>
    </row>
    <row r="24" spans="1:17" ht="12.75">
      <c r="A24" s="35" t="s">
        <v>47</v>
      </c>
      <c r="B24" s="36" t="s">
        <v>46</v>
      </c>
      <c r="C24" s="37">
        <v>57938.49043999985</v>
      </c>
      <c r="D24" s="37">
        <v>0.0011</v>
      </c>
      <c r="E24" s="1">
        <f t="shared" si="0"/>
        <v>34512.187512849545</v>
      </c>
      <c r="F24" s="1">
        <f t="shared" si="1"/>
        <v>34512</v>
      </c>
      <c r="G24" s="1">
        <f t="shared" si="2"/>
        <v>0.15504799984773854</v>
      </c>
      <c r="I24" s="1">
        <f>+G24</f>
        <v>0.15504799984773854</v>
      </c>
      <c r="O24" s="1">
        <f t="shared" si="3"/>
        <v>0.10902243528827718</v>
      </c>
      <c r="Q24" s="34">
        <f t="shared" si="4"/>
        <v>42919.99043999985</v>
      </c>
    </row>
    <row r="25" spans="1:17" ht="12.75">
      <c r="A25" s="35" t="s">
        <v>47</v>
      </c>
      <c r="B25" s="36" t="s">
        <v>48</v>
      </c>
      <c r="C25" s="37">
        <v>57948.40948999999</v>
      </c>
      <c r="D25" s="37">
        <v>0.0013</v>
      </c>
      <c r="E25" s="1">
        <f t="shared" si="0"/>
        <v>34524.18347108237</v>
      </c>
      <c r="F25" s="1">
        <f t="shared" si="1"/>
        <v>34524</v>
      </c>
      <c r="G25" s="1">
        <f t="shared" si="2"/>
        <v>0.15170599998964462</v>
      </c>
      <c r="I25" s="1">
        <f>+G25</f>
        <v>0.15170599998964462</v>
      </c>
      <c r="O25" s="1">
        <f t="shared" si="3"/>
        <v>0.10907557110352267</v>
      </c>
      <c r="Q25" s="34">
        <f t="shared" si="4"/>
        <v>42929.90948999999</v>
      </c>
    </row>
    <row r="26" spans="1:17" ht="12.75">
      <c r="A26" s="35" t="s">
        <v>47</v>
      </c>
      <c r="B26" s="36" t="s">
        <v>46</v>
      </c>
      <c r="C26" s="37">
        <v>57960.39845999982</v>
      </c>
      <c r="D26" s="37">
        <v>0.0006</v>
      </c>
      <c r="E26" s="1">
        <f t="shared" si="0"/>
        <v>34538.6827611727</v>
      </c>
      <c r="F26" s="1">
        <f t="shared" si="1"/>
        <v>34538.5</v>
      </c>
      <c r="G26" s="1">
        <f t="shared" si="2"/>
        <v>0.15111899982730392</v>
      </c>
      <c r="I26" s="1">
        <f>+G26</f>
        <v>0.15111899982730392</v>
      </c>
      <c r="O26" s="1">
        <f t="shared" si="3"/>
        <v>0.10913977688027765</v>
      </c>
      <c r="Q26" s="34">
        <f t="shared" si="4"/>
        <v>42941.89845999982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7109375" style="16" customWidth="1"/>
    <col min="2" max="2" width="4.421875" style="0" customWidth="1"/>
    <col min="3" max="3" width="12.7109375" style="16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16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8" t="s">
        <v>49</v>
      </c>
      <c r="I1" s="39" t="s">
        <v>50</v>
      </c>
      <c r="J1" s="40" t="s">
        <v>37</v>
      </c>
    </row>
    <row r="2" spans="9:10" ht="12.75">
      <c r="I2" s="41" t="s">
        <v>51</v>
      </c>
      <c r="J2" s="42" t="s">
        <v>36</v>
      </c>
    </row>
    <row r="3" spans="1:10" ht="12.75">
      <c r="A3" s="43" t="s">
        <v>52</v>
      </c>
      <c r="I3" s="41" t="s">
        <v>53</v>
      </c>
      <c r="J3" s="42" t="s">
        <v>34</v>
      </c>
    </row>
    <row r="4" spans="9:10" ht="12.75">
      <c r="I4" s="41" t="s">
        <v>54</v>
      </c>
      <c r="J4" s="42" t="s">
        <v>34</v>
      </c>
    </row>
    <row r="5" spans="9:10" ht="12.75">
      <c r="I5" s="44" t="s">
        <v>55</v>
      </c>
      <c r="J5" s="45" t="s">
        <v>35</v>
      </c>
    </row>
    <row r="11" spans="1:16" ht="12.75" customHeight="1">
      <c r="A11" s="16" t="str">
        <f>P11</f>
        <v> BBS 125 </v>
      </c>
      <c r="B11" s="10" t="str">
        <f>IF(H11=INT(H11),"I","II")</f>
        <v>I</v>
      </c>
      <c r="C11" s="16">
        <f>1*G11</f>
        <v>52086.469</v>
      </c>
      <c r="D11" t="str">
        <f>VLOOKUP(F11,I$1:J$5,2,FALSE)</f>
        <v>vis</v>
      </c>
      <c r="E11">
        <f>VLOOKUP(C11,A!C$21:E$973,3,FALSE)</f>
        <v>27434.835874252898</v>
      </c>
      <c r="F11" s="10" t="s">
        <v>55</v>
      </c>
      <c r="G11" t="str">
        <f>MID(I11,3,LEN(I11)-3)</f>
        <v>52086.469</v>
      </c>
      <c r="H11" s="16">
        <f>1*K11</f>
        <v>27435</v>
      </c>
      <c r="I11" s="46" t="s">
        <v>56</v>
      </c>
      <c r="J11" s="47" t="s">
        <v>57</v>
      </c>
      <c r="K11" s="46">
        <v>27435</v>
      </c>
      <c r="L11" s="46" t="s">
        <v>58</v>
      </c>
      <c r="M11" s="47" t="s">
        <v>59</v>
      </c>
      <c r="N11" s="47" t="s">
        <v>60</v>
      </c>
      <c r="O11" s="48" t="s">
        <v>61</v>
      </c>
      <c r="P11" s="48" t="s">
        <v>45</v>
      </c>
    </row>
  </sheetData>
  <sheetProtection selectLockedCells="1" selectUnlockedCells="1"/>
  <hyperlinks>
    <hyperlink ref="A3" r:id="rId1" display="http://www.bav-astro.de/LkDB/index.php?lang=en&amp;sprache_dial=en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2022-11-21T04:24:38Z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