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4B03B99-FA82-4013-99A0-9C93E9538B51}" xr6:coauthVersionLast="47" xr6:coauthVersionMax="47" xr10:uidLastSave="{00000000-0000-0000-0000-000000000000}"/>
  <bookViews>
    <workbookView xWindow="14460" yWindow="840" windowWidth="14505" windowHeight="1449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K34" i="1" s="1"/>
  <c r="Q34" i="1"/>
  <c r="E31" i="1"/>
  <c r="F31" i="1" s="1"/>
  <c r="G31" i="1" s="1"/>
  <c r="K31" i="1" s="1"/>
  <c r="Q31" i="1"/>
  <c r="E32" i="1"/>
  <c r="F32" i="1" s="1"/>
  <c r="G32" i="1" s="1"/>
  <c r="K32" i="1" s="1"/>
  <c r="Q32" i="1"/>
  <c r="E33" i="1"/>
  <c r="F33" i="1"/>
  <c r="G33" i="1"/>
  <c r="K33" i="1" s="1"/>
  <c r="Q33" i="1"/>
  <c r="E30" i="1"/>
  <c r="F30" i="1"/>
  <c r="G30" i="1"/>
  <c r="K30" i="1"/>
  <c r="D9" i="1"/>
  <c r="C9" i="1"/>
  <c r="Q30" i="1"/>
  <c r="E22" i="1"/>
  <c r="F22" i="1"/>
  <c r="G22" i="1"/>
  <c r="J22" i="1"/>
  <c r="E23" i="1"/>
  <c r="F23" i="1"/>
  <c r="G23" i="1"/>
  <c r="J23" i="1"/>
  <c r="E21" i="1"/>
  <c r="F21" i="1"/>
  <c r="G21" i="1"/>
  <c r="K21" i="1"/>
  <c r="E24" i="1"/>
  <c r="F24" i="1"/>
  <c r="G24" i="1"/>
  <c r="K24" i="1"/>
  <c r="E25" i="1"/>
  <c r="F25" i="1"/>
  <c r="G25" i="1"/>
  <c r="K25" i="1"/>
  <c r="E26" i="1"/>
  <c r="F26" i="1"/>
  <c r="G26" i="1"/>
  <c r="E27" i="1"/>
  <c r="F27" i="1"/>
  <c r="G27" i="1"/>
  <c r="K27" i="1"/>
  <c r="E28" i="1"/>
  <c r="F28" i="1"/>
  <c r="G28" i="1"/>
  <c r="K28" i="1"/>
  <c r="E29" i="1"/>
  <c r="F29" i="1"/>
  <c r="G29" i="1"/>
  <c r="K29" i="1"/>
  <c r="Q22" i="1"/>
  <c r="Q23" i="1"/>
  <c r="G14" i="2"/>
  <c r="C14" i="2"/>
  <c r="E14" i="2"/>
  <c r="G13" i="2"/>
  <c r="C13" i="2"/>
  <c r="E13" i="2"/>
  <c r="G12" i="2"/>
  <c r="C12" i="2"/>
  <c r="E12" i="2"/>
  <c r="G11" i="2"/>
  <c r="C11" i="2"/>
  <c r="E11" i="2"/>
  <c r="G16" i="2"/>
  <c r="C16" i="2"/>
  <c r="E16" i="2"/>
  <c r="G15" i="2"/>
  <c r="C15" i="2"/>
  <c r="E15" i="2"/>
  <c r="H14" i="2"/>
  <c r="D14" i="2"/>
  <c r="B14" i="2"/>
  <c r="A14" i="2"/>
  <c r="H13" i="2"/>
  <c r="D13" i="2"/>
  <c r="B13" i="2"/>
  <c r="A13" i="2"/>
  <c r="H12" i="2"/>
  <c r="D12" i="2"/>
  <c r="B12" i="2"/>
  <c r="A12" i="2"/>
  <c r="H11" i="2"/>
  <c r="D11" i="2"/>
  <c r="B11" i="2"/>
  <c r="A11" i="2"/>
  <c r="H16" i="2"/>
  <c r="D16" i="2"/>
  <c r="B16" i="2"/>
  <c r="A16" i="2"/>
  <c r="H15" i="2"/>
  <c r="D15" i="2"/>
  <c r="B15" i="2"/>
  <c r="A15" i="2"/>
  <c r="Q29" i="1"/>
  <c r="Q28" i="1"/>
  <c r="Q26" i="1"/>
  <c r="K26" i="1"/>
  <c r="Q27" i="1"/>
  <c r="Q25" i="1"/>
  <c r="F16" i="1"/>
  <c r="C17" i="1"/>
  <c r="Q24" i="1"/>
  <c r="R24" i="1"/>
  <c r="Q21" i="1"/>
  <c r="C12" i="1"/>
  <c r="C11" i="1"/>
  <c r="O34" i="1" l="1"/>
  <c r="O33" i="1"/>
  <c r="O32" i="1"/>
  <c r="O31" i="1"/>
  <c r="C15" i="1"/>
  <c r="O24" i="1"/>
  <c r="O23" i="1"/>
  <c r="O30" i="1"/>
  <c r="O28" i="1"/>
  <c r="O27" i="1"/>
  <c r="O25" i="1"/>
  <c r="O21" i="1"/>
  <c r="O22" i="1"/>
  <c r="O26" i="1"/>
  <c r="O29" i="1"/>
  <c r="C16" i="1"/>
  <c r="D18" i="1" s="1"/>
  <c r="F17" i="1"/>
  <c r="F18" i="1" l="1"/>
  <c r="F19" i="1" s="1"/>
  <c r="C18" i="1"/>
</calcChain>
</file>

<file path=xl/sharedStrings.xml><?xml version="1.0" encoding="utf-8"?>
<sst xmlns="http://schemas.openxmlformats.org/spreadsheetml/2006/main" count="136" uniqueCount="94">
  <si>
    <t>VSB-64</t>
  </si>
  <si>
    <t>s5</t>
  </si>
  <si>
    <t>s6</t>
  </si>
  <si>
    <t>s7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</si>
  <si>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</si>
  <si>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</si>
  <si>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</si>
  <si>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</si>
  <si>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</si>
  <si>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</si>
  <si>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</si>
  <si>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</si>
  <si>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</si>
  <si>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</si>
  <si>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</si>
  <si>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</si>
  <si>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</si>
  <si>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</si>
  <si>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</si>
  <si>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</si>
  <si>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</si>
  <si>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</si>
  <si>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</si>
  <si>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</si>
  <si>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</si>
  <si>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</si>
  <si>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</si>
  <si>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</si>
  <si>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</si>
  <si>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</si>
  <si>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</si>
  <si>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</si>
  <si>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</si>
  <si>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</si>
  <si>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</si>
  <si>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 xml:space="preserve">EA        </t>
  </si>
  <si>
    <t>not avail.</t>
  </si>
  <si>
    <t xml:space="preserve">V2425 Oph / GSC 5066-0280 / NSV 8513        </t>
  </si>
  <si>
    <t>IBVS 4407</t>
  </si>
  <si>
    <t>Kreiner</t>
  </si>
  <si>
    <t>Add cycle</t>
  </si>
  <si>
    <t>Old Cycle</t>
  </si>
  <si>
    <t>I</t>
  </si>
  <si>
    <t>IBVS 6029</t>
  </si>
  <si>
    <t>II</t>
  </si>
  <si>
    <t>OEJV 0160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</si>
  <si>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</si>
  <si>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</si>
  <si>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</si>
  <si>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</si>
  <si>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</si>
  <si>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</si>
  <si>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</si>
  <si>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</si>
  <si>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</si>
  <si>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</si>
  <si>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</si>
  <si>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</si>
  <si>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2450957.452 </t>
  </si>
  <si>
    <t> 23.05.1998 22:50 </t>
  </si>
  <si>
    <t> -0.000 </t>
  </si>
  <si>
    <t>E </t>
  </si>
  <si>
    <t>?</t>
  </si>
  <si>
    <t> R.Diethelm </t>
  </si>
  <si>
    <t> BBS 118 </t>
  </si>
  <si>
    <t>2451746.4184 </t>
  </si>
  <si>
    <t> 20.07.2000 22:02 </t>
  </si>
  <si>
    <t> 0.0002 </t>
  </si>
  <si>
    <t> BBS 123 </t>
  </si>
  <si>
    <t>2455006.303 </t>
  </si>
  <si>
    <t> 23.06.2009 19:16 </t>
  </si>
  <si>
    <t> 0.000 </t>
  </si>
  <si>
    <t>C </t>
  </si>
  <si>
    <t>o</t>
  </si>
  <si>
    <t> A.Paschke </t>
  </si>
  <si>
    <t>OEJV 0116 </t>
  </si>
  <si>
    <t>2455802.31867 </t>
  </si>
  <si>
    <t> 28.08.2011 19:38 </t>
  </si>
  <si>
    <t> -0.00231 </t>
  </si>
  <si>
    <t> K.Honkova </t>
  </si>
  <si>
    <t>OEJV 0160 </t>
  </si>
  <si>
    <t>2456073.8310 </t>
  </si>
  <si>
    <t> 26.05.2012 07:56 </t>
  </si>
  <si>
    <t> -0.0001 </t>
  </si>
  <si>
    <t>IBVS 6029 </t>
  </si>
  <si>
    <t>2456076.47588 </t>
  </si>
  <si>
    <t> 28.05.2012 23:25 </t>
  </si>
  <si>
    <t> 0.00020 </t>
  </si>
  <si>
    <t> M.Mašek </t>
  </si>
  <si>
    <t>OEJV 0116</t>
  </si>
  <si>
    <t>VSB, 91</t>
  </si>
  <si>
    <t>B</t>
  </si>
  <si>
    <t>Ic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</si>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</sst>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"/>
    <numFmt numFmtId="166" formatCode="0.0000"/>
    <numFmt numFmtId="167" formatCode="0.00000"/>
  </numFmts>
  <fonts count="3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15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5" xfId="0" applyFont="1" applyBorder="1">
      <alignment vertical="top"/>
    </xf>
    <xf numFmtId="0" fontId="16" fillId="24" borderId="5" xfId="0" applyFont="1" applyFill="1" applyBorder="1">
      <alignment vertical="top"/>
    </xf>
    <xf numFmtId="0" fontId="0" fillId="0" borderId="0" xfId="0" applyAlignment="1">
      <alignment horizontal="left" vertical="top"/>
    </xf>
    <xf numFmtId="0" fontId="17" fillId="0" borderId="0" xfId="0" applyFont="1">
      <alignment vertical="top"/>
    </xf>
    <xf numFmtId="0" fontId="17" fillId="0" borderId="0" xfId="0" applyFont="1" applyAlignment="1">
      <alignment horizontal="center" vertical="top"/>
    </xf>
    <xf numFmtId="165" fontId="17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9" fillId="25" borderId="17" xfId="38" applyFill="1" applyBorder="1" applyAlignment="1" applyProtection="1">
      <alignment horizontal="right" vertical="top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6" fillId="0" borderId="0" xfId="42" applyFont="1"/>
    <xf numFmtId="0" fontId="36" fillId="0" borderId="0" xfId="42" applyFont="1" applyAlignment="1">
      <alignment horizontal="center"/>
    </xf>
    <xf numFmtId="166" fontId="36" fillId="0" borderId="0" xfId="42" applyNumberFormat="1" applyFont="1" applyAlignment="1">
      <alignment horizontal="left" vertical="top"/>
    </xf>
    <xf numFmtId="0" fontId="36" fillId="0" borderId="0" xfId="42" applyFont="1" applyAlignment="1">
      <alignment horizontal="left" vertical="top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7" fontId="38" fillId="0" borderId="0" xfId="0" applyNumberFormat="1" applyFont="1" applyAlignment="1">
      <alignment vertical="center" wrapText="1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167" fontId="38" fillId="0" borderId="0" xfId="0" applyNumberFormat="1" applyFont="1" applyAlignment="1" applyProtection="1">
      <alignment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V2425 Oph - O-C Diagr.</a:t>
            </a:r>
          </a:p>
        </c:rich>
      </c:tx>
      <c:layout>
        <c:manualLayout>
          <c:xMode val="edge"/>
          <c:yMode val="edge"/>
          <c:x val="0.3654135338345864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40601503759398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10-4631-BFC2-8E10339E14D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10-4631-BFC2-8E10339E14D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-1.6550000007555354E-2</c:v>
                </c:pt>
                <c:pt idx="2">
                  <c:v>-3.7400000001071021E-2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10-4631-BFC2-8E10339E14D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3">
                  <c:v>-5.6300000003830064E-2</c:v>
                </c:pt>
                <c:pt idx="4">
                  <c:v>-0.12470000000030268</c:v>
                </c:pt>
                <c:pt idx="5">
                  <c:v>-0.14868000000569737</c:v>
                </c:pt>
                <c:pt idx="6">
                  <c:v>-0.15375000000494765</c:v>
                </c:pt>
                <c:pt idx="7">
                  <c:v>-0.15352000000711996</c:v>
                </c:pt>
                <c:pt idx="8">
                  <c:v>-0.17493000000104075</c:v>
                </c:pt>
                <c:pt idx="9">
                  <c:v>-0.2028000000063912</c:v>
                </c:pt>
                <c:pt idx="10">
                  <c:v>-0.24204999990615761</c:v>
                </c:pt>
                <c:pt idx="11">
                  <c:v>-0.24105000020790612</c:v>
                </c:pt>
                <c:pt idx="12">
                  <c:v>-0.24005000004399335</c:v>
                </c:pt>
                <c:pt idx="13">
                  <c:v>-0.25250000014784746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10-4631-BFC2-8E10339E14D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10-4631-BFC2-8E10339E14D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10-4631-BFC2-8E10339E14D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4">
                    <c:v>8.9999999999999993E-3</c:v>
                  </c:pt>
                  <c:pt idx="5">
                    <c:v>2.9999999999999997E-4</c:v>
                  </c:pt>
                  <c:pt idx="6">
                    <c:v>4.0000000000000002E-4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10-4631-BFC2-8E10339E14D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392.5</c:v>
                </c:pt>
                <c:pt idx="2">
                  <c:v>840</c:v>
                </c:pt>
                <c:pt idx="3">
                  <c:v>1268</c:v>
                </c:pt>
                <c:pt idx="4">
                  <c:v>2689</c:v>
                </c:pt>
                <c:pt idx="5">
                  <c:v>3140.5</c:v>
                </c:pt>
                <c:pt idx="6">
                  <c:v>3294.5</c:v>
                </c:pt>
                <c:pt idx="7">
                  <c:v>3296</c:v>
                </c:pt>
                <c:pt idx="8">
                  <c:v>3705.5</c:v>
                </c:pt>
                <c:pt idx="9">
                  <c:v>4306</c:v>
                </c:pt>
                <c:pt idx="10">
                  <c:v>5167.5</c:v>
                </c:pt>
                <c:pt idx="11">
                  <c:v>5167.5</c:v>
                </c:pt>
                <c:pt idx="12">
                  <c:v>5167.5</c:v>
                </c:pt>
                <c:pt idx="13">
                  <c:v>5387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1.4168758798881187E-3</c:v>
                </c:pt>
                <c:pt idx="1">
                  <c:v>-1.7070981292845597E-2</c:v>
                </c:pt>
                <c:pt idx="2">
                  <c:v>-3.8149493610803151E-2</c:v>
                </c:pt>
                <c:pt idx="3">
                  <c:v>-5.8309500922726791E-2</c:v>
                </c:pt>
                <c:pt idx="4">
                  <c:v>-0.1252426093111462</c:v>
                </c:pt>
                <c:pt idx="5">
                  <c:v>-0.14650953291239274</c:v>
                </c:pt>
                <c:pt idx="6">
                  <c:v>-0.15376336731901946</c:v>
                </c:pt>
                <c:pt idx="7">
                  <c:v>-0.15383402155025286</c:v>
                </c:pt>
                <c:pt idx="8">
                  <c:v>-0.17312262667696485</c:v>
                </c:pt>
                <c:pt idx="9">
                  <c:v>-0.20140787058072687</c:v>
                </c:pt>
                <c:pt idx="10">
                  <c:v>-0.24198695071909654</c:v>
                </c:pt>
                <c:pt idx="11">
                  <c:v>-0.24198695071909654</c:v>
                </c:pt>
                <c:pt idx="12">
                  <c:v>-0.24198695071909654</c:v>
                </c:pt>
                <c:pt idx="13">
                  <c:v>-0.25232601988958081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10-4631-BFC2-8E10339E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357600"/>
        <c:axId val="1"/>
      </c:scatterChart>
      <c:valAx>
        <c:axId val="833357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3576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315789473684209"/>
          <c:y val="0.92397937099967764"/>
          <c:w val="0.6105263157894738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17</xdr:col>
      <xdr:colOff>647700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19D482F-F977-1629-C2E6-71E62D476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koly.hu/cgi-bin/IBVS?6029" TargetMode="External"/><Relationship Id="rId2" Type="http://schemas.openxmlformats.org/officeDocument/2006/relationships/hyperlink" Target="http://var.astro.cz/oejv/issues/oejv0160.pdf" TargetMode="External"/><Relationship Id="rId1" Type="http://schemas.openxmlformats.org/officeDocument/2006/relationships/hyperlink" Target="http://var.astro.cz/oejv/issues/oejv0116.pdf" TargetMode="External"/><Relationship Id="rId4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40"/>
  <sheetViews>
    <sheetView tabSelected="1" workbookViewId="0">
      <selection activeCell="F10" sqref="F10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37</v>
      </c>
    </row>
    <row r="2" spans="1:6">
      <c r="A2" t="s">
        <v>27</v>
      </c>
      <c r="B2" s="28" t="s">
        <v>35</v>
      </c>
      <c r="C2" s="3"/>
      <c r="D2" s="3"/>
    </row>
    <row r="3" spans="1:6" ht="13.5" thickBot="1"/>
    <row r="4" spans="1:6" ht="14.25" thickTop="1" thickBot="1">
      <c r="A4" s="5" t="s">
        <v>4</v>
      </c>
      <c r="C4" s="8" t="s">
        <v>36</v>
      </c>
      <c r="D4" s="9" t="s">
        <v>36</v>
      </c>
    </row>
    <row r="5" spans="1:6" ht="13.5" thickTop="1">
      <c r="A5" s="11" t="s">
        <v>29</v>
      </c>
      <c r="B5" s="12"/>
      <c r="C5" s="13">
        <v>-9.5</v>
      </c>
      <c r="D5" s="12" t="s">
        <v>30</v>
      </c>
    </row>
    <row r="6" spans="1:6">
      <c r="A6" s="5" t="s">
        <v>5</v>
      </c>
    </row>
    <row r="7" spans="1:6">
      <c r="A7" t="s">
        <v>6</v>
      </c>
      <c r="C7">
        <v>50265.451800000003</v>
      </c>
    </row>
    <row r="8" spans="1:6">
      <c r="A8" t="s">
        <v>7</v>
      </c>
      <c r="C8">
        <v>1.7630999999999999</v>
      </c>
      <c r="D8" s="29" t="s">
        <v>38</v>
      </c>
    </row>
    <row r="9" spans="1:6">
      <c r="A9" s="26" t="s">
        <v>34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>
      <c r="A10" s="12"/>
      <c r="B10" s="12"/>
      <c r="C10" s="4" t="s">
        <v>23</v>
      </c>
      <c r="D10" s="4" t="s">
        <v>24</v>
      </c>
      <c r="E10" s="12"/>
    </row>
    <row r="11" spans="1:6">
      <c r="A11" s="12" t="s">
        <v>19</v>
      </c>
      <c r="B11" s="12"/>
      <c r="C11" s="23">
        <f ca="1">INTERCEPT(INDIRECT($D$9):G992,INDIRECT($C$9):F992)</f>
        <v>1.4168758798881187E-3</v>
      </c>
      <c r="D11" s="3"/>
      <c r="E11" s="12"/>
    </row>
    <row r="12" spans="1:6">
      <c r="A12" s="12" t="s">
        <v>20</v>
      </c>
      <c r="B12" s="12"/>
      <c r="C12" s="23">
        <f ca="1">SLOPE(INDIRECT($D$9):G992,INDIRECT($C$9):F992)</f>
        <v>-4.7102820822251508E-5</v>
      </c>
      <c r="D12" s="3"/>
      <c r="E12" s="12"/>
    </row>
    <row r="13" spans="1:6">
      <c r="A13" s="12" t="s">
        <v>22</v>
      </c>
      <c r="B13" s="12"/>
      <c r="C13" s="3" t="s">
        <v>17</v>
      </c>
    </row>
    <row r="14" spans="1:6">
      <c r="A14" s="12"/>
      <c r="B14" s="12"/>
      <c r="C14" s="12"/>
    </row>
    <row r="15" spans="1:6">
      <c r="A15" s="14" t="s">
        <v>21</v>
      </c>
      <c r="B15" s="12"/>
      <c r="C15" s="15">
        <f ca="1">(C7+C11)+(C8+C12)*INT(MAX(F21:F3533))</f>
        <v>59763.019173980108</v>
      </c>
      <c r="E15" s="16" t="s">
        <v>40</v>
      </c>
      <c r="F15" s="13">
        <v>1</v>
      </c>
    </row>
    <row r="16" spans="1:6">
      <c r="A16" s="18" t="s">
        <v>8</v>
      </c>
      <c r="B16" s="12"/>
      <c r="C16" s="19">
        <f ca="1">+C8+C12</f>
        <v>1.7630528971791777</v>
      </c>
      <c r="E16" s="16" t="s">
        <v>31</v>
      </c>
      <c r="F16" s="17">
        <f ca="1">NOW()+15018.5+$C$5/24</f>
        <v>60178.756791782405</v>
      </c>
    </row>
    <row r="17" spans="1:18" ht="13.5" thickBot="1">
      <c r="A17" s="16" t="s">
        <v>28</v>
      </c>
      <c r="B17" s="12"/>
      <c r="C17" s="12">
        <f>COUNT(C21:C2191)</f>
        <v>14</v>
      </c>
      <c r="E17" s="16" t="s">
        <v>41</v>
      </c>
      <c r="F17" s="17">
        <f ca="1">ROUND(2*(F16-$C$7)/$C$8,0)/2+F15</f>
        <v>5623.5</v>
      </c>
    </row>
    <row r="18" spans="1:18" ht="14.25" thickTop="1" thickBot="1">
      <c r="A18" s="18" t="s">
        <v>9</v>
      </c>
      <c r="B18" s="12"/>
      <c r="C18" s="21">
        <f ca="1">+C15</f>
        <v>59763.019173980108</v>
      </c>
      <c r="D18" s="22">
        <f ca="1">+C16</f>
        <v>1.7630528971791777</v>
      </c>
      <c r="E18" s="16" t="s">
        <v>32</v>
      </c>
      <c r="F18" s="25">
        <f ca="1">ROUND(2*(F16-$C$15)/$C$16,0)/2+F15</f>
        <v>237</v>
      </c>
    </row>
    <row r="19" spans="1:18" ht="13.5" thickTop="1">
      <c r="E19" s="16" t="s">
        <v>33</v>
      </c>
      <c r="F19" s="20">
        <f ca="1">+$C$15+$C$16*F18-15018.5-$C$5/24</f>
        <v>45162.75854394491</v>
      </c>
    </row>
    <row r="20" spans="1:18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54</v>
      </c>
      <c r="I20" s="7" t="s">
        <v>57</v>
      </c>
      <c r="J20" s="7" t="s">
        <v>51</v>
      </c>
      <c r="K20" s="7" t="s">
        <v>49</v>
      </c>
      <c r="L20" s="7" t="s">
        <v>1</v>
      </c>
      <c r="M20" s="7" t="s">
        <v>2</v>
      </c>
      <c r="N20" s="7" t="s">
        <v>3</v>
      </c>
      <c r="O20" s="7" t="s">
        <v>26</v>
      </c>
      <c r="P20" s="6" t="s">
        <v>25</v>
      </c>
      <c r="Q20" s="4" t="s">
        <v>18</v>
      </c>
    </row>
    <row r="21" spans="1:18">
      <c r="A21" t="s">
        <v>38</v>
      </c>
      <c r="C21" s="10">
        <v>50265.451800000003</v>
      </c>
      <c r="D21" s="10" t="s">
        <v>17</v>
      </c>
      <c r="E21">
        <f t="shared" ref="E21:E29" si="0">+(C21-C$7)/C$8</f>
        <v>0</v>
      </c>
      <c r="F21">
        <f t="shared" ref="F21:F30" si="1">ROUND(2*E21,0)/2</f>
        <v>0</v>
      </c>
      <c r="G21">
        <f t="shared" ref="G21:G29" si="2">+C21-(C$7+F21*C$8)</f>
        <v>0</v>
      </c>
      <c r="K21">
        <f>+G21</f>
        <v>0</v>
      </c>
      <c r="O21">
        <f t="shared" ref="O21:O29" ca="1" si="3">+C$11+C$12*$F21</f>
        <v>1.4168758798881187E-3</v>
      </c>
      <c r="Q21" s="2">
        <f t="shared" ref="Q21:Q29" si="4">+C21-15018.5</f>
        <v>35246.951800000003</v>
      </c>
    </row>
    <row r="22" spans="1:18">
      <c r="A22" s="49" t="s">
        <v>64</v>
      </c>
      <c r="B22" s="51" t="s">
        <v>44</v>
      </c>
      <c r="C22" s="50">
        <v>50957.451999999997</v>
      </c>
      <c r="D22" s="10"/>
      <c r="E22">
        <f t="shared" si="0"/>
        <v>392.49061312460719</v>
      </c>
      <c r="F22">
        <f t="shared" si="1"/>
        <v>392.5</v>
      </c>
      <c r="G22">
        <f t="shared" si="2"/>
        <v>-1.6550000007555354E-2</v>
      </c>
      <c r="J22">
        <f>+G22</f>
        <v>-1.6550000007555354E-2</v>
      </c>
      <c r="O22">
        <f t="shared" ca="1" si="3"/>
        <v>-1.7070981292845597E-2</v>
      </c>
      <c r="Q22" s="2">
        <f t="shared" si="4"/>
        <v>35938.951999999997</v>
      </c>
    </row>
    <row r="23" spans="1:18">
      <c r="A23" s="49" t="s">
        <v>68</v>
      </c>
      <c r="B23" s="51" t="s">
        <v>42</v>
      </c>
      <c r="C23" s="50">
        <v>51746.418400000002</v>
      </c>
      <c r="D23" s="10"/>
      <c r="E23">
        <f t="shared" si="0"/>
        <v>839.97878736316704</v>
      </c>
      <c r="F23">
        <f t="shared" si="1"/>
        <v>840</v>
      </c>
      <c r="G23">
        <f t="shared" si="2"/>
        <v>-3.7400000001071021E-2</v>
      </c>
      <c r="J23">
        <f>+G23</f>
        <v>-3.7400000001071021E-2</v>
      </c>
      <c r="O23">
        <f t="shared" ca="1" si="3"/>
        <v>-3.8149493610803151E-2</v>
      </c>
      <c r="Q23" s="2">
        <f t="shared" si="4"/>
        <v>36727.918400000002</v>
      </c>
    </row>
    <row r="24" spans="1:18">
      <c r="A24" t="s">
        <v>39</v>
      </c>
      <c r="C24" s="30">
        <v>52501.006300000001</v>
      </c>
      <c r="D24" s="10"/>
      <c r="E24">
        <f t="shared" si="0"/>
        <v>1267.9680676081894</v>
      </c>
      <c r="F24">
        <f t="shared" si="1"/>
        <v>1268</v>
      </c>
      <c r="G24">
        <f t="shared" si="2"/>
        <v>-5.6300000003830064E-2</v>
      </c>
      <c r="K24">
        <f t="shared" ref="K24:K30" si="5">+G24</f>
        <v>-5.6300000003830064E-2</v>
      </c>
      <c r="O24">
        <f t="shared" ca="1" si="3"/>
        <v>-5.8309500922726791E-2</v>
      </c>
      <c r="Q24" s="2">
        <f t="shared" si="4"/>
        <v>37482.506300000001</v>
      </c>
      <c r="R24" t="str">
        <f>IF(ABS(C24-C23)&lt;0.00001,1,"")</f>
        <v/>
      </c>
    </row>
    <row r="25" spans="1:18">
      <c r="A25" s="31" t="s">
        <v>89</v>
      </c>
      <c r="B25" s="32" t="s">
        <v>42</v>
      </c>
      <c r="C25" s="33">
        <v>55006.303</v>
      </c>
      <c r="D25" s="33">
        <v>8.9999999999999993E-3</v>
      </c>
      <c r="E25">
        <f t="shared" si="0"/>
        <v>2688.9292723044623</v>
      </c>
      <c r="F25">
        <f t="shared" si="1"/>
        <v>2689</v>
      </c>
      <c r="G25">
        <f t="shared" si="2"/>
        <v>-0.12470000000030268</v>
      </c>
      <c r="K25">
        <f t="shared" si="5"/>
        <v>-0.12470000000030268</v>
      </c>
      <c r="O25">
        <f t="shared" ca="1" si="3"/>
        <v>-0.1252426093111462</v>
      </c>
      <c r="Q25" s="2">
        <f t="shared" si="4"/>
        <v>39987.803</v>
      </c>
    </row>
    <row r="26" spans="1:18">
      <c r="A26" s="31" t="s">
        <v>45</v>
      </c>
      <c r="B26" s="52" t="s">
        <v>44</v>
      </c>
      <c r="C26" s="53">
        <v>55802.318670000001</v>
      </c>
      <c r="D26" s="53">
        <v>2.9999999999999997E-4</v>
      </c>
      <c r="E26">
        <f t="shared" si="0"/>
        <v>3140.4156712608465</v>
      </c>
      <c r="F26">
        <f t="shared" si="1"/>
        <v>3140.5</v>
      </c>
      <c r="G26">
        <f t="shared" si="2"/>
        <v>-0.14868000000569737</v>
      </c>
      <c r="K26">
        <f t="shared" si="5"/>
        <v>-0.14868000000569737</v>
      </c>
      <c r="O26">
        <f t="shared" ca="1" si="3"/>
        <v>-0.14650953291239274</v>
      </c>
      <c r="Q26" s="2">
        <f t="shared" si="4"/>
        <v>40783.818670000001</v>
      </c>
    </row>
    <row r="27" spans="1:18">
      <c r="A27" s="34" t="s">
        <v>43</v>
      </c>
      <c r="B27" s="35" t="s">
        <v>44</v>
      </c>
      <c r="C27" s="34">
        <v>56073.830999999998</v>
      </c>
      <c r="D27" s="34">
        <v>4.0000000000000002E-4</v>
      </c>
      <c r="E27">
        <f t="shared" si="0"/>
        <v>3294.4127956440338</v>
      </c>
      <c r="F27">
        <f t="shared" si="1"/>
        <v>3294.5</v>
      </c>
      <c r="G27">
        <f t="shared" si="2"/>
        <v>-0.15375000000494765</v>
      </c>
      <c r="K27">
        <f t="shared" si="5"/>
        <v>-0.15375000000494765</v>
      </c>
      <c r="O27">
        <f t="shared" ca="1" si="3"/>
        <v>-0.15376336731901946</v>
      </c>
      <c r="Q27" s="2">
        <f t="shared" si="4"/>
        <v>41055.330999999998</v>
      </c>
    </row>
    <row r="28" spans="1:18">
      <c r="A28" s="31" t="s">
        <v>45</v>
      </c>
      <c r="B28" s="52" t="s">
        <v>42</v>
      </c>
      <c r="C28" s="53">
        <v>56076.475879999998</v>
      </c>
      <c r="D28" s="53">
        <v>5.0000000000000001E-4</v>
      </c>
      <c r="E28">
        <f t="shared" si="0"/>
        <v>3295.9129260960785</v>
      </c>
      <c r="F28">
        <f t="shared" si="1"/>
        <v>3296</v>
      </c>
      <c r="G28">
        <f t="shared" si="2"/>
        <v>-0.15352000000711996</v>
      </c>
      <c r="K28">
        <f t="shared" si="5"/>
        <v>-0.15352000000711996</v>
      </c>
      <c r="O28">
        <f t="shared" ca="1" si="3"/>
        <v>-0.15383402155025286</v>
      </c>
      <c r="Q28" s="2">
        <f t="shared" si="4"/>
        <v>41057.975879999998</v>
      </c>
    </row>
    <row r="29" spans="1:18">
      <c r="A29" s="53" t="s">
        <v>46</v>
      </c>
      <c r="B29" s="52" t="s">
        <v>44</v>
      </c>
      <c r="C29" s="54">
        <v>56798.443919999998</v>
      </c>
      <c r="D29" s="53">
        <v>2.0000000000000001E-4</v>
      </c>
      <c r="E29">
        <f t="shared" si="0"/>
        <v>3705.4007827122659</v>
      </c>
      <c r="F29">
        <f t="shared" si="1"/>
        <v>3705.5</v>
      </c>
      <c r="G29">
        <f t="shared" si="2"/>
        <v>-0.17493000000104075</v>
      </c>
      <c r="K29">
        <f t="shared" si="5"/>
        <v>-0.17493000000104075</v>
      </c>
      <c r="O29">
        <f t="shared" ca="1" si="3"/>
        <v>-0.17312262667696485</v>
      </c>
      <c r="Q29" s="2">
        <f t="shared" si="4"/>
        <v>41779.943919999998</v>
      </c>
    </row>
    <row r="30" spans="1:18">
      <c r="A30" s="55" t="s">
        <v>0</v>
      </c>
      <c r="B30" s="56" t="s">
        <v>42</v>
      </c>
      <c r="C30" s="57">
        <v>57857.157599999999</v>
      </c>
      <c r="D30" s="58" t="s">
        <v>56</v>
      </c>
      <c r="E30">
        <f>+(C30-C$7)/C$8</f>
        <v>4305.8849753275463</v>
      </c>
      <c r="F30">
        <f t="shared" si="1"/>
        <v>4306</v>
      </c>
      <c r="G30">
        <f>+C30-(C$7+F30*C$8)</f>
        <v>-0.2028000000063912</v>
      </c>
      <c r="K30">
        <f t="shared" si="5"/>
        <v>-0.2028000000063912</v>
      </c>
      <c r="O30">
        <f ca="1">+C$11+C$12*$F30</f>
        <v>-0.20140787058072687</v>
      </c>
      <c r="Q30" s="2">
        <f>+C30-15018.5</f>
        <v>42838.657599999999</v>
      </c>
    </row>
    <row r="31" spans="1:18">
      <c r="A31" s="59" t="s">
        <v>90</v>
      </c>
      <c r="B31" s="60" t="s">
        <v>42</v>
      </c>
      <c r="C31" s="61">
        <v>59376.029000000097</v>
      </c>
      <c r="D31" s="59" t="s">
        <v>91</v>
      </c>
      <c r="E31">
        <f t="shared" ref="E31:E33" si="6">+(C31-C$7)/C$8</f>
        <v>5167.3627134025837</v>
      </c>
      <c r="F31">
        <f t="shared" ref="F31:F33" si="7">ROUND(2*E31,0)/2</f>
        <v>5167.5</v>
      </c>
      <c r="G31">
        <f t="shared" ref="G31:G33" si="8">+C31-(C$7+F31*C$8)</f>
        <v>-0.24204999990615761</v>
      </c>
      <c r="K31">
        <f t="shared" ref="K31:K33" si="9">+G31</f>
        <v>-0.24204999990615761</v>
      </c>
      <c r="O31">
        <f t="shared" ref="O31:O33" ca="1" si="10">+C$11+C$12*$F31</f>
        <v>-0.24198695071909654</v>
      </c>
      <c r="Q31" s="2">
        <f t="shared" ref="Q31:Q33" si="11">+C31-15018.5</f>
        <v>44357.529000000097</v>
      </c>
    </row>
    <row r="32" spans="1:18">
      <c r="A32" s="59" t="s">
        <v>90</v>
      </c>
      <c r="B32" s="60" t="s">
        <v>42</v>
      </c>
      <c r="C32" s="61">
        <v>59376.029999999795</v>
      </c>
      <c r="D32" s="59" t="s">
        <v>56</v>
      </c>
      <c r="E32">
        <f t="shared" si="6"/>
        <v>5167.3632805852158</v>
      </c>
      <c r="F32">
        <f t="shared" si="7"/>
        <v>5167.5</v>
      </c>
      <c r="G32">
        <f t="shared" si="8"/>
        <v>-0.24105000020790612</v>
      </c>
      <c r="K32">
        <f t="shared" si="9"/>
        <v>-0.24105000020790612</v>
      </c>
      <c r="O32">
        <f t="shared" ca="1" si="10"/>
        <v>-0.24198695071909654</v>
      </c>
      <c r="Q32" s="2">
        <f t="shared" si="11"/>
        <v>44357.529999999795</v>
      </c>
    </row>
    <row r="33" spans="1:17">
      <c r="A33" s="59" t="s">
        <v>90</v>
      </c>
      <c r="B33" s="60" t="s">
        <v>42</v>
      </c>
      <c r="C33" s="61">
        <v>59376.030999999959</v>
      </c>
      <c r="D33" s="59" t="s">
        <v>92</v>
      </c>
      <c r="E33">
        <f t="shared" si="6"/>
        <v>5167.3638477681116</v>
      </c>
      <c r="F33">
        <f t="shared" si="7"/>
        <v>5167.5</v>
      </c>
      <c r="G33">
        <f t="shared" si="8"/>
        <v>-0.24005000004399335</v>
      </c>
      <c r="K33">
        <f t="shared" si="9"/>
        <v>-0.24005000004399335</v>
      </c>
      <c r="O33">
        <f t="shared" ca="1" si="10"/>
        <v>-0.24198695071909654</v>
      </c>
      <c r="Q33" s="2">
        <f t="shared" si="11"/>
        <v>44357.530999999959</v>
      </c>
    </row>
    <row r="34" spans="1:17">
      <c r="A34" s="62" t="s">
        <v>93</v>
      </c>
      <c r="B34" s="63" t="s">
        <v>42</v>
      </c>
      <c r="C34" s="64">
        <v>59763.018999999855</v>
      </c>
      <c r="D34" s="10"/>
      <c r="E34">
        <f t="shared" ref="E34" si="12">+(C34-C$7)/C$8</f>
        <v>5386.8567863421549</v>
      </c>
      <c r="F34">
        <f t="shared" ref="F34" si="13">ROUND(2*E34,0)/2</f>
        <v>5387</v>
      </c>
      <c r="G34">
        <f t="shared" ref="G34" si="14">+C34-(C$7+F34*C$8)</f>
        <v>-0.25250000014784746</v>
      </c>
      <c r="K34">
        <f t="shared" ref="K34" si="15">+G34</f>
        <v>-0.25250000014784746</v>
      </c>
      <c r="O34">
        <f t="shared" ref="O34" ca="1" si="16">+C$11+C$12*$F34</f>
        <v>-0.25232601988958081</v>
      </c>
      <c r="Q34" s="2">
        <f t="shared" ref="Q34" si="17">+C34-15018.5</f>
        <v>44744.518999999855</v>
      </c>
    </row>
    <row r="35" spans="1:17">
      <c r="C35" s="10"/>
      <c r="D35" s="10"/>
    </row>
    <row r="36" spans="1:17">
      <c r="C36" s="10"/>
      <c r="D36" s="10"/>
    </row>
    <row r="37" spans="1:17">
      <c r="C37" s="10"/>
      <c r="D37" s="10"/>
    </row>
    <row r="38" spans="1:17">
      <c r="C38" s="10"/>
      <c r="D38" s="10"/>
    </row>
    <row r="39" spans="1:17">
      <c r="C39" s="10"/>
      <c r="D39" s="10"/>
    </row>
    <row r="40" spans="1:17">
      <c r="C40" s="10"/>
      <c r="D40" s="10"/>
    </row>
    <row r="41" spans="1:17">
      <c r="C41" s="10"/>
      <c r="D41" s="10"/>
    </row>
    <row r="42" spans="1:17">
      <c r="C42" s="10"/>
      <c r="D42" s="10"/>
    </row>
    <row r="43" spans="1:17">
      <c r="C43" s="10"/>
      <c r="D43" s="10"/>
    </row>
    <row r="44" spans="1:17">
      <c r="C44" s="10"/>
      <c r="D44" s="10"/>
    </row>
    <row r="45" spans="1:17">
      <c r="C45" s="10"/>
      <c r="D45" s="10"/>
    </row>
    <row r="46" spans="1:17">
      <c r="C46" s="10"/>
      <c r="D46" s="10"/>
    </row>
    <row r="47" spans="1:17">
      <c r="C47" s="10"/>
      <c r="D47" s="10"/>
    </row>
    <row r="48" spans="1:17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  <row r="6936" spans="3:4">
      <c r="C6936" s="10"/>
      <c r="D6936" s="10"/>
    </row>
    <row r="6937" spans="3:4">
      <c r="C6937" s="10"/>
      <c r="D6937" s="10"/>
    </row>
    <row r="6938" spans="3:4">
      <c r="C6938" s="10"/>
      <c r="D6938" s="10"/>
    </row>
    <row r="6939" spans="3:4">
      <c r="C6939" s="10"/>
      <c r="D6939" s="10"/>
    </row>
    <row r="6940" spans="3:4">
      <c r="C6940" s="10"/>
      <c r="D6940" s="10"/>
    </row>
  </sheetData>
  <phoneticPr fontId="8" type="noConversion"/>
  <hyperlinks>
    <hyperlink ref="H62901" r:id="rId1" display="http://vsolj.cetus-net.org/bulletin.html" xr:uid="{00000000-0004-0000-0000-000000000000}"/>
    <hyperlink ref="H62894" r:id="rId2" display="http://vsolj.cetus-net.org/bulletin.html" xr:uid="{00000000-0004-0000-0000-000001000000}"/>
    <hyperlink ref="AP391" r:id="rId3" display="http://cdsbib.u-strasbg.fr/cgi-bin/cdsbib?1990RMxAA..21..381G" xr:uid="{00000000-0004-0000-0000-000002000000}"/>
    <hyperlink ref="AP394" r:id="rId4" display="http://cdsbib.u-strasbg.fr/cgi-bin/cdsbib?1990RMxAA..21..381G" xr:uid="{00000000-0004-0000-0000-000003000000}"/>
    <hyperlink ref="AP392" r:id="rId5" display="http://cdsbib.u-strasbg.fr/cgi-bin/cdsbib?1990RMxAA..21..381G" xr:uid="{00000000-0004-0000-0000-000004000000}"/>
    <hyperlink ref="AP370" r:id="rId6" display="http://cdsbib.u-strasbg.fr/cgi-bin/cdsbib?1990RMxAA..21..381G" xr:uid="{00000000-0004-0000-0000-000005000000}"/>
    <hyperlink ref="I62901" r:id="rId7" display="http://vsolj.cetus-net.org/bulletin.html" xr:uid="{00000000-0004-0000-0000-000006000000}"/>
    <hyperlink ref="AQ504" r:id="rId8" display="http://cdsbib.u-strasbg.fr/cgi-bin/cdsbib?1990RMxAA..21..381G" xr:uid="{00000000-0004-0000-0000-000007000000}"/>
    <hyperlink ref="AQ64309" r:id="rId9" display="http://cdsbib.u-strasbg.fr/cgi-bin/cdsbib?1990RMxAA..21..381G" xr:uid="{00000000-0004-0000-0000-000008000000}"/>
    <hyperlink ref="AQ505" r:id="rId10" display="http://cdsbib.u-strasbg.fr/cgi-bin/cdsbib?1990RMxAA..21..381G" xr:uid="{00000000-0004-0000-0000-000009000000}"/>
    <hyperlink ref="H62898" r:id="rId11" display="https://www.aavso.org/ejaavso" xr:uid="{00000000-0004-0000-0000-00000A000000}"/>
  </hyperlinks>
  <pageMargins left="0.75" right="0.75" top="1" bottom="1" header="0.5" footer="0.5"/>
  <pageSetup orientation="portrait" horizontalDpi="300" verticalDpi="300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68"/>
  <sheetViews>
    <sheetView workbookViewId="0">
      <selection activeCell="A15" sqref="A15:C16"/>
    </sheetView>
  </sheetViews>
  <sheetFormatPr defaultRowHeight="12.75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>
      <c r="A1" s="36" t="s">
        <v>47</v>
      </c>
      <c r="I1" s="37" t="s">
        <v>48</v>
      </c>
      <c r="J1" s="38" t="s">
        <v>49</v>
      </c>
    </row>
    <row r="2" spans="1:16">
      <c r="I2" s="39" t="s">
        <v>50</v>
      </c>
      <c r="J2" s="40" t="s">
        <v>51</v>
      </c>
    </row>
    <row r="3" spans="1:16">
      <c r="A3" s="41" t="s">
        <v>52</v>
      </c>
      <c r="I3" s="39" t="s">
        <v>53</v>
      </c>
      <c r="J3" s="40" t="s">
        <v>54</v>
      </c>
    </row>
    <row r="4" spans="1:16">
      <c r="I4" s="39" t="s">
        <v>55</v>
      </c>
      <c r="J4" s="40" t="s">
        <v>54</v>
      </c>
    </row>
    <row r="5" spans="1:16" ht="13.5" thickBot="1">
      <c r="I5" s="42" t="s">
        <v>56</v>
      </c>
      <c r="J5" s="43" t="s">
        <v>57</v>
      </c>
    </row>
    <row r="10" spans="1:16" ht="13.5" thickBot="1"/>
    <row r="11" spans="1:16" ht="12.75" customHeight="1" thickBot="1">
      <c r="A11" s="10" t="str">
        <f t="shared" ref="A11:A16" si="0">P11</f>
        <v>OEJV 0116 </v>
      </c>
      <c r="B11" s="3" t="str">
        <f t="shared" ref="B11:B16" si="1">IF(H11=INT(H11),"I","II")</f>
        <v>I</v>
      </c>
      <c r="C11" s="10">
        <f t="shared" ref="C11:C16" si="2">1*G11</f>
        <v>55006.303</v>
      </c>
      <c r="D11" s="12" t="str">
        <f t="shared" ref="D11:D16" si="3">VLOOKUP(F11,I$1:J$5,2,FALSE)</f>
        <v>vis</v>
      </c>
      <c r="E11" s="44">
        <f>VLOOKUP(C11,Active!C$21:E$973,3,FALSE)</f>
        <v>2688.9292723044623</v>
      </c>
      <c r="F11" s="3" t="s">
        <v>56</v>
      </c>
      <c r="G11" s="12" t="str">
        <f t="shared" ref="G11:G16" si="4">MID(I11,3,LEN(I11)-3)</f>
        <v>55006.303</v>
      </c>
      <c r="H11" s="10">
        <f t="shared" ref="H11:H16" si="5">1*K11</f>
        <v>1421</v>
      </c>
      <c r="I11" s="45" t="s">
        <v>69</v>
      </c>
      <c r="J11" s="46" t="s">
        <v>70</v>
      </c>
      <c r="K11" s="45">
        <v>1421</v>
      </c>
      <c r="L11" s="45" t="s">
        <v>71</v>
      </c>
      <c r="M11" s="46" t="s">
        <v>72</v>
      </c>
      <c r="N11" s="46" t="s">
        <v>73</v>
      </c>
      <c r="O11" s="47" t="s">
        <v>74</v>
      </c>
      <c r="P11" s="48" t="s">
        <v>75</v>
      </c>
    </row>
    <row r="12" spans="1:16" ht="12.75" customHeight="1" thickBot="1">
      <c r="A12" s="10" t="str">
        <f t="shared" si="0"/>
        <v>OEJV 0160 </v>
      </c>
      <c r="B12" s="3" t="str">
        <f t="shared" si="1"/>
        <v>II</v>
      </c>
      <c r="C12" s="10">
        <f t="shared" si="2"/>
        <v>55802.318670000001</v>
      </c>
      <c r="D12" s="12" t="str">
        <f t="shared" si="3"/>
        <v>vis</v>
      </c>
      <c r="E12" s="44">
        <f>VLOOKUP(C12,Active!C$21:E$973,3,FALSE)</f>
        <v>3140.4156712608465</v>
      </c>
      <c r="F12" s="3" t="s">
        <v>56</v>
      </c>
      <c r="G12" s="12" t="str">
        <f t="shared" si="4"/>
        <v>55802.31867</v>
      </c>
      <c r="H12" s="10">
        <f t="shared" si="5"/>
        <v>1872.5</v>
      </c>
      <c r="I12" s="45" t="s">
        <v>76</v>
      </c>
      <c r="J12" s="46" t="s">
        <v>77</v>
      </c>
      <c r="K12" s="45">
        <v>1872.5</v>
      </c>
      <c r="L12" s="45" t="s">
        <v>78</v>
      </c>
      <c r="M12" s="46" t="s">
        <v>72</v>
      </c>
      <c r="N12" s="46" t="s">
        <v>48</v>
      </c>
      <c r="O12" s="47" t="s">
        <v>79</v>
      </c>
      <c r="P12" s="48" t="s">
        <v>80</v>
      </c>
    </row>
    <row r="13" spans="1:16" ht="12.75" customHeight="1" thickBot="1">
      <c r="A13" s="10" t="str">
        <f t="shared" si="0"/>
        <v>IBVS 6029 </v>
      </c>
      <c r="B13" s="3" t="str">
        <f t="shared" si="1"/>
        <v>II</v>
      </c>
      <c r="C13" s="10">
        <f t="shared" si="2"/>
        <v>56073.830999999998</v>
      </c>
      <c r="D13" s="12" t="str">
        <f t="shared" si="3"/>
        <v>vis</v>
      </c>
      <c r="E13" s="44">
        <f>VLOOKUP(C13,Active!C$21:E$973,3,FALSE)</f>
        <v>3294.4127956440338</v>
      </c>
      <c r="F13" s="3" t="s">
        <v>56</v>
      </c>
      <c r="G13" s="12" t="str">
        <f t="shared" si="4"/>
        <v>56073.8310</v>
      </c>
      <c r="H13" s="10">
        <f t="shared" si="5"/>
        <v>2026.5</v>
      </c>
      <c r="I13" s="45" t="s">
        <v>81</v>
      </c>
      <c r="J13" s="46" t="s">
        <v>82</v>
      </c>
      <c r="K13" s="45">
        <v>2026.5</v>
      </c>
      <c r="L13" s="45" t="s">
        <v>83</v>
      </c>
      <c r="M13" s="46" t="s">
        <v>72</v>
      </c>
      <c r="N13" s="46" t="s">
        <v>56</v>
      </c>
      <c r="O13" s="47" t="s">
        <v>63</v>
      </c>
      <c r="P13" s="48" t="s">
        <v>84</v>
      </c>
    </row>
    <row r="14" spans="1:16" ht="12.75" customHeight="1" thickBot="1">
      <c r="A14" s="10" t="str">
        <f t="shared" si="0"/>
        <v>OEJV 0160 </v>
      </c>
      <c r="B14" s="3" t="str">
        <f t="shared" si="1"/>
        <v>I</v>
      </c>
      <c r="C14" s="10">
        <f t="shared" si="2"/>
        <v>56076.475879999998</v>
      </c>
      <c r="D14" s="12" t="str">
        <f t="shared" si="3"/>
        <v>vis</v>
      </c>
      <c r="E14" s="44">
        <f>VLOOKUP(C14,Active!C$21:E$973,3,FALSE)</f>
        <v>3295.9129260960785</v>
      </c>
      <c r="F14" s="3" t="s">
        <v>56</v>
      </c>
      <c r="G14" s="12" t="str">
        <f t="shared" si="4"/>
        <v>56076.47588</v>
      </c>
      <c r="H14" s="10">
        <f t="shared" si="5"/>
        <v>2028</v>
      </c>
      <c r="I14" s="45" t="s">
        <v>85</v>
      </c>
      <c r="J14" s="46" t="s">
        <v>86</v>
      </c>
      <c r="K14" s="45">
        <v>2028</v>
      </c>
      <c r="L14" s="45" t="s">
        <v>87</v>
      </c>
      <c r="M14" s="46" t="s">
        <v>72</v>
      </c>
      <c r="N14" s="46" t="s">
        <v>48</v>
      </c>
      <c r="O14" s="47" t="s">
        <v>88</v>
      </c>
      <c r="P14" s="48" t="s">
        <v>80</v>
      </c>
    </row>
    <row r="15" spans="1:16" ht="12.75" customHeight="1" thickBot="1">
      <c r="A15" s="10" t="str">
        <f t="shared" si="0"/>
        <v> BBS 118 </v>
      </c>
      <c r="B15" s="3" t="str">
        <f t="shared" si="1"/>
        <v>II</v>
      </c>
      <c r="C15" s="10">
        <f t="shared" si="2"/>
        <v>50957.451999999997</v>
      </c>
      <c r="D15" s="12" t="str">
        <f t="shared" si="3"/>
        <v>vis</v>
      </c>
      <c r="E15" s="44">
        <f>VLOOKUP(C15,Active!C$21:E$973,3,FALSE)</f>
        <v>392.49061312460719</v>
      </c>
      <c r="F15" s="3" t="s">
        <v>56</v>
      </c>
      <c r="G15" s="12" t="str">
        <f t="shared" si="4"/>
        <v>50957.452</v>
      </c>
      <c r="H15" s="10">
        <f t="shared" si="5"/>
        <v>-875.5</v>
      </c>
      <c r="I15" s="45" t="s">
        <v>58</v>
      </c>
      <c r="J15" s="46" t="s">
        <v>59</v>
      </c>
      <c r="K15" s="45">
        <v>-875.5</v>
      </c>
      <c r="L15" s="45" t="s">
        <v>60</v>
      </c>
      <c r="M15" s="46" t="s">
        <v>61</v>
      </c>
      <c r="N15" s="46" t="s">
        <v>62</v>
      </c>
      <c r="O15" s="47" t="s">
        <v>63</v>
      </c>
      <c r="P15" s="47" t="s">
        <v>64</v>
      </c>
    </row>
    <row r="16" spans="1:16" ht="12.75" customHeight="1" thickBot="1">
      <c r="A16" s="10" t="str">
        <f t="shared" si="0"/>
        <v> BBS 123 </v>
      </c>
      <c r="B16" s="3" t="str">
        <f t="shared" si="1"/>
        <v>I</v>
      </c>
      <c r="C16" s="10">
        <f t="shared" si="2"/>
        <v>51746.418400000002</v>
      </c>
      <c r="D16" s="12" t="str">
        <f t="shared" si="3"/>
        <v>vis</v>
      </c>
      <c r="E16" s="44">
        <f>VLOOKUP(C16,Active!C$21:E$973,3,FALSE)</f>
        <v>839.97878736316704</v>
      </c>
      <c r="F16" s="3" t="s">
        <v>56</v>
      </c>
      <c r="G16" s="12" t="str">
        <f t="shared" si="4"/>
        <v>51746.4184</v>
      </c>
      <c r="H16" s="10">
        <f t="shared" si="5"/>
        <v>-428</v>
      </c>
      <c r="I16" s="45" t="s">
        <v>65</v>
      </c>
      <c r="J16" s="46" t="s">
        <v>66</v>
      </c>
      <c r="K16" s="45">
        <v>-428</v>
      </c>
      <c r="L16" s="45" t="s">
        <v>67</v>
      </c>
      <c r="M16" s="46" t="s">
        <v>61</v>
      </c>
      <c r="N16" s="46" t="s">
        <v>62</v>
      </c>
      <c r="O16" s="47" t="s">
        <v>63</v>
      </c>
      <c r="P16" s="47" t="s">
        <v>68</v>
      </c>
    </row>
    <row r="17" spans="2:6">
      <c r="B17" s="3"/>
      <c r="F17" s="3"/>
    </row>
    <row r="18" spans="2:6">
      <c r="B18" s="3"/>
      <c r="F18" s="3"/>
    </row>
    <row r="19" spans="2:6">
      <c r="B19" s="3"/>
      <c r="F19" s="3"/>
    </row>
    <row r="20" spans="2:6">
      <c r="B20" s="3"/>
      <c r="F20" s="3"/>
    </row>
    <row r="21" spans="2:6">
      <c r="B21" s="3"/>
      <c r="F21" s="3"/>
    </row>
    <row r="22" spans="2:6">
      <c r="B22" s="3"/>
      <c r="F22" s="3"/>
    </row>
    <row r="23" spans="2:6">
      <c r="B23" s="3"/>
      <c r="F23" s="3"/>
    </row>
    <row r="24" spans="2:6">
      <c r="B24" s="3"/>
      <c r="F24" s="3"/>
    </row>
    <row r="25" spans="2:6">
      <c r="B25" s="3"/>
      <c r="F25" s="3"/>
    </row>
    <row r="26" spans="2:6">
      <c r="B26" s="3"/>
      <c r="F26" s="3"/>
    </row>
    <row r="27" spans="2:6">
      <c r="B27" s="3"/>
      <c r="F27" s="3"/>
    </row>
    <row r="28" spans="2:6">
      <c r="B28" s="3"/>
      <c r="F28" s="3"/>
    </row>
    <row r="29" spans="2:6">
      <c r="B29" s="3"/>
      <c r="F29" s="3"/>
    </row>
    <row r="30" spans="2:6">
      <c r="B30" s="3"/>
      <c r="F30" s="3"/>
    </row>
    <row r="31" spans="2:6">
      <c r="B31" s="3"/>
      <c r="F31" s="3"/>
    </row>
    <row r="32" spans="2:6">
      <c r="B32" s="3"/>
      <c r="F32" s="3"/>
    </row>
    <row r="33" spans="2:6">
      <c r="B33" s="3"/>
      <c r="F33" s="3"/>
    </row>
    <row r="34" spans="2:6">
      <c r="B34" s="3"/>
      <c r="F34" s="3"/>
    </row>
    <row r="35" spans="2:6">
      <c r="B35" s="3"/>
      <c r="F35" s="3"/>
    </row>
    <row r="36" spans="2:6">
      <c r="B36" s="3"/>
      <c r="F36" s="3"/>
    </row>
    <row r="37" spans="2:6">
      <c r="B37" s="3"/>
      <c r="F37" s="3"/>
    </row>
    <row r="38" spans="2:6">
      <c r="B38" s="3"/>
      <c r="F38" s="3"/>
    </row>
    <row r="39" spans="2:6">
      <c r="B39" s="3"/>
      <c r="F39" s="3"/>
    </row>
    <row r="40" spans="2:6">
      <c r="B40" s="3"/>
      <c r="F40" s="3"/>
    </row>
    <row r="41" spans="2:6">
      <c r="B41" s="3"/>
      <c r="F41" s="3"/>
    </row>
    <row r="42" spans="2:6">
      <c r="B42" s="3"/>
      <c r="F42" s="3"/>
    </row>
    <row r="43" spans="2:6">
      <c r="B43" s="3"/>
      <c r="F43" s="3"/>
    </row>
    <row r="44" spans="2:6">
      <c r="B44" s="3"/>
      <c r="F44" s="3"/>
    </row>
    <row r="45" spans="2:6">
      <c r="B45" s="3"/>
      <c r="F45" s="3"/>
    </row>
    <row r="46" spans="2:6">
      <c r="B46" s="3"/>
      <c r="F46" s="3"/>
    </row>
    <row r="47" spans="2:6">
      <c r="B47" s="3"/>
      <c r="F47" s="3"/>
    </row>
    <row r="48" spans="2:6">
      <c r="B48" s="3"/>
      <c r="F48" s="3"/>
    </row>
    <row r="49" spans="2:6">
      <c r="B49" s="3"/>
      <c r="F49" s="3"/>
    </row>
    <row r="50" spans="2:6">
      <c r="B50" s="3"/>
      <c r="F50" s="3"/>
    </row>
    <row r="51" spans="2:6">
      <c r="B51" s="3"/>
      <c r="F51" s="3"/>
    </row>
    <row r="52" spans="2:6">
      <c r="B52" s="3"/>
      <c r="F52" s="3"/>
    </row>
    <row r="53" spans="2:6">
      <c r="B53" s="3"/>
      <c r="F53" s="3"/>
    </row>
    <row r="54" spans="2:6">
      <c r="B54" s="3"/>
      <c r="F54" s="3"/>
    </row>
    <row r="55" spans="2:6">
      <c r="B55" s="3"/>
      <c r="F55" s="3"/>
    </row>
    <row r="56" spans="2:6">
      <c r="B56" s="3"/>
      <c r="F56" s="3"/>
    </row>
    <row r="57" spans="2:6">
      <c r="B57" s="3"/>
      <c r="F57" s="3"/>
    </row>
    <row r="58" spans="2:6">
      <c r="B58" s="3"/>
      <c r="F58" s="3"/>
    </row>
    <row r="59" spans="2:6">
      <c r="B59" s="3"/>
      <c r="F59" s="3"/>
    </row>
    <row r="60" spans="2:6">
      <c r="B60" s="3"/>
      <c r="F60" s="3"/>
    </row>
    <row r="61" spans="2:6">
      <c r="B61" s="3"/>
      <c r="F61" s="3"/>
    </row>
    <row r="62" spans="2:6">
      <c r="B62" s="3"/>
      <c r="F62" s="3"/>
    </row>
    <row r="63" spans="2:6">
      <c r="B63" s="3"/>
      <c r="F63" s="3"/>
    </row>
    <row r="64" spans="2:6">
      <c r="B64" s="3"/>
      <c r="F64" s="3"/>
    </row>
    <row r="65" spans="2:6">
      <c r="B65" s="3"/>
      <c r="F65" s="3"/>
    </row>
    <row r="66" spans="2:6">
      <c r="B66" s="3"/>
      <c r="F66" s="3"/>
    </row>
    <row r="67" spans="2:6">
      <c r="B67" s="3"/>
      <c r="F67" s="3"/>
    </row>
    <row r="68" spans="2:6">
      <c r="B68" s="3"/>
      <c r="F68" s="3"/>
    </row>
    <row r="69" spans="2:6">
      <c r="B69" s="3"/>
      <c r="F69" s="3"/>
    </row>
    <row r="70" spans="2:6">
      <c r="B70" s="3"/>
      <c r="F70" s="3"/>
    </row>
    <row r="71" spans="2:6">
      <c r="B71" s="3"/>
      <c r="F71" s="3"/>
    </row>
    <row r="72" spans="2:6">
      <c r="B72" s="3"/>
      <c r="F72" s="3"/>
    </row>
    <row r="73" spans="2:6">
      <c r="B73" s="3"/>
      <c r="F73" s="3"/>
    </row>
    <row r="74" spans="2:6">
      <c r="B74" s="3"/>
      <c r="F74" s="3"/>
    </row>
    <row r="75" spans="2:6">
      <c r="B75" s="3"/>
      <c r="F75" s="3"/>
    </row>
    <row r="76" spans="2:6">
      <c r="B76" s="3"/>
      <c r="F76" s="3"/>
    </row>
    <row r="77" spans="2:6">
      <c r="B77" s="3"/>
      <c r="F77" s="3"/>
    </row>
    <row r="78" spans="2:6">
      <c r="B78" s="3"/>
      <c r="F78" s="3"/>
    </row>
    <row r="79" spans="2:6">
      <c r="B79" s="3"/>
      <c r="F79" s="3"/>
    </row>
    <row r="80" spans="2:6">
      <c r="B80" s="3"/>
      <c r="F80" s="3"/>
    </row>
    <row r="81" spans="2:6">
      <c r="B81" s="3"/>
      <c r="F81" s="3"/>
    </row>
    <row r="82" spans="2:6">
      <c r="B82" s="3"/>
      <c r="F82" s="3"/>
    </row>
    <row r="83" spans="2:6">
      <c r="B83" s="3"/>
      <c r="F83" s="3"/>
    </row>
    <row r="84" spans="2:6">
      <c r="B84" s="3"/>
      <c r="F84" s="3"/>
    </row>
    <row r="85" spans="2:6">
      <c r="B85" s="3"/>
      <c r="F85" s="3"/>
    </row>
    <row r="86" spans="2:6">
      <c r="B86" s="3"/>
      <c r="F86" s="3"/>
    </row>
    <row r="87" spans="2:6">
      <c r="B87" s="3"/>
      <c r="F87" s="3"/>
    </row>
    <row r="88" spans="2:6">
      <c r="B88" s="3"/>
      <c r="F88" s="3"/>
    </row>
    <row r="89" spans="2:6">
      <c r="B89" s="3"/>
      <c r="F89" s="3"/>
    </row>
    <row r="90" spans="2:6">
      <c r="B90" s="3"/>
      <c r="F90" s="3"/>
    </row>
    <row r="91" spans="2:6">
      <c r="B91" s="3"/>
      <c r="F91" s="3"/>
    </row>
    <row r="92" spans="2:6">
      <c r="B92" s="3"/>
      <c r="F92" s="3"/>
    </row>
    <row r="93" spans="2:6">
      <c r="B93" s="3"/>
      <c r="F93" s="3"/>
    </row>
    <row r="94" spans="2:6">
      <c r="B94" s="3"/>
      <c r="F94" s="3"/>
    </row>
    <row r="95" spans="2:6">
      <c r="B95" s="3"/>
      <c r="F95" s="3"/>
    </row>
    <row r="96" spans="2:6">
      <c r="B96" s="3"/>
      <c r="F96" s="3"/>
    </row>
    <row r="97" spans="2:6">
      <c r="B97" s="3"/>
      <c r="F97" s="3"/>
    </row>
    <row r="98" spans="2:6">
      <c r="B98" s="3"/>
      <c r="F98" s="3"/>
    </row>
    <row r="99" spans="2:6">
      <c r="B99" s="3"/>
      <c r="F99" s="3"/>
    </row>
    <row r="100" spans="2:6">
      <c r="B100" s="3"/>
      <c r="F100" s="3"/>
    </row>
    <row r="101" spans="2:6">
      <c r="B101" s="3"/>
      <c r="F101" s="3"/>
    </row>
    <row r="102" spans="2:6">
      <c r="B102" s="3"/>
      <c r="F102" s="3"/>
    </row>
    <row r="103" spans="2:6">
      <c r="B103" s="3"/>
      <c r="F103" s="3"/>
    </row>
    <row r="104" spans="2:6">
      <c r="B104" s="3"/>
      <c r="F104" s="3"/>
    </row>
    <row r="105" spans="2:6">
      <c r="B105" s="3"/>
      <c r="F105" s="3"/>
    </row>
    <row r="106" spans="2:6">
      <c r="B106" s="3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</sheetData>
  <phoneticPr fontId="8" type="noConversion"/>
  <hyperlinks>
    <hyperlink ref="P11" r:id="rId1" display="http://var.astro.cz/oejv/issues/oejv0116.pdf" xr:uid="{00000000-0004-0000-0100-000000000000}"/>
    <hyperlink ref="P12" r:id="rId2" display="http://var.astro.cz/oejv/issues/oejv0160.pdf" xr:uid="{00000000-0004-0000-0100-000001000000}"/>
    <hyperlink ref="P13" r:id="rId3" display="http://www.konkoly.hu/cgi-bin/IBVS?6029" xr:uid="{00000000-0004-0000-0100-000002000000}"/>
    <hyperlink ref="P14" r:id="rId4" display="http://var.astro.cz/oejv/issues/oejv0160.pdf" xr:uid="{00000000-0004-0000-0100-000003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2023-08-22T06:09:46Z</dcterms:modified>
</cp:coreProperties>
</file>