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0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<sst xmlns="http://schemas.openxmlformats.org/spreadsheetml/2006/main" count="112" uniqueCount="86">
  <si>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</si>
  <si>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</si>
  <si>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</si>
  <si>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</si>
  <si>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</si>
  <si>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</si>
  <si>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</si>
  <si>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</si>
  <si>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</si>
  <si>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</si>
  <si>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</si>
  <si>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</si>
  <si>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</si>
  <si>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</si>
  <si>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</si>
  <si>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</si>
  <si>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</si>
  <si>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</si>
  <si>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</si>
  <si>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</si>
  <si>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</si>
  <si>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</si>
  <si>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</si>
  <si>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</si>
  <si>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</si>
  <si>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</si>
  <si>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</si>
  <si>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</si>
  <si>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</si>
  <si>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</si>
  <si>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</si>
  <si>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</si>
  <si>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</si>
  <si>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</si>
  <si>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</si>
  <si>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</si>
  <si>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</si>
  <si>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</si>
  <si>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</si>
  <si>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</si>
  <si>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</si>
  <si>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</si>
  <si>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DW Ori / GSC 0729-1236</t>
  </si>
  <si>
    <t>EA</t>
  </si>
  <si>
    <t>IBVS 5960</t>
  </si>
  <si>
    <t>I</t>
  </si>
  <si>
    <t>OEJV 0160</t>
  </si>
  <si>
    <t>IBVS 6063</t>
  </si>
  <si>
    <t>OEJV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</si>
  <si>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</si>
  <si>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</si>
  <si>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</si>
  <si>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</si>
  <si>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</si>
  <si>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</si>
  <si>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</si>
  <si>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</si>
  <si>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</si>
  <si>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</si>
  <si>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</si>
  <si>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2451177.303 </t>
  </si>
  <si>
    <t> 29.12.1998 19:16 </t>
  </si>
  <si>
    <t> -0.002 </t>
  </si>
  <si>
    <t>E </t>
  </si>
  <si>
    <t>?</t>
  </si>
  <si>
    <t> R.Diethelm </t>
  </si>
  <si>
    <t> BBS 119 </t>
  </si>
  <si>
    <t>2452296.504 </t>
  </si>
  <si>
    <t> 22.01.2002 00:05 </t>
  </si>
  <si>
    <t> -0.004 </t>
  </si>
  <si>
    <t> BBS 127 </t>
  </si>
  <si>
    <t>2455523.9565 </t>
  </si>
  <si>
    <t> 23.11.2010 10:57 </t>
  </si>
  <si>
    <t> 0.0022 </t>
  </si>
  <si>
    <t>C </t>
  </si>
  <si>
    <t>IBVS 5960 </t>
  </si>
  <si>
    <t>2455992.35168 </t>
  </si>
  <si>
    <t> 05.03.2012 20:26 </t>
  </si>
  <si>
    <t> 0.00050 </t>
  </si>
  <si>
    <t> J.Trnka </t>
  </si>
  <si>
    <t>OEJV 0160 </t>
  </si>
  <si>
    <t>2456329.6732 </t>
  </si>
  <si>
    <t> 06.02.2013 04:09 </t>
  </si>
  <si>
    <t> 0.0030 </t>
  </si>
  <si>
    <t>IBVS 6063 </t>
  </si>
  <si>
    <t>JAVSO 49, 106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</si>
</sst>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7.35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0.0004</c:v>
                  </c:pt>
                  <c:pt idx="5">
                    <c:v>7E-05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543237"/>
        <c:axId val="65344814"/>
      </c:scatterChart>
      <c:valAx>
        <c:axId val="4454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814"/>
        <c:crosses val="autoZero"/>
        <c:crossBetween val="midCat"/>
        <c:dispUnits/>
      </c:valAx>
      <c:valAx>
        <c:axId val="6534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432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960" TargetMode="External" /><Relationship Id="rId2" Type="http://schemas.openxmlformats.org/officeDocument/2006/relationships/hyperlink" Target="http://var.astro.cz/oejv/issues/oejv0160.pdf" TargetMode="External" /><Relationship Id="rId3" Type="http://schemas.openxmlformats.org/officeDocument/2006/relationships/hyperlink" Target="http://www.konkoly.hu/cgi-bin/IBVS?60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51177.303</v>
      </c>
      <c r="D7" s="30" t="s">
        <v>41</v>
      </c>
    </row>
    <row r="8" spans="1:4" ht="12.75">
      <c r="A8" t="s">
        <v>3</v>
      </c>
      <c r="C8" s="8">
        <v>0.9166265</v>
      </c>
      <c r="D8" s="30" t="s">
        <v>41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-0.0010852217144728098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2.263118643236934E-06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59904.75951469907</v>
      </c>
    </row>
    <row r="15" spans="1:5" ht="12.75">
      <c r="A15" s="12" t="s">
        <v>17</v>
      </c>
      <c r="B15" s="10"/>
      <c r="C15" s="13">
        <f>(C7+C11)+(C8+C12)*INT(MAX(F21:F3533))</f>
        <v>58143.68051447997</v>
      </c>
      <c r="D15" s="14" t="s">
        <v>38</v>
      </c>
      <c r="E15" s="15">
        <f>ROUND(2*(E14-$C$7)/$C$8,0)/2+E13</f>
        <v>9522.5</v>
      </c>
    </row>
    <row r="16" spans="1:5" ht="12.75">
      <c r="A16" s="16" t="s">
        <v>4</v>
      </c>
      <c r="B16" s="10"/>
      <c r="C16" s="17">
        <f>+C8+C12</f>
        <v>0.9166287631186433</v>
      </c>
      <c r="D16" s="14" t="s">
        <v>39</v>
      </c>
      <c r="E16" s="24">
        <f>ROUND(2*(E14-$C$15)/$C$16,0)/2+E13</f>
        <v>1922.5</v>
      </c>
    </row>
    <row r="17" spans="1:5" ht="13.5" thickBot="1">
      <c r="A17" s="14" t="s">
        <v>29</v>
      </c>
      <c r="B17" s="10"/>
      <c r="C17" s="10">
        <f>COUNT(C21:C2191)</f>
        <v>6</v>
      </c>
      <c r="D17" s="14" t="s">
        <v>33</v>
      </c>
      <c r="E17" s="18">
        <f>+$C$15+$C$16*E16-15018.5-$C$9/24</f>
        <v>44887.7951449089</v>
      </c>
    </row>
    <row r="18" spans="1:5" ht="14.25" thickBot="1" thickTop="1">
      <c r="A18" s="16" t="s">
        <v>5</v>
      </c>
      <c r="B18" s="10"/>
      <c r="C18" s="19">
        <f>+C15</f>
        <v>58143.68051447997</v>
      </c>
      <c r="D18" s="20">
        <f>+C16</f>
        <v>0.9166287631186433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28</v>
      </c>
      <c r="J20" s="7" t="s">
        <v>48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t="s">
        <v>41</v>
      </c>
      <c r="C21" s="8">
        <f>C7</f>
        <v>51177.303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-0.0010852217144728098</v>
      </c>
      <c r="Q21" s="2">
        <f aca="true" t="shared" si="4" ref="Q21:Q26">+C21-15018.5</f>
        <v>36158.803</v>
      </c>
    </row>
    <row r="22" spans="1:17" ht="12.75">
      <c r="A22" s="49" t="s">
        <v>70</v>
      </c>
      <c r="B22" s="51" t="s">
        <v>45</v>
      </c>
      <c r="C22" s="50">
        <v>52296.504</v>
      </c>
      <c r="D22" s="8"/>
      <c r="E22">
        <f t="shared" si="0"/>
        <v>1221.000047456626</v>
      </c>
      <c r="F22">
        <f t="shared" si="1"/>
        <v>1221</v>
      </c>
      <c r="G22">
        <f t="shared" si="2"/>
        <v>4.350000381236896E-05</v>
      </c>
      <c r="K22">
        <f>+G22</f>
        <v>4.350000381236896E-05</v>
      </c>
      <c r="O22">
        <f t="shared" si="3"/>
        <v>0.0016780461489194869</v>
      </c>
      <c r="Q22" s="2">
        <f t="shared" si="4"/>
        <v>37278.004</v>
      </c>
    </row>
    <row r="23" spans="1:17" ht="12.75">
      <c r="A23" s="31" t="s">
        <v>44</v>
      </c>
      <c r="B23" s="32" t="s">
        <v>45</v>
      </c>
      <c r="C23" s="31">
        <v>55523.9565</v>
      </c>
      <c r="D23" s="31">
        <v>0.0006</v>
      </c>
      <c r="E23">
        <f t="shared" si="0"/>
        <v>4742.011604508489</v>
      </c>
      <c r="F23">
        <f t="shared" si="1"/>
        <v>4742</v>
      </c>
      <c r="G23">
        <f t="shared" si="2"/>
        <v>0.010636999999405816</v>
      </c>
      <c r="I23">
        <f>+G23</f>
        <v>0.010636999999405816</v>
      </c>
      <c r="O23">
        <f t="shared" si="3"/>
        <v>0.009646486891756732</v>
      </c>
      <c r="Q23" s="2">
        <f t="shared" si="4"/>
        <v>40505.4565</v>
      </c>
    </row>
    <row r="24" spans="1:17" ht="12.75">
      <c r="A24" s="33" t="s">
        <v>46</v>
      </c>
      <c r="B24" s="34" t="s">
        <v>45</v>
      </c>
      <c r="C24" s="35">
        <v>55992.35168</v>
      </c>
      <c r="D24" s="35">
        <v>0.0001</v>
      </c>
      <c r="E24">
        <f t="shared" si="0"/>
        <v>5253.010555553434</v>
      </c>
      <c r="F24">
        <f t="shared" si="1"/>
        <v>5253</v>
      </c>
      <c r="G24">
        <f t="shared" si="2"/>
        <v>0.0096754999976838</v>
      </c>
      <c r="J24">
        <f>+G24</f>
        <v>0.0096754999976838</v>
      </c>
      <c r="O24">
        <f t="shared" si="3"/>
        <v>0.010802940518450805</v>
      </c>
      <c r="Q24" s="2">
        <f t="shared" si="4"/>
        <v>40973.85168</v>
      </c>
    </row>
    <row r="25" spans="1:17" ht="12.75">
      <c r="A25" s="33" t="s">
        <v>47</v>
      </c>
      <c r="B25" s="34" t="s">
        <v>45</v>
      </c>
      <c r="C25" s="35">
        <v>56329.6732</v>
      </c>
      <c r="D25" s="35">
        <v>0.0004</v>
      </c>
      <c r="E25">
        <f t="shared" si="0"/>
        <v>5621.013793513494</v>
      </c>
      <c r="F25">
        <f t="shared" si="1"/>
        <v>5621</v>
      </c>
      <c r="G25">
        <f t="shared" si="2"/>
        <v>0.012643499998375773</v>
      </c>
      <c r="I25">
        <f>+G25</f>
        <v>0.012643499998375773</v>
      </c>
      <c r="O25">
        <f t="shared" si="3"/>
        <v>0.011635768179161997</v>
      </c>
      <c r="Q25" s="2">
        <f t="shared" si="4"/>
        <v>41311.1732</v>
      </c>
    </row>
    <row r="26" spans="1:17" ht="12.75">
      <c r="A26" s="52" t="s">
        <v>85</v>
      </c>
      <c r="B26" s="34" t="s">
        <v>45</v>
      </c>
      <c r="C26" s="35">
        <v>58143.680193</v>
      </c>
      <c r="D26" s="35">
        <v>7E-05</v>
      </c>
      <c r="E26">
        <f t="shared" si="0"/>
        <v>7600.017229482238</v>
      </c>
      <c r="F26">
        <f t="shared" si="1"/>
        <v>7600</v>
      </c>
      <c r="G26">
        <f t="shared" si="2"/>
        <v>0.015792999998666346</v>
      </c>
      <c r="I26">
        <f>+G26</f>
        <v>0.015792999998666346</v>
      </c>
      <c r="O26">
        <f t="shared" si="3"/>
        <v>0.01611447997412789</v>
      </c>
      <c r="Q26" s="2">
        <f t="shared" si="4"/>
        <v>43125.180193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1"/>
  <sheetViews>
    <sheetView zoomScalePageLayoutView="0" workbookViewId="0" topLeftCell="A1">
      <selection activeCell="A15" sqref="A15:C15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6" t="s">
        <v>49</v>
      </c>
      <c r="I1" s="37" t="s">
        <v>50</v>
      </c>
      <c r="J1" s="38" t="s">
        <v>51</v>
      </c>
    </row>
    <row r="2" spans="9:10" ht="12.75">
      <c r="I2" s="39" t="s">
        <v>52</v>
      </c>
      <c r="J2" s="40" t="s">
        <v>53</v>
      </c>
    </row>
    <row r="3" spans="1:10" ht="12.75">
      <c r="A3" s="41" t="s">
        <v>54</v>
      </c>
      <c r="I3" s="39" t="s">
        <v>55</v>
      </c>
      <c r="J3" s="40" t="s">
        <v>56</v>
      </c>
    </row>
    <row r="4" spans="9:10" ht="12.75">
      <c r="I4" s="39" t="s">
        <v>57</v>
      </c>
      <c r="J4" s="40" t="s">
        <v>56</v>
      </c>
    </row>
    <row r="5" spans="9:10" ht="13.5" thickBot="1">
      <c r="I5" s="42" t="s">
        <v>58</v>
      </c>
      <c r="J5" s="43" t="s">
        <v>59</v>
      </c>
    </row>
    <row r="10" ht="13.5" thickBot="1"/>
    <row r="11" spans="1:16" ht="12.75" customHeight="1" thickBot="1">
      <c r="A11" s="8" t="str">
        <f>P11</f>
        <v> BBS 119 </v>
      </c>
      <c r="B11" s="3" t="str">
        <f>IF(H11=INT(H11),"I","II")</f>
        <v>I</v>
      </c>
      <c r="C11" s="8">
        <f>1*G11</f>
        <v>51177.303</v>
      </c>
      <c r="D11" s="10" t="str">
        <f>VLOOKUP(F11,I$1:J$5,2,FALSE)</f>
        <v>vis</v>
      </c>
      <c r="E11" s="44">
        <f>VLOOKUP(C11,A!C$21:E$973,3,FALSE)</f>
        <v>0</v>
      </c>
      <c r="F11" s="3" t="s">
        <v>58</v>
      </c>
      <c r="G11" s="10" t="str">
        <f>MID(I11,3,LEN(I11)-3)</f>
        <v>51177.303</v>
      </c>
      <c r="H11" s="8">
        <f>1*K11</f>
        <v>-1444</v>
      </c>
      <c r="I11" s="45" t="s">
        <v>60</v>
      </c>
      <c r="J11" s="46" t="s">
        <v>61</v>
      </c>
      <c r="K11" s="45">
        <v>-1444</v>
      </c>
      <c r="L11" s="45" t="s">
        <v>62</v>
      </c>
      <c r="M11" s="46" t="s">
        <v>63</v>
      </c>
      <c r="N11" s="46" t="s">
        <v>64</v>
      </c>
      <c r="O11" s="47" t="s">
        <v>65</v>
      </c>
      <c r="P11" s="47" t="s">
        <v>66</v>
      </c>
    </row>
    <row r="12" spans="1:16" ht="12.75" customHeight="1" thickBot="1">
      <c r="A12" s="8" t="str">
        <f>P12</f>
        <v>IBVS 5960 </v>
      </c>
      <c r="B12" s="3" t="str">
        <f>IF(H12=INT(H12),"I","II")</f>
        <v>I</v>
      </c>
      <c r="C12" s="8">
        <f>1*G12</f>
        <v>55523.9565</v>
      </c>
      <c r="D12" s="10" t="str">
        <f>VLOOKUP(F12,I$1:J$5,2,FALSE)</f>
        <v>vis</v>
      </c>
      <c r="E12" s="44">
        <f>VLOOKUP(C12,A!C$21:E$973,3,FALSE)</f>
        <v>4742.011604508489</v>
      </c>
      <c r="F12" s="3" t="s">
        <v>58</v>
      </c>
      <c r="G12" s="10" t="str">
        <f>MID(I12,3,LEN(I12)-3)</f>
        <v>55523.9565</v>
      </c>
      <c r="H12" s="8">
        <f>1*K12</f>
        <v>3298</v>
      </c>
      <c r="I12" s="45" t="s">
        <v>71</v>
      </c>
      <c r="J12" s="46" t="s">
        <v>72</v>
      </c>
      <c r="K12" s="45">
        <v>3298</v>
      </c>
      <c r="L12" s="45" t="s">
        <v>73</v>
      </c>
      <c r="M12" s="46" t="s">
        <v>74</v>
      </c>
      <c r="N12" s="46" t="s">
        <v>58</v>
      </c>
      <c r="O12" s="47" t="s">
        <v>65</v>
      </c>
      <c r="P12" s="48" t="s">
        <v>75</v>
      </c>
    </row>
    <row r="13" spans="1:16" ht="12.75" customHeight="1" thickBot="1">
      <c r="A13" s="8" t="str">
        <f>P13</f>
        <v>OEJV 0160 </v>
      </c>
      <c r="B13" s="3" t="str">
        <f>IF(H13=INT(H13),"I","II")</f>
        <v>I</v>
      </c>
      <c r="C13" s="8">
        <f>1*G13</f>
        <v>55992.35168</v>
      </c>
      <c r="D13" s="10" t="str">
        <f>VLOOKUP(F13,I$1:J$5,2,FALSE)</f>
        <v>vis</v>
      </c>
      <c r="E13" s="44">
        <f>VLOOKUP(C13,A!C$21:E$973,3,FALSE)</f>
        <v>5253.010555553434</v>
      </c>
      <c r="F13" s="3" t="s">
        <v>58</v>
      </c>
      <c r="G13" s="10" t="str">
        <f>MID(I13,3,LEN(I13)-3)</f>
        <v>55992.35168</v>
      </c>
      <c r="H13" s="8">
        <f>1*K13</f>
        <v>3809</v>
      </c>
      <c r="I13" s="45" t="s">
        <v>76</v>
      </c>
      <c r="J13" s="46" t="s">
        <v>77</v>
      </c>
      <c r="K13" s="45">
        <v>3809</v>
      </c>
      <c r="L13" s="45" t="s">
        <v>78</v>
      </c>
      <c r="M13" s="46" t="s">
        <v>74</v>
      </c>
      <c r="N13" s="46" t="s">
        <v>50</v>
      </c>
      <c r="O13" s="47" t="s">
        <v>79</v>
      </c>
      <c r="P13" s="48" t="s">
        <v>80</v>
      </c>
    </row>
    <row r="14" spans="1:16" ht="12.75" customHeight="1" thickBot="1">
      <c r="A14" s="8" t="str">
        <f>P14</f>
        <v>IBVS 6063 </v>
      </c>
      <c r="B14" s="3" t="str">
        <f>IF(H14=INT(H14),"I","II")</f>
        <v>I</v>
      </c>
      <c r="C14" s="8">
        <f>1*G14</f>
        <v>56329.6732</v>
      </c>
      <c r="D14" s="10" t="str">
        <f>VLOOKUP(F14,I$1:J$5,2,FALSE)</f>
        <v>vis</v>
      </c>
      <c r="E14" s="44">
        <f>VLOOKUP(C14,A!C$21:E$973,3,FALSE)</f>
        <v>5621.013793513494</v>
      </c>
      <c r="F14" s="3" t="s">
        <v>58</v>
      </c>
      <c r="G14" s="10" t="str">
        <f>MID(I14,3,LEN(I14)-3)</f>
        <v>56329.6732</v>
      </c>
      <c r="H14" s="8">
        <f>1*K14</f>
        <v>4177</v>
      </c>
      <c r="I14" s="45" t="s">
        <v>81</v>
      </c>
      <c r="J14" s="46" t="s">
        <v>82</v>
      </c>
      <c r="K14" s="45">
        <v>4177</v>
      </c>
      <c r="L14" s="45" t="s">
        <v>83</v>
      </c>
      <c r="M14" s="46" t="s">
        <v>74</v>
      </c>
      <c r="N14" s="46" t="s">
        <v>58</v>
      </c>
      <c r="O14" s="47" t="s">
        <v>65</v>
      </c>
      <c r="P14" s="48" t="s">
        <v>84</v>
      </c>
    </row>
    <row r="15" spans="1:16" ht="12.75" customHeight="1" thickBot="1">
      <c r="A15" s="8" t="str">
        <f>P15</f>
        <v> BBS 127 </v>
      </c>
      <c r="B15" s="3" t="str">
        <f>IF(H15=INT(H15),"I","II")</f>
        <v>I</v>
      </c>
      <c r="C15" s="8">
        <f>1*G15</f>
        <v>52296.504</v>
      </c>
      <c r="D15" s="10" t="str">
        <f>VLOOKUP(F15,I$1:J$5,2,FALSE)</f>
        <v>vis</v>
      </c>
      <c r="E15" s="44">
        <f>VLOOKUP(C15,A!C$21:E$973,3,FALSE)</f>
        <v>1221.000047456626</v>
      </c>
      <c r="F15" s="3" t="s">
        <v>58</v>
      </c>
      <c r="G15" s="10" t="str">
        <f>MID(I15,3,LEN(I15)-3)</f>
        <v>52296.504</v>
      </c>
      <c r="H15" s="8">
        <f>1*K15</f>
        <v>-223</v>
      </c>
      <c r="I15" s="45" t="s">
        <v>67</v>
      </c>
      <c r="J15" s="46" t="s">
        <v>68</v>
      </c>
      <c r="K15" s="45">
        <v>-223</v>
      </c>
      <c r="L15" s="45" t="s">
        <v>69</v>
      </c>
      <c r="M15" s="46" t="s">
        <v>63</v>
      </c>
      <c r="N15" s="46" t="s">
        <v>64</v>
      </c>
      <c r="O15" s="47" t="s">
        <v>65</v>
      </c>
      <c r="P15" s="47" t="s">
        <v>70</v>
      </c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</sheetData>
  <sheetProtection/>
  <hyperlinks>
    <hyperlink ref="P12" r:id="rId1" display="http://www.konkoly.hu/cgi-bin/IBVS?5960"/>
    <hyperlink ref="P13" r:id="rId2" display="http://var.astro.cz/oejv/issues/oejv0160.pdf"/>
    <hyperlink ref="P14" r:id="rId3" display="http://www.konkoly.hu/cgi-bin/IBVS?606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