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2760" windowWidth="8400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<sst xmlns="http://schemas.openxmlformats.org/spreadsheetml/2006/main" count="109" uniqueCount="87">
  <si>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</si>
  <si>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</si>
  <si>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</si>
  <si>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</si>
  <si>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</si>
  <si>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</si>
  <si>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</si>
  <si>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</si>
  <si>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</si>
  <si>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</si>
  <si>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</si>
  <si>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</si>
  <si>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</si>
  <si>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</si>
  <si>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</si>
  <si>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</si>
  <si>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</si>
  <si>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</si>
  <si>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</si>
  <si>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</si>
  <si>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</si>
  <si>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</si>
  <si>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</si>
  <si>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</si>
  <si>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</si>
  <si>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</si>
  <si>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</si>
  <si>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</si>
  <si>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</si>
  <si>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</si>
  <si>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</si>
  <si>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</si>
  <si>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</si>
  <si>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</si>
  <si>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</si>
  <si>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</si>
  <si>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</si>
  <si>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</si>
  <si>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</si>
  <si>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</si>
  <si>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DX Ori</t>
  </si>
  <si>
    <t>DX Ori / GSC 0717-1942</t>
  </si>
  <si>
    <t>G0717-1942</t>
  </si>
  <si>
    <t>EA/SD</t>
  </si>
  <si>
    <t>Kreiner</t>
  </si>
  <si>
    <t>OEJV 0074</t>
  </si>
  <si>
    <t>II</t>
  </si>
  <si>
    <t>I</t>
  </si>
  <si>
    <t>OEJV</t>
  </si>
  <si>
    <t>IBVS 6152</t>
  </si>
  <si>
    <t>IBVS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</si>
  <si>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</si>
  <si>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</si>
  <si>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</si>
  <si>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</si>
  <si>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</si>
  <si>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</si>
  <si>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</si>
  <si>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</si>
  <si>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</si>
  <si>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</si>
  <si>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</si>
  <si>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2451555.3417 </t>
  </si>
  <si>
    <t> 11.01.2000 20:12 </t>
  </si>
  <si>
    <t> 0.9000 </t>
  </si>
  <si>
    <t>E </t>
  </si>
  <si>
    <t>?</t>
  </si>
  <si>
    <t> J.Safar </t>
  </si>
  <si>
    <t> BRNO 32 </t>
  </si>
  <si>
    <t>2451585.3841 </t>
  </si>
  <si>
    <t> 10.02.2000 21:13 </t>
  </si>
  <si>
    <t> 1.1721 </t>
  </si>
  <si>
    <t>2451923.36571 </t>
  </si>
  <si>
    <t> 13.01.2001 20:46 </t>
  </si>
  <si>
    <t> -1.07829 </t>
  </si>
  <si>
    <t>C </t>
  </si>
  <si>
    <t>o</t>
  </si>
  <si>
    <t> J.Šafár </t>
  </si>
  <si>
    <t>OEJV 0074 </t>
  </si>
  <si>
    <t>2452321.42623 </t>
  </si>
  <si>
    <t> 15.02.2002 22:13 </t>
  </si>
  <si>
    <t> -0.66392 </t>
  </si>
  <si>
    <t>2457015.5865 </t>
  </si>
  <si>
    <t> 24.12.2014 02:04 </t>
  </si>
  <si>
    <t> 0.4212 </t>
  </si>
  <si>
    <t> W.Moschner &amp; P.Frank </t>
  </si>
  <si>
    <t>BAVM 239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</si>
</sst>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DX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0.004</c:v>
                  </c:pt>
                  <c:pt idx="3">
                    <c:v>0.0032</c:v>
                  </c:pt>
                  <c:pt idx="4">
                    <c:v>0</c:v>
                  </c:pt>
                  <c:pt idx="5">
                    <c:v>0.0024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7558018"/>
        <c:axId val="23804435"/>
      </c:scatterChart>
      <c:val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435"/>
        <c:crosses val="autoZero"/>
        <c:crossBetween val="midCat"/>
        <c:dispUnits/>
      </c:valAx>
      <c:valAx>
        <c:axId val="238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80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45"/>
          <c:y val="0.93375"/>
          <c:w val="0.779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41</v>
      </c>
      <c r="E1" s="30" t="s">
        <v>40</v>
      </c>
      <c r="F1" t="s">
        <v>42</v>
      </c>
    </row>
    <row r="2" spans="1:5" ht="12.75">
      <c r="A2" t="s">
        <v>23</v>
      </c>
      <c r="B2" t="s">
        <v>43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52501.6823</v>
      </c>
      <c r="D4" s="9">
        <v>3.7553149</v>
      </c>
    </row>
    <row r="6" ht="12.75">
      <c r="A6" s="5" t="s">
        <v>1</v>
      </c>
    </row>
    <row r="7" spans="1:3" ht="12.75">
      <c r="A7" t="s">
        <v>2</v>
      </c>
      <c r="C7">
        <v>52501.6823</v>
      </c>
    </row>
    <row r="8" spans="1:3" ht="12.75">
      <c r="A8" t="s">
        <v>3</v>
      </c>
      <c r="C8">
        <v>3.7553149</v>
      </c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0.0013595297519687463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1.1653217212574875E-05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38</v>
      </c>
      <c r="E13" s="13">
        <v>1</v>
      </c>
    </row>
    <row r="14" spans="1:5" ht="12.75">
      <c r="A14" s="12"/>
      <c r="B14" s="12"/>
      <c r="C14" s="12"/>
      <c r="D14" s="16" t="s">
        <v>31</v>
      </c>
      <c r="E14" s="17">
        <f ca="1">NOW()+15018.5+$C$9/24</f>
        <v>59904.75965196759</v>
      </c>
    </row>
    <row r="15" spans="1:5" ht="12.75">
      <c r="A15" s="14" t="s">
        <v>17</v>
      </c>
      <c r="B15" s="12"/>
      <c r="C15" s="15">
        <f>(C7+C11)+(C8+C12)*INT(MAX(F21:F3533))</f>
        <v>57015.58617649684</v>
      </c>
      <c r="D15" s="16" t="s">
        <v>39</v>
      </c>
      <c r="E15" s="17">
        <f>ROUND(2*(E14-$C$7)/$C$8,0)/2+E13</f>
        <v>1972.5</v>
      </c>
    </row>
    <row r="16" spans="1:5" ht="12.75">
      <c r="A16" s="18" t="s">
        <v>4</v>
      </c>
      <c r="B16" s="12"/>
      <c r="C16" s="19">
        <f>+C8+C12</f>
        <v>3.7553265532172126</v>
      </c>
      <c r="D16" s="16" t="s">
        <v>32</v>
      </c>
      <c r="E16" s="26">
        <f>ROUND(2*(E14-$C$15)/$C$16,0)/2+E13</f>
        <v>770.5</v>
      </c>
    </row>
    <row r="17" spans="1:5" ht="13.5" thickBot="1">
      <c r="A17" s="16" t="s">
        <v>28</v>
      </c>
      <c r="B17" s="12"/>
      <c r="C17" s="12">
        <f>COUNT(C21:C2191)</f>
        <v>6</v>
      </c>
      <c r="D17" s="16" t="s">
        <v>33</v>
      </c>
      <c r="E17" s="20">
        <f>+$C$15+$C$16*E16-15018.5-$C$9/24</f>
        <v>44890.961119084044</v>
      </c>
    </row>
    <row r="18" spans="1:5" ht="14.25" thickBot="1" thickTop="1">
      <c r="A18" s="18" t="s">
        <v>5</v>
      </c>
      <c r="B18" s="12"/>
      <c r="C18" s="21">
        <f>+C15</f>
        <v>57015.58617649684</v>
      </c>
      <c r="D18" s="22">
        <f>+C16</f>
        <v>3.7553265532172126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36</v>
      </c>
      <c r="I20" s="7" t="s">
        <v>48</v>
      </c>
      <c r="J20" s="7" t="s">
        <v>50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9" t="s">
        <v>37</v>
      </c>
    </row>
    <row r="21" spans="1:17" ht="12.75">
      <c r="A21" s="48" t="s">
        <v>68</v>
      </c>
      <c r="B21" s="50" t="s">
        <v>47</v>
      </c>
      <c r="C21" s="49">
        <v>51555.3417</v>
      </c>
      <c r="D21" s="10"/>
      <c r="E21">
        <f aca="true" t="shared" si="0" ref="E21:E26">+(C21-C$7)/C$8</f>
        <v>-252.00033158337885</v>
      </c>
      <c r="F21">
        <f aca="true" t="shared" si="1" ref="F21:F26">ROUND(2*E21,0)/2</f>
        <v>-252</v>
      </c>
      <c r="G21">
        <f aca="true" t="shared" si="2" ref="G21:G26">+C21-(C$7+F21*C$8)</f>
        <v>-0.0012452000009943731</v>
      </c>
      <c r="K21">
        <f>+G21</f>
        <v>-0.0012452000009943731</v>
      </c>
      <c r="O21">
        <f aca="true" t="shared" si="3" ref="O21:O26">+C$11+C$12*$F21</f>
        <v>-0.0015770809856001222</v>
      </c>
      <c r="Q21" s="2">
        <f aca="true" t="shared" si="4" ref="Q21:Q26">+C21-15018.5</f>
        <v>36536.8417</v>
      </c>
    </row>
    <row r="22" spans="1:17" ht="12.75">
      <c r="A22" s="48" t="s">
        <v>68</v>
      </c>
      <c r="B22" s="50" t="s">
        <v>47</v>
      </c>
      <c r="C22" s="49">
        <v>51585.3841</v>
      </c>
      <c r="D22" s="10"/>
      <c r="E22">
        <f t="shared" si="0"/>
        <v>-244.0003633250563</v>
      </c>
      <c r="F22">
        <f t="shared" si="1"/>
        <v>-244</v>
      </c>
      <c r="G22">
        <f t="shared" si="2"/>
        <v>-0.001364399999147281</v>
      </c>
      <c r="K22">
        <f>+G22</f>
        <v>-0.001364399999147281</v>
      </c>
      <c r="O22">
        <f t="shared" si="3"/>
        <v>-0.001483855247899523</v>
      </c>
      <c r="Q22" s="2">
        <f t="shared" si="4"/>
        <v>36566.8841</v>
      </c>
    </row>
    <row r="23" spans="1:17" ht="12.75">
      <c r="A23" s="31" t="s">
        <v>45</v>
      </c>
      <c r="B23" s="32" t="s">
        <v>46</v>
      </c>
      <c r="C23" s="31">
        <v>51923.36571</v>
      </c>
      <c r="D23" s="31">
        <v>0.004</v>
      </c>
      <c r="E23">
        <f t="shared" si="0"/>
        <v>-153.99949282548906</v>
      </c>
      <c r="F23">
        <f t="shared" si="1"/>
        <v>-154</v>
      </c>
      <c r="G23">
        <f t="shared" si="2"/>
        <v>0.00190459999430459</v>
      </c>
      <c r="I23">
        <f>+G23</f>
        <v>0.00190459999430459</v>
      </c>
      <c r="O23">
        <f t="shared" si="3"/>
        <v>-0.0004350656987677844</v>
      </c>
      <c r="Q23" s="2">
        <f t="shared" si="4"/>
        <v>36904.86571</v>
      </c>
    </row>
    <row r="24" spans="1:17" ht="12.75">
      <c r="A24" s="31" t="s">
        <v>45</v>
      </c>
      <c r="B24" s="32" t="s">
        <v>47</v>
      </c>
      <c r="C24" s="31">
        <v>52321.42623</v>
      </c>
      <c r="D24" s="31">
        <v>0.0032</v>
      </c>
      <c r="E24">
        <f t="shared" si="0"/>
        <v>-48.000254252979715</v>
      </c>
      <c r="F24">
        <f t="shared" si="1"/>
        <v>-48</v>
      </c>
      <c r="G24">
        <f t="shared" si="2"/>
        <v>-0.0009548000016366132</v>
      </c>
      <c r="I24">
        <f>+G24</f>
        <v>-0.0009548000016366132</v>
      </c>
      <c r="O24">
        <f t="shared" si="3"/>
        <v>0.0008001753257651524</v>
      </c>
      <c r="Q24" s="2">
        <f t="shared" si="4"/>
        <v>37302.92623</v>
      </c>
    </row>
    <row r="25" spans="1:17" ht="12.75">
      <c r="A25" t="s">
        <v>44</v>
      </c>
      <c r="C25" s="10">
        <v>52501.6823</v>
      </c>
      <c r="D25" s="10" t="s">
        <v>13</v>
      </c>
      <c r="E25">
        <f t="shared" si="0"/>
        <v>0</v>
      </c>
      <c r="F25">
        <f t="shared" si="1"/>
        <v>0</v>
      </c>
      <c r="G25">
        <f t="shared" si="2"/>
        <v>0</v>
      </c>
      <c r="H25">
        <f>+G25</f>
        <v>0</v>
      </c>
      <c r="O25">
        <f t="shared" si="3"/>
        <v>0.0013595297519687463</v>
      </c>
      <c r="Q25" s="2">
        <f t="shared" si="4"/>
        <v>37483.1823</v>
      </c>
    </row>
    <row r="26" spans="1:17" ht="12.75">
      <c r="A26" s="33" t="s">
        <v>49</v>
      </c>
      <c r="B26" s="34"/>
      <c r="C26" s="33">
        <v>57015.5865</v>
      </c>
      <c r="D26" s="33">
        <v>0.0024</v>
      </c>
      <c r="E26">
        <f t="shared" si="0"/>
        <v>1202.0041781316388</v>
      </c>
      <c r="F26">
        <f t="shared" si="1"/>
        <v>1202</v>
      </c>
      <c r="G26">
        <f t="shared" si="2"/>
        <v>0.015690199994423892</v>
      </c>
      <c r="J26">
        <f>+G26</f>
        <v>0.015690199994423892</v>
      </c>
      <c r="O26">
        <f t="shared" si="3"/>
        <v>0.015366696841483746</v>
      </c>
      <c r="Q26" s="2">
        <f t="shared" si="4"/>
        <v>41997.0865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0"/>
  <sheetViews>
    <sheetView zoomScalePageLayoutView="0" workbookViewId="0" topLeftCell="A1">
      <selection activeCell="A14" sqref="A14:C15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5" t="s">
        <v>51</v>
      </c>
      <c r="I1" s="36" t="s">
        <v>52</v>
      </c>
      <c r="J1" s="37" t="s">
        <v>53</v>
      </c>
    </row>
    <row r="2" spans="9:10" ht="12.75">
      <c r="I2" s="38" t="s">
        <v>54</v>
      </c>
      <c r="J2" s="39" t="s">
        <v>55</v>
      </c>
    </row>
    <row r="3" spans="1:10" ht="12.75">
      <c r="A3" s="40" t="s">
        <v>56</v>
      </c>
      <c r="I3" s="38" t="s">
        <v>57</v>
      </c>
      <c r="J3" s="39" t="s">
        <v>58</v>
      </c>
    </row>
    <row r="4" spans="9:10" ht="12.75">
      <c r="I4" s="38" t="s">
        <v>59</v>
      </c>
      <c r="J4" s="39" t="s">
        <v>58</v>
      </c>
    </row>
    <row r="5" spans="9:10" ht="13.5" thickBot="1">
      <c r="I5" s="41" t="s">
        <v>60</v>
      </c>
      <c r="J5" s="42" t="s">
        <v>61</v>
      </c>
    </row>
    <row r="10" ht="13.5" thickBot="1"/>
    <row r="11" spans="1:16" ht="12.75" customHeight="1" thickBot="1">
      <c r="A11" s="10" t="str">
        <f>P11</f>
        <v>OEJV 0074 </v>
      </c>
      <c r="B11" s="3" t="str">
        <f>IF(H11=INT(H11),"I","II")</f>
        <v>I</v>
      </c>
      <c r="C11" s="10">
        <f>1*G11</f>
        <v>51923.36571</v>
      </c>
      <c r="D11" s="12" t="str">
        <f>VLOOKUP(F11,I$1:J$5,2,FALSE)</f>
        <v>vis</v>
      </c>
      <c r="E11" s="43">
        <f>VLOOKUP(C11,A!C$21:E$973,3,FALSE)</f>
        <v>-153.99949282548906</v>
      </c>
      <c r="F11" s="3" t="s">
        <v>60</v>
      </c>
      <c r="G11" s="12" t="str">
        <f>MID(I11,3,LEN(I11)-3)</f>
        <v>51923.36571</v>
      </c>
      <c r="H11" s="10">
        <f>1*K11</f>
        <v>6260</v>
      </c>
      <c r="I11" s="44" t="s">
        <v>72</v>
      </c>
      <c r="J11" s="45" t="s">
        <v>73</v>
      </c>
      <c r="K11" s="44">
        <v>6260</v>
      </c>
      <c r="L11" s="44" t="s">
        <v>74</v>
      </c>
      <c r="M11" s="45" t="s">
        <v>75</v>
      </c>
      <c r="N11" s="45" t="s">
        <v>76</v>
      </c>
      <c r="O11" s="46" t="s">
        <v>77</v>
      </c>
      <c r="P11" s="47" t="s">
        <v>78</v>
      </c>
    </row>
    <row r="12" spans="1:16" ht="12.75" customHeight="1" thickBot="1">
      <c r="A12" s="10" t="str">
        <f>P12</f>
        <v>OEJV 0074 </v>
      </c>
      <c r="B12" s="3" t="str">
        <f>IF(H12=INT(H12),"I","II")</f>
        <v>II</v>
      </c>
      <c r="C12" s="10">
        <f>1*G12</f>
        <v>52321.42623</v>
      </c>
      <c r="D12" s="12" t="str">
        <f>VLOOKUP(F12,I$1:J$5,2,FALSE)</f>
        <v>vis</v>
      </c>
      <c r="E12" s="43">
        <f>VLOOKUP(C12,A!C$21:E$973,3,FALSE)</f>
        <v>-48.000254252979715</v>
      </c>
      <c r="F12" s="3" t="s">
        <v>60</v>
      </c>
      <c r="G12" s="12" t="str">
        <f>MID(I12,3,LEN(I12)-3)</f>
        <v>52321.42623</v>
      </c>
      <c r="H12" s="10">
        <f>1*K12</f>
        <v>6353.5</v>
      </c>
      <c r="I12" s="44" t="s">
        <v>79</v>
      </c>
      <c r="J12" s="45" t="s">
        <v>80</v>
      </c>
      <c r="K12" s="44">
        <v>6353.5</v>
      </c>
      <c r="L12" s="44" t="s">
        <v>81</v>
      </c>
      <c r="M12" s="45" t="s">
        <v>75</v>
      </c>
      <c r="N12" s="45" t="s">
        <v>52</v>
      </c>
      <c r="O12" s="46" t="s">
        <v>77</v>
      </c>
      <c r="P12" s="47" t="s">
        <v>78</v>
      </c>
    </row>
    <row r="13" spans="1:16" ht="12.75" customHeight="1" thickBot="1">
      <c r="A13" s="10" t="str">
        <f>P13</f>
        <v>BAVM 239 </v>
      </c>
      <c r="B13" s="3" t="str">
        <f>IF(H13=INT(H13),"I","II")</f>
        <v>I</v>
      </c>
      <c r="C13" s="10">
        <f>1*G13</f>
        <v>57015.5865</v>
      </c>
      <c r="D13" s="12" t="str">
        <f>VLOOKUP(F13,I$1:J$5,2,FALSE)</f>
        <v>vis</v>
      </c>
      <c r="E13" s="43">
        <f>VLOOKUP(C13,A!C$21:E$973,3,FALSE)</f>
        <v>1202.0041781316388</v>
      </c>
      <c r="F13" s="3" t="s">
        <v>60</v>
      </c>
      <c r="G13" s="12" t="str">
        <f>MID(I13,3,LEN(I13)-3)</f>
        <v>57015.5865</v>
      </c>
      <c r="H13" s="10">
        <f>1*K13</f>
        <v>7457</v>
      </c>
      <c r="I13" s="44" t="s">
        <v>82</v>
      </c>
      <c r="J13" s="45" t="s">
        <v>83</v>
      </c>
      <c r="K13" s="44">
        <v>7457</v>
      </c>
      <c r="L13" s="44" t="s">
        <v>84</v>
      </c>
      <c r="M13" s="45" t="s">
        <v>75</v>
      </c>
      <c r="N13" s="45" t="s">
        <v>76</v>
      </c>
      <c r="O13" s="46" t="s">
        <v>85</v>
      </c>
      <c r="P13" s="47" t="s">
        <v>86</v>
      </c>
    </row>
    <row r="14" spans="1:16" ht="12.75" customHeight="1" thickBot="1">
      <c r="A14" s="10" t="str">
        <f>P14</f>
        <v> BRNO 32 </v>
      </c>
      <c r="B14" s="3" t="str">
        <f>IF(H14=INT(H14),"I","II")</f>
        <v>I</v>
      </c>
      <c r="C14" s="10">
        <f>1*G14</f>
        <v>51555.3417</v>
      </c>
      <c r="D14" s="12" t="str">
        <f>VLOOKUP(F14,I$1:J$5,2,FALSE)</f>
        <v>vis</v>
      </c>
      <c r="E14" s="43">
        <f>VLOOKUP(C14,A!C$21:E$973,3,FALSE)</f>
        <v>-252.00033158337885</v>
      </c>
      <c r="F14" s="3" t="s">
        <v>60</v>
      </c>
      <c r="G14" s="12" t="str">
        <f>MID(I14,3,LEN(I14)-3)</f>
        <v>51555.3417</v>
      </c>
      <c r="H14" s="10">
        <f>1*K14</f>
        <v>6173</v>
      </c>
      <c r="I14" s="44" t="s">
        <v>62</v>
      </c>
      <c r="J14" s="45" t="s">
        <v>63</v>
      </c>
      <c r="K14" s="44">
        <v>6173</v>
      </c>
      <c r="L14" s="44" t="s">
        <v>64</v>
      </c>
      <c r="M14" s="45" t="s">
        <v>65</v>
      </c>
      <c r="N14" s="45" t="s">
        <v>66</v>
      </c>
      <c r="O14" s="46" t="s">
        <v>67</v>
      </c>
      <c r="P14" s="46" t="s">
        <v>68</v>
      </c>
    </row>
    <row r="15" spans="1:16" ht="12.75" customHeight="1" thickBot="1">
      <c r="A15" s="10" t="str">
        <f>P15</f>
        <v> BRNO 32 </v>
      </c>
      <c r="B15" s="3" t="str">
        <f>IF(H15=INT(H15),"I","II")</f>
        <v>I</v>
      </c>
      <c r="C15" s="10">
        <f>1*G15</f>
        <v>51585.3841</v>
      </c>
      <c r="D15" s="12" t="str">
        <f>VLOOKUP(F15,I$1:J$5,2,FALSE)</f>
        <v>vis</v>
      </c>
      <c r="E15" s="43">
        <f>VLOOKUP(C15,A!C$21:E$973,3,FALSE)</f>
        <v>-244.0003633250563</v>
      </c>
      <c r="F15" s="3" t="s">
        <v>60</v>
      </c>
      <c r="G15" s="12" t="str">
        <f>MID(I15,3,LEN(I15)-3)</f>
        <v>51585.3841</v>
      </c>
      <c r="H15" s="10">
        <f>1*K15</f>
        <v>6180</v>
      </c>
      <c r="I15" s="44" t="s">
        <v>69</v>
      </c>
      <c r="J15" s="45" t="s">
        <v>70</v>
      </c>
      <c r="K15" s="44">
        <v>6180</v>
      </c>
      <c r="L15" s="44" t="s">
        <v>71</v>
      </c>
      <c r="M15" s="45" t="s">
        <v>65</v>
      </c>
      <c r="N15" s="45" t="s">
        <v>66</v>
      </c>
      <c r="O15" s="46" t="s">
        <v>67</v>
      </c>
      <c r="P15" s="46" t="s">
        <v>68</v>
      </c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</sheetData>
  <sheetProtection/>
  <hyperlinks>
    <hyperlink ref="P11" r:id="rId1" display="http://var.astro.cz/oejv/issues/oejv0074.pdf"/>
    <hyperlink ref="P12" r:id="rId2" display="http://var.astro.cz/oejv/issues/oejv0074.pdf"/>
    <hyperlink ref="P13" r:id="rId3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