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8535" windowHeight="140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<sst xmlns="http://schemas.openxmlformats.org/spreadsheetml/2006/main" count="99" uniqueCount="85">
  <si>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</si>
  <si>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</si>
  <si>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</si>
  <si>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</si>
  <si>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</si>
  <si>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</si>
  <si>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</si>
  <si>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</si>
  <si>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</si>
  <si>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</si>
  <si>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</si>
  <si>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</si>
  <si>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</si>
  <si>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</si>
  <si>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</si>
  <si>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</si>
  <si>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</si>
  <si>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</si>
  <si>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</si>
  <si>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</si>
  <si>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</si>
  <si>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</si>
  <si>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</si>
  <si>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</si>
  <si>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</si>
  <si>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</si>
  <si>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</si>
  <si>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</si>
  <si>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</si>
  <si>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</si>
  <si>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</si>
  <si>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</si>
  <si>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</si>
  <si>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</si>
  <si>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</si>
  <si>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</si>
  <si>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</si>
  <si>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</si>
  <si>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</si>
  <si>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</si>
  <si>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V0668 Ori</t>
  </si>
  <si>
    <t xml:space="preserve">V0668 Ori / GSC 322-1165 </t>
  </si>
  <si>
    <t xml:space="preserve">G1322-1165 </t>
  </si>
  <si>
    <t>EA</t>
  </si>
  <si>
    <t>OEJV 0107</t>
  </si>
  <si>
    <t>I</t>
  </si>
  <si>
    <t>OEJV</t>
  </si>
  <si>
    <t>IBVS 6118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</si>
  <si>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</si>
  <si>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</si>
  <si>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</si>
  <si>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</si>
  <si>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</si>
  <si>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</si>
  <si>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</si>
  <si>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</si>
  <si>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</si>
  <si>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</si>
  <si>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</si>
  <si>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</si>
  <si>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2451236.3295 </t>
  </si>
  <si>
    <t> 26.02.1999 19:54 </t>
  </si>
  <si>
    <t> 0.0029 </t>
  </si>
  <si>
    <t>E </t>
  </si>
  <si>
    <t>?</t>
  </si>
  <si>
    <t> R.Diethelm </t>
  </si>
  <si>
    <t> BBS 120 </t>
  </si>
  <si>
    <t>2452310.304 </t>
  </si>
  <si>
    <t> 04.02.2002 19:17 </t>
  </si>
  <si>
    <t> 0.039 </t>
  </si>
  <si>
    <t> E.Blättler </t>
  </si>
  <si>
    <t> BBS 127 </t>
  </si>
  <si>
    <t>2454509.3523 </t>
  </si>
  <si>
    <t> 12.02.2008 20:27 </t>
  </si>
  <si>
    <t> 0.0705 </t>
  </si>
  <si>
    <t>C </t>
  </si>
  <si>
    <t>R</t>
  </si>
  <si>
    <t> M.Lehky </t>
  </si>
  <si>
    <t>OEJV 0107 </t>
  </si>
  <si>
    <t>2456706.3366 </t>
  </si>
  <si>
    <t> 17.02.2014 20:04 </t>
  </si>
  <si>
    <t> 0.0836 </t>
  </si>
  <si>
    <t>o</t>
  </si>
  <si>
    <t> U.Schmidt </t>
  </si>
  <si>
    <t>BAVM 234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</si>
</sst>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9" xfId="0" applyFont="1" applyFill="1" applyBorder="1" applyAlignment="1">
      <alignment horizontal="left" vertical="top" wrapText="1" inden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15" fillId="33" borderId="19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V688 Ori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075"/>
          <c:w val="0.914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7513413"/>
        <c:axId val="511854"/>
      </c:scatterChart>
      <c:valAx>
        <c:axId val="751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4"/>
        <c:crosses val="autoZero"/>
        <c:crossBetween val="midCat"/>
        <c:dispUnits/>
      </c:valAx>
      <c:valAx>
        <c:axId val="51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9335"/>
          <c:w val="0.71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18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00575" y="0"/>
        <a:ext cx="6848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107.pdf" TargetMode="External" /><Relationship Id="rId2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41</v>
      </c>
      <c r="E1" s="27" t="s">
        <v>40</v>
      </c>
      <c r="F1" t="s">
        <v>42</v>
      </c>
    </row>
    <row r="2" spans="1:5" ht="12.75">
      <c r="A2" t="s">
        <v>23</v>
      </c>
      <c r="B2" t="s">
        <v>43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29">
        <v>29575.5</v>
      </c>
      <c r="D4" s="30">
        <v>2.045597</v>
      </c>
    </row>
    <row r="5" spans="1:4" ht="12.75">
      <c r="A5" s="9" t="s">
        <v>29</v>
      </c>
      <c r="B5" s="10"/>
      <c r="C5" s="11">
        <v>-9.5</v>
      </c>
      <c r="D5" s="10" t="s">
        <v>30</v>
      </c>
    </row>
    <row r="6" ht="12.75">
      <c r="A6" s="5" t="s">
        <v>1</v>
      </c>
    </row>
    <row r="7" spans="1:4" ht="12.75">
      <c r="A7" t="s">
        <v>2</v>
      </c>
      <c r="C7" s="8">
        <v>29575.5</v>
      </c>
      <c r="D7" s="28" t="e">
        <v>#N/A</v>
      </c>
    </row>
    <row r="8" spans="1:4" ht="12.75">
      <c r="A8" t="s">
        <v>3</v>
      </c>
      <c r="C8" s="8">
        <v>2.045597</v>
      </c>
      <c r="D8" s="28" t="e">
        <v>#N/A</v>
      </c>
    </row>
    <row r="9" spans="1:4" ht="12.75">
      <c r="A9" s="24" t="s">
        <v>34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INTERCEPT(INDIRECT($D$9):G991,INDIRECT($C$9):F991)</f>
        <v>-0.29045601937334375</v>
      </c>
      <c r="D11" s="3"/>
      <c r="E11" s="10"/>
    </row>
    <row r="12" spans="1:5" ht="12.75">
      <c r="A12" s="10" t="s">
        <v>16</v>
      </c>
      <c r="B12" s="10"/>
      <c r="C12" s="21">
        <f ca="1">SLOPE(INDIRECT($D$9):G991,INDIRECT($C$9):F991)</f>
        <v>2.8793533612485396E-05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(C7+C11)+(C8+C12)*INT(MAX(F21:F3532))</f>
        <v>56706.34444361692</v>
      </c>
      <c r="E15" s="14" t="s">
        <v>37</v>
      </c>
      <c r="F15" s="11">
        <v>1</v>
      </c>
    </row>
    <row r="16" spans="1:6" ht="12.75">
      <c r="A16" s="16" t="s">
        <v>4</v>
      </c>
      <c r="B16" s="10"/>
      <c r="C16" s="17">
        <f>+C8+C12</f>
        <v>2.0456257935336124</v>
      </c>
      <c r="E16" s="14" t="s">
        <v>31</v>
      </c>
      <c r="F16" s="15">
        <f ca="1">NOW()+15018.5+$C$5/24</f>
        <v>59904.78240405092</v>
      </c>
    </row>
    <row r="17" spans="1:6" ht="13.5" thickBot="1">
      <c r="A17" s="14" t="s">
        <v>28</v>
      </c>
      <c r="B17" s="10"/>
      <c r="C17" s="10">
        <f>COUNT(C21:C2190)</f>
        <v>5</v>
      </c>
      <c r="E17" s="14" t="s">
        <v>38</v>
      </c>
      <c r="F17" s="15">
        <f>ROUND(2*(F16-$C$7)/$C$8,0)/2+F15</f>
        <v>14827.5</v>
      </c>
    </row>
    <row r="18" spans="1:6" ht="14.25" thickBot="1" thickTop="1">
      <c r="A18" s="16" t="s">
        <v>5</v>
      </c>
      <c r="B18" s="10"/>
      <c r="C18" s="19">
        <f>+C15</f>
        <v>56706.34444361692</v>
      </c>
      <c r="D18" s="20">
        <f>+C16</f>
        <v>2.0456257935336124</v>
      </c>
      <c r="E18" s="14" t="s">
        <v>32</v>
      </c>
      <c r="F18" s="23">
        <f>ROUND(2*(F16-$C$15)/$C$16,0)/2+F15</f>
        <v>1564.5</v>
      </c>
    </row>
    <row r="19" spans="5:6" ht="13.5" thickTop="1">
      <c r="E19" s="14" t="s">
        <v>33</v>
      </c>
      <c r="F19" s="18">
        <f>+$C$15+$C$16*F18-15018.5-$C$5/24</f>
        <v>44888.621830933596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35</v>
      </c>
      <c r="I20" s="7" t="s">
        <v>46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6" t="s">
        <v>36</v>
      </c>
    </row>
    <row r="21" spans="1:17" ht="12.75">
      <c r="A21" s="28" t="s">
        <v>39</v>
      </c>
      <c r="C21" s="8">
        <v>29575.5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-0.29045601937334375</v>
      </c>
      <c r="Q21" s="2">
        <f>+C21-15018.5</f>
        <v>14557</v>
      </c>
    </row>
    <row r="22" spans="1:17" ht="12.75">
      <c r="A22" s="50" t="s">
        <v>66</v>
      </c>
      <c r="B22" s="52" t="s">
        <v>45</v>
      </c>
      <c r="C22" s="51">
        <v>51236.3295</v>
      </c>
      <c r="D22" s="8"/>
      <c r="E22">
        <f>+(C22-C$7)/C$8</f>
        <v>10589.001401546835</v>
      </c>
      <c r="F22">
        <f>ROUND(2*E22,0)/2</f>
        <v>10589</v>
      </c>
      <c r="G22">
        <f>+C22-(C$7+F22*C$8)</f>
        <v>0.002866999995603692</v>
      </c>
      <c r="J22">
        <f>+G22</f>
        <v>0.002866999995603692</v>
      </c>
      <c r="O22">
        <f>+C$11+C$12*$F22</f>
        <v>0.014438708049264115</v>
      </c>
      <c r="Q22" s="2">
        <f>+C22-15018.5</f>
        <v>36217.8295</v>
      </c>
    </row>
    <row r="23" spans="1:17" ht="12.75">
      <c r="A23" s="50" t="s">
        <v>71</v>
      </c>
      <c r="B23" s="52" t="s">
        <v>45</v>
      </c>
      <c r="C23" s="51">
        <v>52310.304</v>
      </c>
      <c r="D23" s="8"/>
      <c r="E23">
        <f>+(C23-C$7)/C$8</f>
        <v>11114.01903698529</v>
      </c>
      <c r="F23">
        <f>ROUND(2*E23,0)/2</f>
        <v>11114</v>
      </c>
      <c r="G23">
        <f>+C23-(C$7+F23*C$8)</f>
        <v>0.03894199999922421</v>
      </c>
      <c r="J23">
        <f>+G23</f>
        <v>0.03894199999922421</v>
      </c>
      <c r="O23">
        <f>+C$11+C$12*$F23</f>
        <v>0.029555313195818944</v>
      </c>
      <c r="Q23" s="2">
        <f>+C23-15018.5</f>
        <v>37291.804</v>
      </c>
    </row>
    <row r="24" spans="1:17" ht="12.75">
      <c r="A24" s="31" t="s">
        <v>44</v>
      </c>
      <c r="B24" s="32" t="s">
        <v>45</v>
      </c>
      <c r="C24" s="31">
        <v>54509.35237</v>
      </c>
      <c r="D24" s="31">
        <v>0.0002</v>
      </c>
      <c r="E24">
        <f>+(C24-C$7)/C$8</f>
        <v>12189.034482354053</v>
      </c>
      <c r="F24">
        <f>ROUND(2*E24,0)/2</f>
        <v>12189</v>
      </c>
      <c r="G24">
        <f>+C24-(C$7+F24*C$8)</f>
        <v>0.07053699999960372</v>
      </c>
      <c r="I24">
        <f>+G24</f>
        <v>0.07053699999960372</v>
      </c>
      <c r="O24">
        <f>+C$11+C$12*$F24</f>
        <v>0.06050836182924074</v>
      </c>
      <c r="Q24" s="2">
        <f>+C24-15018.5</f>
        <v>39490.85237</v>
      </c>
    </row>
    <row r="25" spans="1:17" ht="12.75">
      <c r="A25" s="33" t="s">
        <v>47</v>
      </c>
      <c r="B25" s="34" t="s">
        <v>45</v>
      </c>
      <c r="C25" s="35">
        <v>56706.3366</v>
      </c>
      <c r="D25" s="36">
        <v>0.0001</v>
      </c>
      <c r="E25">
        <f>+(C25-C$7)/C$8</f>
        <v>13263.040862887463</v>
      </c>
      <c r="F25">
        <f>ROUND(2*E25,0)/2</f>
        <v>13263</v>
      </c>
      <c r="G25">
        <f>+C25-(C$7+F25*C$8)</f>
        <v>0.0835890000089421</v>
      </c>
      <c r="J25">
        <f>+G25</f>
        <v>0.0835890000089421</v>
      </c>
      <c r="O25">
        <f>+C$11+C$12*$F25</f>
        <v>0.09143261692905003</v>
      </c>
      <c r="Q25" s="2">
        <f>+C25-15018.5</f>
        <v>41687.8366</v>
      </c>
    </row>
    <row r="26" spans="2:17" ht="12.75">
      <c r="B26" s="3"/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7"/>
  <sheetViews>
    <sheetView zoomScalePageLayoutView="0" workbookViewId="0" topLeftCell="A1">
      <selection activeCell="A12" sqref="A12:C14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7" t="s">
        <v>49</v>
      </c>
      <c r="I1" s="38" t="s">
        <v>50</v>
      </c>
      <c r="J1" s="39" t="s">
        <v>51</v>
      </c>
    </row>
    <row r="2" spans="9:10" ht="12.75">
      <c r="I2" s="40" t="s">
        <v>52</v>
      </c>
      <c r="J2" s="41" t="s">
        <v>53</v>
      </c>
    </row>
    <row r="3" spans="1:10" ht="12.75">
      <c r="A3" s="42" t="s">
        <v>54</v>
      </c>
      <c r="I3" s="40" t="s">
        <v>55</v>
      </c>
      <c r="J3" s="41" t="s">
        <v>56</v>
      </c>
    </row>
    <row r="4" spans="9:10" ht="12.75">
      <c r="I4" s="40" t="s">
        <v>57</v>
      </c>
      <c r="J4" s="41" t="s">
        <v>56</v>
      </c>
    </row>
    <row r="5" spans="9:10" ht="13.5" thickBot="1">
      <c r="I5" s="43" t="s">
        <v>58</v>
      </c>
      <c r="J5" s="44" t="s">
        <v>59</v>
      </c>
    </row>
    <row r="10" ht="13.5" thickBot="1"/>
    <row r="11" spans="1:16" ht="12.75" customHeight="1" thickBot="1">
      <c r="A11" s="8" t="str">
        <f>P11</f>
        <v>BAVM 234 </v>
      </c>
      <c r="B11" s="3" t="str">
        <f>IF(H11=INT(H11),"I","II")</f>
        <v>I</v>
      </c>
      <c r="C11" s="8">
        <f>1*G11</f>
        <v>56706.3366</v>
      </c>
      <c r="D11" s="10" t="str">
        <f>VLOOKUP(F11,I$1:J$5,2,FALSE)</f>
        <v>vis</v>
      </c>
      <c r="E11" s="45">
        <f>VLOOKUP(C11,A!C$21:E$972,3,FALSE)</f>
        <v>13263.040862887463</v>
      </c>
      <c r="F11" s="3" t="s">
        <v>58</v>
      </c>
      <c r="G11" s="10" t="str">
        <f>MID(I11,3,LEN(I11)-3)</f>
        <v>56706.3366</v>
      </c>
      <c r="H11" s="8">
        <f>1*K11</f>
        <v>13263</v>
      </c>
      <c r="I11" s="46" t="s">
        <v>79</v>
      </c>
      <c r="J11" s="47" t="s">
        <v>80</v>
      </c>
      <c r="K11" s="46">
        <v>13263</v>
      </c>
      <c r="L11" s="46" t="s">
        <v>81</v>
      </c>
      <c r="M11" s="47" t="s">
        <v>75</v>
      </c>
      <c r="N11" s="47" t="s">
        <v>82</v>
      </c>
      <c r="O11" s="48" t="s">
        <v>83</v>
      </c>
      <c r="P11" s="49" t="s">
        <v>84</v>
      </c>
    </row>
    <row r="12" spans="1:16" ht="12.75" customHeight="1" thickBot="1">
      <c r="A12" s="8" t="str">
        <f>P12</f>
        <v> BBS 120 </v>
      </c>
      <c r="B12" s="3" t="str">
        <f>IF(H12=INT(H12),"I","II")</f>
        <v>I</v>
      </c>
      <c r="C12" s="8">
        <f>1*G12</f>
        <v>51236.3295</v>
      </c>
      <c r="D12" s="10" t="str">
        <f>VLOOKUP(F12,I$1:J$5,2,FALSE)</f>
        <v>vis</v>
      </c>
      <c r="E12" s="45">
        <f>VLOOKUP(C12,A!C$21:E$972,3,FALSE)</f>
        <v>10589.001401546835</v>
      </c>
      <c r="F12" s="3" t="s">
        <v>58</v>
      </c>
      <c r="G12" s="10" t="str">
        <f>MID(I12,3,LEN(I12)-3)</f>
        <v>51236.3295</v>
      </c>
      <c r="H12" s="8">
        <f>1*K12</f>
        <v>10589</v>
      </c>
      <c r="I12" s="46" t="s">
        <v>60</v>
      </c>
      <c r="J12" s="47" t="s">
        <v>61</v>
      </c>
      <c r="K12" s="46">
        <v>10589</v>
      </c>
      <c r="L12" s="46" t="s">
        <v>62</v>
      </c>
      <c r="M12" s="47" t="s">
        <v>63</v>
      </c>
      <c r="N12" s="47" t="s">
        <v>64</v>
      </c>
      <c r="O12" s="48" t="s">
        <v>65</v>
      </c>
      <c r="P12" s="48" t="s">
        <v>66</v>
      </c>
    </row>
    <row r="13" spans="1:16" ht="12.75" customHeight="1" thickBot="1">
      <c r="A13" s="8" t="str">
        <f>P13</f>
        <v> BBS 127 </v>
      </c>
      <c r="B13" s="3" t="str">
        <f>IF(H13=INT(H13),"I","II")</f>
        <v>I</v>
      </c>
      <c r="C13" s="8">
        <f>1*G13</f>
        <v>52310.304</v>
      </c>
      <c r="D13" s="10" t="str">
        <f>VLOOKUP(F13,I$1:J$5,2,FALSE)</f>
        <v>vis</v>
      </c>
      <c r="E13" s="45">
        <f>VLOOKUP(C13,A!C$21:E$972,3,FALSE)</f>
        <v>11114.01903698529</v>
      </c>
      <c r="F13" s="3" t="s">
        <v>58</v>
      </c>
      <c r="G13" s="10" t="str">
        <f>MID(I13,3,LEN(I13)-3)</f>
        <v>52310.304</v>
      </c>
      <c r="H13" s="8">
        <f>1*K13</f>
        <v>11114</v>
      </c>
      <c r="I13" s="46" t="s">
        <v>67</v>
      </c>
      <c r="J13" s="47" t="s">
        <v>68</v>
      </c>
      <c r="K13" s="46">
        <v>11114</v>
      </c>
      <c r="L13" s="46" t="s">
        <v>69</v>
      </c>
      <c r="M13" s="47" t="s">
        <v>63</v>
      </c>
      <c r="N13" s="47" t="s">
        <v>64</v>
      </c>
      <c r="O13" s="48" t="s">
        <v>70</v>
      </c>
      <c r="P13" s="48" t="s">
        <v>71</v>
      </c>
    </row>
    <row r="14" spans="1:16" ht="12.75" customHeight="1" thickBot="1">
      <c r="A14" s="8" t="str">
        <f>P14</f>
        <v>OEJV 0107 </v>
      </c>
      <c r="B14" s="3" t="str">
        <f>IF(H14=INT(H14),"I","II")</f>
        <v>I</v>
      </c>
      <c r="C14" s="8">
        <f>1*G14</f>
        <v>54509.3523</v>
      </c>
      <c r="D14" s="10" t="str">
        <f>VLOOKUP(F14,I$1:J$5,2,FALSE)</f>
        <v>vis</v>
      </c>
      <c r="E14" s="45" t="e">
        <f>VLOOKUP(C14,A!C$21:E$972,3,FALSE)</f>
        <v>#N/A</v>
      </c>
      <c r="F14" s="3" t="s">
        <v>58</v>
      </c>
      <c r="G14" s="10" t="str">
        <f>MID(I14,3,LEN(I14)-3)</f>
        <v>54509.3523</v>
      </c>
      <c r="H14" s="8">
        <f>1*K14</f>
        <v>12189</v>
      </c>
      <c r="I14" s="46" t="s">
        <v>72</v>
      </c>
      <c r="J14" s="47" t="s">
        <v>73</v>
      </c>
      <c r="K14" s="46">
        <v>12189</v>
      </c>
      <c r="L14" s="46" t="s">
        <v>74</v>
      </c>
      <c r="M14" s="47" t="s">
        <v>75</v>
      </c>
      <c r="N14" s="47" t="s">
        <v>76</v>
      </c>
      <c r="O14" s="48" t="s">
        <v>77</v>
      </c>
      <c r="P14" s="49" t="s">
        <v>78</v>
      </c>
    </row>
    <row r="15" spans="2:6" ht="12.75">
      <c r="B15" s="3"/>
      <c r="F15" s="3"/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</sheetData>
  <sheetProtection/>
  <hyperlinks>
    <hyperlink ref="P14" r:id="rId1" display="http://var.astro.cz/oejv/issues/oejv0107.pdf"/>
    <hyperlink ref="P11" r:id="rId2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