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<sst xmlns="http://schemas.openxmlformats.org/spreadsheetml/2006/main" count="153" uniqueCount="108">
  <si>
    <t xml:space="preserve">V1633 Ori / GSC 0140-1831               </t>
  </si>
  <si>
    <t xml:space="preserve">EA        </t>
  </si>
  <si>
    <t>System Type:</t>
  </si>
  <si>
    <t>Kreiner Eph.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</si>
  <si>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</si>
  <si>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</si>
  <si>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</si>
  <si>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</si>
  <si>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</si>
  <si>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</si>
  <si>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</si>
  <si>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</si>
  <si>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</si>
  <si>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</si>
  <si>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</si>
  <si>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</si>
  <si>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</si>
  <si>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</si>
  <si>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</si>
  <si>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</si>
  <si>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</si>
  <si>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</si>
  <si>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</si>
  <si>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</si>
  <si>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</si>
  <si>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</si>
  <si>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</si>
  <si>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</si>
  <si>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</si>
  <si>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</si>
  <si>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</si>
  <si>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</si>
  <si>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</si>
  <si>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</si>
  <si>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</si>
  <si>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</si>
  <si>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S5</t>
  </si>
  <si>
    <t>S6</t>
  </si>
  <si>
    <t>Misc</t>
  </si>
  <si>
    <t>Lin Fit</t>
  </si>
  <si>
    <t>Q. Fit</t>
  </si>
  <si>
    <t>Date</t>
  </si>
  <si>
    <t>BAD?</t>
  </si>
  <si>
    <t>IBVS 5296</t>
  </si>
  <si>
    <t>IBVS 5484</t>
  </si>
  <si>
    <t>Kreiner</t>
  </si>
  <si>
    <t>I</t>
  </si>
  <si>
    <t>IBVS 5741</t>
  </si>
  <si>
    <t>II</t>
  </si>
  <si>
    <t>VSB 46 </t>
  </si>
  <si>
    <t>VSB 50 </t>
  </si>
  <si>
    <t>IBVS 5960</t>
  </si>
  <si>
    <t>BAVM 225 </t>
  </si>
  <si>
    <t>IBVS 6048</t>
  </si>
  <si>
    <t>IBVS 6011</t>
  </si>
  <si>
    <t>IBVS 6196</t>
  </si>
  <si>
    <t>OEJV 0179</t>
  </si>
  <si>
    <t>OEJV 0211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</si>
  <si>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</si>
  <si>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</si>
  <si>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</si>
  <si>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</si>
  <si>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</si>
  <si>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</si>
  <si>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</si>
  <si>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2451580.3492 </t>
  </si>
  <si>
    <t> 05.02.2000 20:22 </t>
  </si>
  <si>
    <t> -0.0003 </t>
  </si>
  <si>
    <t>E </t>
  </si>
  <si>
    <t>o</t>
  </si>
  <si>
    <t> W.Moschner </t>
  </si>
  <si>
    <t>BAVM 152 </t>
  </si>
  <si>
    <t>2452258.4868 </t>
  </si>
  <si>
    <t> 14.12.2001 23:40 </t>
  </si>
  <si>
    <t> -0.0002 </t>
  </si>
  <si>
    <t>BAVM 158 </t>
  </si>
  <si>
    <t>2455523.8906 </t>
  </si>
  <si>
    <t> 23.11.2010 09:22 </t>
  </si>
  <si>
    <t> -0.0009 </t>
  </si>
  <si>
    <t>C </t>
  </si>
  <si>
    <t> R.Diethelm </t>
  </si>
  <si>
    <t>IBVS 5960 </t>
  </si>
  <si>
    <t>2455882.4990 </t>
  </si>
  <si>
    <t> 16.11.2011 23:58 </t>
  </si>
  <si>
    <t> -0.0008 </t>
  </si>
  <si>
    <t> W.Moschner &amp; P.Frank </t>
  </si>
  <si>
    <t>BAVM 228 </t>
  </si>
  <si>
    <t>2455896.8687 </t>
  </si>
  <si>
    <t> 01.12.2011 08:50 </t>
  </si>
  <si>
    <t> 0.0015 </t>
  </si>
  <si>
    <t>IBVS 6011 </t>
  </si>
  <si>
    <t>2453671.6572 </t>
  </si>
  <si>
    <t> 28.10.2005 03:46 </t>
  </si>
  <si>
    <t> 0.0006 </t>
  </si>
  <si>
    <t>?</t>
  </si>
  <si>
    <t> M. Zejda et al. </t>
  </si>
  <si>
    <t>IBVS 5741 </t>
  </si>
  <si>
    <t>2454146.9301 </t>
  </si>
  <si>
    <t> 15.02.2007 10:19 </t>
  </si>
  <si>
    <t> 0.0025 </t>
  </si>
  <si>
    <t>Ic</t>
  </si>
  <si>
    <t> K.Nakajima </t>
  </si>
  <si>
    <t>2454848.0515 </t>
  </si>
  <si>
    <t> 16.01.2009 13:14 </t>
  </si>
  <si>
    <t> -0.0013 </t>
  </si>
  <si>
    <t>2455856.6377 </t>
  </si>
  <si>
    <t> 22.10.2011 03:18 </t>
  </si>
  <si>
    <t> -0.0010 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</si>
</sst>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</numFmts>
  <fonts count="51">
    <font>
      <sz val="10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9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Protection="0">
      <alignment vertical="top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5" fontId="7" fillId="0" borderId="0" xfId="0" applyNumberFormat="1" applyFont="1" applyAlignment="1">
      <alignment vertical="top"/>
    </xf>
    <xf numFmtId="0" fontId="3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NumberFormat="1" applyFont="1" applyAlignment="1">
      <alignment horizontal="left" vertical="center"/>
    </xf>
    <xf numFmtId="166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2" fillId="0" borderId="0" xfId="60" applyFont="1" applyAlignment="1">
      <alignment wrapText="1"/>
      <protection/>
    </xf>
    <xf numFmtId="0" fontId="12" fillId="0" borderId="0" xfId="60" applyFont="1" applyAlignment="1">
      <alignment horizontal="center" wrapText="1"/>
      <protection/>
    </xf>
    <xf numFmtId="0" fontId="12" fillId="0" borderId="0" xfId="60" applyFont="1" applyAlignment="1">
      <alignment horizontal="left" wrapText="1"/>
      <protection/>
    </xf>
    <xf numFmtId="0" fontId="12" fillId="0" borderId="0" xfId="61" applyFont="1">
      <alignment/>
      <protection/>
    </xf>
    <xf numFmtId="0" fontId="12" fillId="0" borderId="0" xfId="61" applyFont="1" applyAlignment="1">
      <alignment horizontal="center"/>
      <protection/>
    </xf>
    <xf numFmtId="0" fontId="12" fillId="0" borderId="0" xfId="61" applyFont="1" applyAlignment="1">
      <alignment horizontal="left"/>
      <protection/>
    </xf>
    <xf numFmtId="0" fontId="12" fillId="0" borderId="0" xfId="60" applyFont="1">
      <alignment/>
      <protection/>
    </xf>
    <xf numFmtId="0" fontId="12" fillId="0" borderId="0" xfId="60" applyFont="1" applyAlignment="1">
      <alignment horizontal="center"/>
      <protection/>
    </xf>
    <xf numFmtId="0" fontId="12" fillId="0" borderId="0" xfId="60" applyFont="1" applyAlignment="1">
      <alignment horizontal="left"/>
      <protection/>
    </xf>
    <xf numFmtId="0" fontId="13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vertical="top"/>
    </xf>
    <xf numFmtId="0" fontId="15" fillId="0" borderId="0" xfId="56" applyNumberFormat="1" applyFont="1" applyFill="1" applyBorder="1" applyAlignment="1" applyProtection="1">
      <alignment horizontal="left"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vertical="top"/>
    </xf>
    <xf numFmtId="0" fontId="9" fillId="33" borderId="19" xfId="0" applyFont="1" applyFill="1" applyBorder="1" applyAlignment="1">
      <alignment horizontal="left" vertical="top" wrapText="1" indent="1"/>
    </xf>
    <xf numFmtId="0" fontId="9" fillId="33" borderId="19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right" vertical="top" wrapText="1"/>
    </xf>
    <xf numFmtId="0" fontId="15" fillId="33" borderId="19" xfId="56" applyNumberFormat="1" applyFont="1" applyFill="1" applyBorder="1" applyAlignment="1" applyProtection="1">
      <alignment horizontal="right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V1633 Ori - O-C Diagr.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775"/>
          <c:w val="0.907"/>
          <c:h val="0.6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A!$F$21:$F$34</c:f>
              <c:numCache/>
            </c:numRef>
          </c:xVal>
          <c:yVal>
            <c:numRef>
              <c:f>A!$H$21:$H$34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A!$F$21:$F$34</c:f>
              <c:numCache/>
            </c:numRef>
          </c:xVal>
          <c:yVal>
            <c:numRef>
              <c:f>A!$I$21:$I$34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A!$F$21:$F$34</c:f>
              <c:numCache/>
            </c:numRef>
          </c:xVal>
          <c:yVal>
            <c:numRef>
              <c:f>A!$J$21:$J$34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A!$F$21:$F$34</c:f>
              <c:numCache/>
            </c:numRef>
          </c:xVal>
          <c:yVal>
            <c:numRef>
              <c:f>A!$K$21:$K$34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A!$F$21:$F$34</c:f>
              <c:numCache/>
            </c:numRef>
          </c:xVal>
          <c:yVal>
            <c:numRef>
              <c:f>A!$L$21:$L$34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A!$F$21:$F$34</c:f>
              <c:numCache/>
            </c:numRef>
          </c:xVal>
          <c:yVal>
            <c:numRef>
              <c:f>A!$M$21:$M$34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A!$F$21:$F$34</c:f>
              <c:numCache/>
            </c:numRef>
          </c:xVal>
          <c:yVal>
            <c:numRef>
              <c:f>A!$N$21:$N$34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A!$F$21:$F$34</c:f>
              <c:numCache/>
            </c:numRef>
          </c:xVal>
          <c:yVal>
            <c:numRef>
              <c:f>A!$O$21:$O$34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A!$F$21:$F$34</c:f>
              <c:numCache/>
            </c:numRef>
          </c:xVal>
          <c:yVal>
            <c:numRef>
              <c:f>A!$U$21:$U$34</c:f>
              <c:numCache/>
            </c:numRef>
          </c:yVal>
          <c:smooth val="0"/>
        </c:ser>
        <c:axId val="31598201"/>
        <c:axId val="15948354"/>
      </c:scatterChart>
      <c:valAx>
        <c:axId val="31598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48354"/>
        <c:crossesAt val="0"/>
        <c:crossBetween val="midCat"/>
        <c:dispUnits/>
      </c:valAx>
      <c:valAx>
        <c:axId val="15948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98201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3"/>
          <c:y val="0.92275"/>
          <c:w val="0.733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38100</xdr:rowOff>
    </xdr:from>
    <xdr:to>
      <xdr:col>17</xdr:col>
      <xdr:colOff>161925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4495800" y="38100"/>
        <a:ext cx="63341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52" TargetMode="External" /><Relationship Id="rId2" Type="http://schemas.openxmlformats.org/officeDocument/2006/relationships/hyperlink" Target="http://www.bav-astro.de/sfs/BAVM_link.php?BAVMnr=158" TargetMode="External" /><Relationship Id="rId3" Type="http://schemas.openxmlformats.org/officeDocument/2006/relationships/hyperlink" Target="http://www.konkoly.hu/cgi-bin/IBVS?5960" TargetMode="External" /><Relationship Id="rId4" Type="http://schemas.openxmlformats.org/officeDocument/2006/relationships/hyperlink" Target="http://www.bav-astro.de/sfs/BAVM_link.php?BAVMnr=228" TargetMode="External" /><Relationship Id="rId5" Type="http://schemas.openxmlformats.org/officeDocument/2006/relationships/hyperlink" Target="http://www.konkoly.hu/cgi-bin/IBVS?6011" TargetMode="External" /><Relationship Id="rId6" Type="http://schemas.openxmlformats.org/officeDocument/2006/relationships/hyperlink" Target="http://www.konkoly.hu/cgi-bin/IBVS?5741" TargetMode="External" /><Relationship Id="rId7" Type="http://schemas.openxmlformats.org/officeDocument/2006/relationships/hyperlink" Target="http://vsolj.cetus-net.org/no46.pdf" TargetMode="External" /><Relationship Id="rId8" Type="http://schemas.openxmlformats.org/officeDocument/2006/relationships/hyperlink" Target="http://vsolj.cetus-net.org/vsoljno50.pdf" TargetMode="External" /><Relationship Id="rId9" Type="http://schemas.openxmlformats.org/officeDocument/2006/relationships/hyperlink" Target="http://www.bav-astro.de/sfs/BAVM_link.php?BAVMnr=22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1" customWidth="1"/>
    <col min="2" max="2" width="3.8515625" style="1" customWidth="1"/>
    <col min="3" max="3" width="11.8515625" style="1" customWidth="1"/>
    <col min="4" max="4" width="9.421875" style="1" customWidth="1"/>
    <col min="5" max="5" width="9.8515625" style="1" customWidth="1"/>
    <col min="6" max="6" width="16.8515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spans="1:8" ht="20.25">
      <c r="A1" s="2" t="s">
        <v>0</v>
      </c>
      <c r="F1" s="3">
        <v>52501.0075</v>
      </c>
      <c r="G1" s="3">
        <v>1.1493859</v>
      </c>
      <c r="H1" s="3" t="s">
        <v>1</v>
      </c>
    </row>
    <row r="2" spans="1:4" ht="12.75">
      <c r="A2" s="1" t="s">
        <v>2</v>
      </c>
      <c r="B2" s="1" t="str">
        <f>H1</f>
        <v>EA        </v>
      </c>
      <c r="C2" s="3"/>
      <c r="D2" s="3"/>
    </row>
    <row r="4" spans="1:4" ht="12.75">
      <c r="A4" s="4" t="s">
        <v>3</v>
      </c>
      <c r="C4" s="5">
        <f>F1</f>
        <v>52501.0075</v>
      </c>
      <c r="D4" s="6">
        <f>G1</f>
        <v>1.1493859</v>
      </c>
    </row>
    <row r="5" spans="1:4" ht="12.75">
      <c r="A5" s="7" t="s">
        <v>4</v>
      </c>
      <c r="B5"/>
      <c r="C5" s="8">
        <v>-9.5</v>
      </c>
      <c r="D5" t="s">
        <v>5</v>
      </c>
    </row>
    <row r="6" ht="12.75">
      <c r="A6" s="4" t="s">
        <v>6</v>
      </c>
    </row>
    <row r="7" spans="1:3" ht="12.75">
      <c r="A7" s="1" t="s">
        <v>7</v>
      </c>
      <c r="C7" s="1">
        <f>C4</f>
        <v>52501.0075</v>
      </c>
    </row>
    <row r="8" spans="1:4" ht="12.75">
      <c r="A8" s="1" t="s">
        <v>8</v>
      </c>
      <c r="C8" s="1">
        <f>D4</f>
        <v>1.1493859</v>
      </c>
      <c r="D8" s="9"/>
    </row>
    <row r="9" spans="1:4" ht="12.75">
      <c r="A9" s="10" t="s">
        <v>9</v>
      </c>
      <c r="B9" s="11">
        <v>21</v>
      </c>
      <c r="C9" s="12" t="str">
        <f>"F"&amp;B9</f>
        <v>F21</v>
      </c>
      <c r="D9" s="13" t="str">
        <f>"G"&amp;B9</f>
        <v>G21</v>
      </c>
    </row>
    <row r="10" spans="1:5" ht="12.75">
      <c r="A10"/>
      <c r="B10"/>
      <c r="C10" s="14" t="s">
        <v>10</v>
      </c>
      <c r="D10" s="14" t="s">
        <v>11</v>
      </c>
      <c r="E10"/>
    </row>
    <row r="11" spans="1:5" ht="12.75">
      <c r="A11" t="s">
        <v>12</v>
      </c>
      <c r="B11"/>
      <c r="C11" s="15">
        <f ca="1">INTERCEPT(INDIRECT($D$9):G992,INDIRECT($C$9):F992)</f>
        <v>0.00020621595242735589</v>
      </c>
      <c r="D11" s="3"/>
      <c r="E11"/>
    </row>
    <row r="12" spans="1:5" ht="12.75">
      <c r="A12" t="s">
        <v>13</v>
      </c>
      <c r="B12"/>
      <c r="C12" s="15">
        <f ca="1">SLOPE(INDIRECT($D$9):G992,INDIRECT($C$9):F992)</f>
        <v>-4.622371306144834E-07</v>
      </c>
      <c r="D12" s="3"/>
      <c r="E12"/>
    </row>
    <row r="13" spans="1:3" ht="12.75">
      <c r="A13" t="s">
        <v>14</v>
      </c>
      <c r="B13"/>
      <c r="C13" s="3" t="s">
        <v>15</v>
      </c>
    </row>
    <row r="14" spans="1:3" ht="12.75">
      <c r="A14"/>
      <c r="B14"/>
      <c r="C14"/>
    </row>
    <row r="15" spans="1:6" ht="12.75">
      <c r="A15" s="16" t="s">
        <v>16</v>
      </c>
      <c r="B15"/>
      <c r="C15" s="17">
        <f>(C7+C11)+(C8+C12)*INT(MAX(F21:F3533))</f>
        <v>57724.964520848196</v>
      </c>
      <c r="E15" s="18" t="s">
        <v>17</v>
      </c>
      <c r="F15" s="8">
        <v>1</v>
      </c>
    </row>
    <row r="16" spans="1:6" ht="12.75">
      <c r="A16" s="16" t="s">
        <v>18</v>
      </c>
      <c r="B16"/>
      <c r="C16" s="17">
        <f>+C8+C12</f>
        <v>1.1493854377628694</v>
      </c>
      <c r="E16" s="18" t="s">
        <v>19</v>
      </c>
      <c r="F16" s="15">
        <f ca="1">NOW()+15018.5+$C$5/24</f>
        <v>59904.78553865741</v>
      </c>
    </row>
    <row r="17" spans="1:6" ht="12.75">
      <c r="A17" s="18" t="s">
        <v>20</v>
      </c>
      <c r="B17"/>
      <c r="C17">
        <f>COUNT(C21:C2191)</f>
        <v>14</v>
      </c>
      <c r="E17" s="18" t="s">
        <v>21</v>
      </c>
      <c r="F17" s="15">
        <f>ROUND(2*(F16-$C$7)/$C$8,0)/2+F15</f>
        <v>6442.5</v>
      </c>
    </row>
    <row r="18" spans="1:6" ht="12.75">
      <c r="A18" s="16" t="s">
        <v>22</v>
      </c>
      <c r="B18"/>
      <c r="C18" s="19">
        <f>+C15</f>
        <v>57724.964520848196</v>
      </c>
      <c r="D18" s="20">
        <f>+C16</f>
        <v>1.1493854377628694</v>
      </c>
      <c r="E18" s="18" t="s">
        <v>23</v>
      </c>
      <c r="F18" s="13">
        <f>ROUND(2*(F16-$C$15)/$C$16,0)/2+F15</f>
        <v>1897.5</v>
      </c>
    </row>
    <row r="19" spans="5:6" ht="12.75">
      <c r="E19" s="18" t="s">
        <v>24</v>
      </c>
      <c r="F19" s="21">
        <f>+$C$15+$C$16*F18-15018.5-$C$5/24</f>
        <v>44887.81922233658</v>
      </c>
    </row>
    <row r="20" spans="1:21" ht="12.75">
      <c r="A20" s="14" t="s">
        <v>25</v>
      </c>
      <c r="B20" s="14" t="s">
        <v>26</v>
      </c>
      <c r="C20" s="14" t="s">
        <v>27</v>
      </c>
      <c r="D20" s="14" t="s">
        <v>28</v>
      </c>
      <c r="E20" s="14" t="s">
        <v>29</v>
      </c>
      <c r="F20" s="14" t="s">
        <v>30</v>
      </c>
      <c r="G20" s="14" t="s">
        <v>31</v>
      </c>
      <c r="H20" s="22" t="s">
        <v>32</v>
      </c>
      <c r="I20" s="22" t="s">
        <v>33</v>
      </c>
      <c r="J20" s="22" t="s">
        <v>34</v>
      </c>
      <c r="K20" s="22" t="s">
        <v>35</v>
      </c>
      <c r="L20" s="22" t="s">
        <v>36</v>
      </c>
      <c r="M20" s="22" t="s">
        <v>37</v>
      </c>
      <c r="N20" s="22" t="s">
        <v>38</v>
      </c>
      <c r="O20" s="22" t="s">
        <v>39</v>
      </c>
      <c r="P20" s="22" t="s">
        <v>40</v>
      </c>
      <c r="Q20" s="14" t="s">
        <v>41</v>
      </c>
      <c r="U20" s="23" t="s">
        <v>42</v>
      </c>
    </row>
    <row r="21" spans="1:17" ht="12.75">
      <c r="A21" s="24" t="s">
        <v>43</v>
      </c>
      <c r="B21" s="25"/>
      <c r="C21" s="26">
        <v>51580.3492</v>
      </c>
      <c r="D21" s="26">
        <v>0.0008</v>
      </c>
      <c r="E21" s="1">
        <f aca="true" t="shared" si="0" ref="E21:E30">+(C21-C$7)/C$8</f>
        <v>-801.0001688727892</v>
      </c>
      <c r="F21" s="1">
        <f aca="true" t="shared" si="1" ref="F21:F32">ROUND(2*E21,0)/2</f>
        <v>-801</v>
      </c>
      <c r="G21" s="1">
        <f aca="true" t="shared" si="2" ref="G21:G30">+C21-(C$7+F21*C$8)</f>
        <v>-0.00019410000095376745</v>
      </c>
      <c r="J21" s="1">
        <f>+G21</f>
        <v>-0.00019410000095376745</v>
      </c>
      <c r="O21" s="1">
        <f aca="true" t="shared" si="3" ref="O21:O30">+C$11+C$12*$F21</f>
        <v>0.000576467894049557</v>
      </c>
      <c r="Q21" s="27">
        <f aca="true" t="shared" si="4" ref="Q21:Q30">+C21-15018.5</f>
        <v>36561.8492</v>
      </c>
    </row>
    <row r="22" spans="1:17" ht="12.75">
      <c r="A22" s="24" t="s">
        <v>44</v>
      </c>
      <c r="B22" s="25"/>
      <c r="C22" s="26">
        <v>52258.4868</v>
      </c>
      <c r="D22" s="26">
        <v>0.0004</v>
      </c>
      <c r="E22" s="1">
        <f t="shared" si="0"/>
        <v>-211.00023934520246</v>
      </c>
      <c r="F22" s="1">
        <f t="shared" si="1"/>
        <v>-211</v>
      </c>
      <c r="G22" s="1">
        <f t="shared" si="2"/>
        <v>-0.0002750999992713332</v>
      </c>
      <c r="J22" s="1">
        <f>+G22</f>
        <v>-0.0002750999992713332</v>
      </c>
      <c r="O22" s="1">
        <f t="shared" si="3"/>
        <v>0.0003037479869870119</v>
      </c>
      <c r="Q22" s="27">
        <f t="shared" si="4"/>
        <v>37239.9868</v>
      </c>
    </row>
    <row r="23" spans="1:17" ht="12.75">
      <c r="A23" s="28" t="s">
        <v>45</v>
      </c>
      <c r="B23" s="29" t="s">
        <v>46</v>
      </c>
      <c r="C23" s="28">
        <v>52501.0075</v>
      </c>
      <c r="D23" s="30"/>
      <c r="E23" s="1">
        <f t="shared" si="0"/>
        <v>0</v>
      </c>
      <c r="F23" s="1">
        <f t="shared" si="1"/>
        <v>0</v>
      </c>
      <c r="G23" s="1">
        <f t="shared" si="2"/>
        <v>0</v>
      </c>
      <c r="K23" s="1">
        <f aca="true" t="shared" si="5" ref="K23:K32">+G23</f>
        <v>0</v>
      </c>
      <c r="O23" s="1">
        <f t="shared" si="3"/>
        <v>0.00020621595242735589</v>
      </c>
      <c r="Q23" s="27">
        <f t="shared" si="4"/>
        <v>37482.5075</v>
      </c>
    </row>
    <row r="24" spans="1:17" ht="12.75">
      <c r="A24" s="31" t="s">
        <v>47</v>
      </c>
      <c r="B24" s="32" t="s">
        <v>48</v>
      </c>
      <c r="C24" s="33">
        <v>53671.6572</v>
      </c>
      <c r="D24" s="34"/>
      <c r="E24" s="1">
        <f t="shared" si="0"/>
        <v>1018.5001399442971</v>
      </c>
      <c r="F24" s="1">
        <f t="shared" si="1"/>
        <v>1018.5</v>
      </c>
      <c r="G24" s="1">
        <f t="shared" si="2"/>
        <v>0.0001608500024303794</v>
      </c>
      <c r="K24" s="1">
        <f t="shared" si="5"/>
        <v>0.0001608500024303794</v>
      </c>
      <c r="O24" s="1">
        <f t="shared" si="3"/>
        <v>-0.00026457256510349544</v>
      </c>
      <c r="Q24" s="27">
        <f t="shared" si="4"/>
        <v>38653.1572</v>
      </c>
    </row>
    <row r="25" spans="1:17" ht="12.75">
      <c r="A25" s="31" t="s">
        <v>49</v>
      </c>
      <c r="B25" s="32" t="s">
        <v>46</v>
      </c>
      <c r="C25" s="33">
        <v>54146.9301</v>
      </c>
      <c r="D25" s="34"/>
      <c r="E25" s="1">
        <f t="shared" si="0"/>
        <v>1432.0017324033627</v>
      </c>
      <c r="F25" s="1">
        <f t="shared" si="1"/>
        <v>1432</v>
      </c>
      <c r="G25" s="1">
        <f t="shared" si="2"/>
        <v>0.0019911999988835305</v>
      </c>
      <c r="K25" s="1">
        <f t="shared" si="5"/>
        <v>0.0019911999988835305</v>
      </c>
      <c r="O25" s="1">
        <f t="shared" si="3"/>
        <v>-0.0004557076186125843</v>
      </c>
      <c r="Q25" s="27">
        <f t="shared" si="4"/>
        <v>39128.4301</v>
      </c>
    </row>
    <row r="26" spans="1:17" ht="12.75">
      <c r="A26" s="31" t="s">
        <v>50</v>
      </c>
      <c r="B26" s="32" t="s">
        <v>46</v>
      </c>
      <c r="C26" s="33">
        <v>54848.0515</v>
      </c>
      <c r="D26" s="34"/>
      <c r="E26" s="1">
        <f t="shared" si="0"/>
        <v>2041.9982531541423</v>
      </c>
      <c r="F26" s="1">
        <f t="shared" si="1"/>
        <v>2042</v>
      </c>
      <c r="G26" s="1">
        <f t="shared" si="2"/>
        <v>-0.002007800001592841</v>
      </c>
      <c r="K26" s="1">
        <f t="shared" si="5"/>
        <v>-0.002007800001592841</v>
      </c>
      <c r="O26" s="1">
        <f t="shared" si="3"/>
        <v>-0.0007376722682874192</v>
      </c>
      <c r="Q26" s="27">
        <f t="shared" si="4"/>
        <v>39829.5515</v>
      </c>
    </row>
    <row r="27" spans="1:17" ht="12.75">
      <c r="A27" s="35" t="s">
        <v>51</v>
      </c>
      <c r="B27" s="29" t="s">
        <v>46</v>
      </c>
      <c r="C27" s="28">
        <v>55523.8906</v>
      </c>
      <c r="D27" s="28">
        <v>0.0003</v>
      </c>
      <c r="E27" s="1">
        <f t="shared" si="0"/>
        <v>2629.9984191558287</v>
      </c>
      <c r="F27" s="1">
        <f t="shared" si="1"/>
        <v>2630</v>
      </c>
      <c r="G27" s="1">
        <f t="shared" si="2"/>
        <v>-0.0018170000039390288</v>
      </c>
      <c r="K27" s="1">
        <f t="shared" si="5"/>
        <v>-0.0018170000039390288</v>
      </c>
      <c r="O27" s="1">
        <f t="shared" si="3"/>
        <v>-0.0010094677010887352</v>
      </c>
      <c r="Q27" s="27">
        <f t="shared" si="4"/>
        <v>40505.3906</v>
      </c>
    </row>
    <row r="28" spans="1:17" ht="12.75">
      <c r="A28" s="31" t="s">
        <v>52</v>
      </c>
      <c r="B28" s="32" t="s">
        <v>48</v>
      </c>
      <c r="C28" s="33">
        <v>55856.6377</v>
      </c>
      <c r="D28" s="34"/>
      <c r="E28" s="1">
        <f t="shared" si="0"/>
        <v>2919.4983164488094</v>
      </c>
      <c r="F28" s="1">
        <f t="shared" si="1"/>
        <v>2919.5</v>
      </c>
      <c r="G28" s="1">
        <f t="shared" si="2"/>
        <v>-0.001935050000611227</v>
      </c>
      <c r="K28" s="1">
        <f t="shared" si="5"/>
        <v>-0.001935050000611227</v>
      </c>
      <c r="O28" s="1">
        <f t="shared" si="3"/>
        <v>-0.0011432853504016282</v>
      </c>
      <c r="Q28" s="27">
        <f t="shared" si="4"/>
        <v>40838.1377</v>
      </c>
    </row>
    <row r="29" spans="1:17" ht="12.75">
      <c r="A29" s="36" t="s">
        <v>53</v>
      </c>
      <c r="B29" s="37" t="s">
        <v>46</v>
      </c>
      <c r="C29" s="38">
        <v>55882.499</v>
      </c>
      <c r="D29" s="38">
        <v>0.0002</v>
      </c>
      <c r="E29" s="1">
        <f t="shared" si="0"/>
        <v>2941.998418459809</v>
      </c>
      <c r="F29" s="1">
        <f t="shared" si="1"/>
        <v>2942</v>
      </c>
      <c r="G29" s="1">
        <f t="shared" si="2"/>
        <v>-0.0018177999954787083</v>
      </c>
      <c r="K29" s="1">
        <f t="shared" si="5"/>
        <v>-0.0018177999954787083</v>
      </c>
      <c r="O29" s="1">
        <f t="shared" si="3"/>
        <v>-0.001153685685840454</v>
      </c>
      <c r="Q29" s="27">
        <f t="shared" si="4"/>
        <v>40863.999</v>
      </c>
    </row>
    <row r="30" spans="1:17" ht="12.75">
      <c r="A30" s="24" t="s">
        <v>54</v>
      </c>
      <c r="B30" s="39" t="s">
        <v>48</v>
      </c>
      <c r="C30" s="24">
        <v>55896.8687</v>
      </c>
      <c r="D30" s="24">
        <v>0.0004</v>
      </c>
      <c r="E30" s="1">
        <f t="shared" si="0"/>
        <v>2954.5004858681486</v>
      </c>
      <c r="F30" s="1">
        <f t="shared" si="1"/>
        <v>2954.5</v>
      </c>
      <c r="G30" s="1">
        <f t="shared" si="2"/>
        <v>0.0005584499958786182</v>
      </c>
      <c r="K30" s="1">
        <f t="shared" si="5"/>
        <v>0.0005584499958786182</v>
      </c>
      <c r="O30" s="1">
        <f t="shared" si="3"/>
        <v>-0.0011594636499731351</v>
      </c>
      <c r="Q30" s="27">
        <f t="shared" si="4"/>
        <v>40878.3687</v>
      </c>
    </row>
    <row r="31" spans="1:17" ht="12.75">
      <c r="A31" s="40" t="s">
        <v>55</v>
      </c>
      <c r="B31" s="41" t="s">
        <v>46</v>
      </c>
      <c r="C31" s="42">
        <v>57373.8259</v>
      </c>
      <c r="D31" s="42">
        <v>0.0001</v>
      </c>
      <c r="E31" s="1">
        <f>+(C31-C$7)/C$8</f>
        <v>4239.497282853395</v>
      </c>
      <c r="F31" s="1">
        <f t="shared" si="1"/>
        <v>4239.5</v>
      </c>
      <c r="G31" s="1">
        <f>+C31-(C$7+F31*C$8)</f>
        <v>-0.0031230499953380786</v>
      </c>
      <c r="K31" s="1">
        <f t="shared" si="5"/>
        <v>-0.0031230499953380786</v>
      </c>
      <c r="O31" s="1">
        <f>+C$11+C$12*$F31</f>
        <v>-0.0017534383628127464</v>
      </c>
      <c r="Q31" s="27">
        <f>+C31-15018.5</f>
        <v>42355.3259</v>
      </c>
    </row>
    <row r="32" spans="1:17" ht="12.75">
      <c r="A32" s="40" t="s">
        <v>55</v>
      </c>
      <c r="B32" s="41" t="s">
        <v>46</v>
      </c>
      <c r="C32" s="42">
        <v>57378.4231</v>
      </c>
      <c r="D32" s="42">
        <v>0.0003</v>
      </c>
      <c r="E32" s="1">
        <f>+(C32-C$7)/C$8</f>
        <v>4243.496983911148</v>
      </c>
      <c r="F32" s="1">
        <f t="shared" si="1"/>
        <v>4243.5</v>
      </c>
      <c r="G32" s="1">
        <f>+C32-(C$7+F32*C$8)</f>
        <v>-0.003466649999609217</v>
      </c>
      <c r="K32" s="1">
        <f t="shared" si="5"/>
        <v>-0.003466649999609217</v>
      </c>
      <c r="O32" s="1">
        <f>+C$11+C$12*$F32</f>
        <v>-0.0017552873113352045</v>
      </c>
      <c r="Q32" s="27">
        <f>+C32-15018.5</f>
        <v>42359.9231</v>
      </c>
    </row>
    <row r="33" spans="1:21" ht="12.75">
      <c r="A33" s="43" t="s">
        <v>56</v>
      </c>
      <c r="B33" s="44" t="s">
        <v>48</v>
      </c>
      <c r="C33" s="45">
        <v>57024.42061</v>
      </c>
      <c r="D33" s="45">
        <v>0.0005</v>
      </c>
      <c r="E33" s="1">
        <f>+(C33-C$7)/C$8</f>
        <v>3935.504263624603</v>
      </c>
      <c r="F33" s="1">
        <f>ROUND(2*E33,0)/2</f>
        <v>3935.5</v>
      </c>
      <c r="G33" s="1">
        <f>+C33-(C$7+F33*C$8)</f>
        <v>0.004900550004094839</v>
      </c>
      <c r="K33" s="1">
        <f>+G33</f>
        <v>0.004900550004094839</v>
      </c>
      <c r="O33" s="1">
        <f>+C$11+C$12*$F33</f>
        <v>-0.0016129182751059433</v>
      </c>
      <c r="Q33" s="27">
        <f>+C33-15018.5</f>
        <v>42005.92061</v>
      </c>
      <c r="U33" s="1">
        <f>+C33-(C$7+F33*C$8)</f>
        <v>0.004900550004094839</v>
      </c>
    </row>
    <row r="34" spans="1:17" ht="12.75">
      <c r="A34" s="46" t="s">
        <v>57</v>
      </c>
      <c r="B34" s="47" t="s">
        <v>48</v>
      </c>
      <c r="C34" s="48">
        <v>57725.53628000012</v>
      </c>
      <c r="D34" s="48">
        <v>0.0003</v>
      </c>
      <c r="E34" s="1">
        <f>+(C34-C$7)/C$8</f>
        <v>4545.495799104649</v>
      </c>
      <c r="F34" s="1">
        <f>ROUND(2*E34,0)/2</f>
        <v>4545.5</v>
      </c>
      <c r="G34" s="1">
        <f>+C34-(C$7+F34*C$8)</f>
        <v>-0.004828449884371366</v>
      </c>
      <c r="K34" s="1">
        <f>+G34</f>
        <v>-0.004828449884371366</v>
      </c>
      <c r="O34" s="1">
        <f>+C$11+C$12*$F34</f>
        <v>-0.0018948829247807785</v>
      </c>
      <c r="Q34" s="27">
        <f>+C34-15018.5</f>
        <v>42707.03628000012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9.7109375" style="34" customWidth="1"/>
    <col min="2" max="2" width="4.421875" style="0" customWidth="1"/>
    <col min="3" max="3" width="12.7109375" style="34" customWidth="1"/>
    <col min="4" max="4" width="5.421875" style="0" customWidth="1"/>
    <col min="5" max="5" width="14.8515625" style="0" customWidth="1"/>
    <col min="7" max="7" width="12.00390625" style="0" customWidth="1"/>
    <col min="8" max="8" width="14.140625" style="34" customWidth="1"/>
    <col min="9" max="9" width="22.57421875" style="0" customWidth="1"/>
    <col min="10" max="10" width="25.140625" style="0" customWidth="1"/>
    <col min="11" max="11" width="15.7109375" style="0" customWidth="1"/>
    <col min="12" max="12" width="14.140625" style="0" customWidth="1"/>
    <col min="13" max="13" width="9.57421875" style="0" customWidth="1"/>
    <col min="14" max="14" width="14.140625" style="0" customWidth="1"/>
    <col min="15" max="15" width="23.421875" style="0" customWidth="1"/>
    <col min="16" max="16" width="16.57421875" style="0" customWidth="1"/>
    <col min="17" max="17" width="41.00390625" style="0" customWidth="1"/>
  </cols>
  <sheetData>
    <row r="1" spans="1:10" ht="15.75">
      <c r="A1" s="49" t="s">
        <v>58</v>
      </c>
      <c r="I1" s="50" t="s">
        <v>59</v>
      </c>
      <c r="J1" s="51" t="s">
        <v>35</v>
      </c>
    </row>
    <row r="2" spans="9:10" ht="12.75">
      <c r="I2" s="52" t="s">
        <v>60</v>
      </c>
      <c r="J2" s="53" t="s">
        <v>34</v>
      </c>
    </row>
    <row r="3" spans="1:10" ht="12.75">
      <c r="A3" s="54" t="s">
        <v>61</v>
      </c>
      <c r="I3" s="52" t="s">
        <v>62</v>
      </c>
      <c r="J3" s="53" t="s">
        <v>32</v>
      </c>
    </row>
    <row r="4" spans="9:10" ht="12.75">
      <c r="I4" s="52" t="s">
        <v>63</v>
      </c>
      <c r="J4" s="53" t="s">
        <v>32</v>
      </c>
    </row>
    <row r="5" spans="9:10" ht="12.75">
      <c r="I5" s="55" t="s">
        <v>64</v>
      </c>
      <c r="J5" s="56" t="s">
        <v>33</v>
      </c>
    </row>
    <row r="11" spans="1:16" ht="12.75" customHeight="1">
      <c r="A11" s="34" t="str">
        <f aca="true" t="shared" si="0" ref="A11:A19">P11</f>
        <v>BAVM 152 </v>
      </c>
      <c r="B11" s="3" t="str">
        <f aca="true" t="shared" si="1" ref="B11:B19">IF(H11=INT(H11),"I","II")</f>
        <v>I</v>
      </c>
      <c r="C11" s="34">
        <f aca="true" t="shared" si="2" ref="C11:C19">1*G11</f>
        <v>51580.3492</v>
      </c>
      <c r="D11" t="str">
        <f aca="true" t="shared" si="3" ref="D11:D19">VLOOKUP(F11,I$1:J$5,2,FALSE)</f>
        <v>vis</v>
      </c>
      <c r="E11">
        <f>VLOOKUP(C11,A!C$21:E$973,3,FALSE)</f>
        <v>-801.0001688727892</v>
      </c>
      <c r="F11" s="3" t="s">
        <v>64</v>
      </c>
      <c r="G11" t="str">
        <f aca="true" t="shared" si="4" ref="G11:G19">MID(I11,3,LEN(I11)-3)</f>
        <v>51580.3492</v>
      </c>
      <c r="H11" s="34">
        <f aca="true" t="shared" si="5" ref="H11:H19">1*K11</f>
        <v>-801</v>
      </c>
      <c r="I11" s="57" t="s">
        <v>65</v>
      </c>
      <c r="J11" s="58" t="s">
        <v>66</v>
      </c>
      <c r="K11" s="57">
        <v>-801</v>
      </c>
      <c r="L11" s="57" t="s">
        <v>67</v>
      </c>
      <c r="M11" s="58" t="s">
        <v>68</v>
      </c>
      <c r="N11" s="58" t="s">
        <v>69</v>
      </c>
      <c r="O11" s="59" t="s">
        <v>70</v>
      </c>
      <c r="P11" s="60" t="s">
        <v>71</v>
      </c>
    </row>
    <row r="12" spans="1:16" ht="12.75" customHeight="1">
      <c r="A12" s="34" t="str">
        <f t="shared" si="0"/>
        <v>BAVM 158 </v>
      </c>
      <c r="B12" s="3" t="str">
        <f t="shared" si="1"/>
        <v>I</v>
      </c>
      <c r="C12" s="34">
        <f t="shared" si="2"/>
        <v>52258.4868</v>
      </c>
      <c r="D12" t="str">
        <f t="shared" si="3"/>
        <v>vis</v>
      </c>
      <c r="E12">
        <f>VLOOKUP(C12,A!C$21:E$973,3,FALSE)</f>
        <v>-211.00023934520246</v>
      </c>
      <c r="F12" s="3" t="s">
        <v>64</v>
      </c>
      <c r="G12" t="str">
        <f t="shared" si="4"/>
        <v>52258.4868</v>
      </c>
      <c r="H12" s="34">
        <f t="shared" si="5"/>
        <v>-211</v>
      </c>
      <c r="I12" s="57" t="s">
        <v>72</v>
      </c>
      <c r="J12" s="58" t="s">
        <v>73</v>
      </c>
      <c r="K12" s="57">
        <v>-211</v>
      </c>
      <c r="L12" s="57" t="s">
        <v>74</v>
      </c>
      <c r="M12" s="58" t="s">
        <v>68</v>
      </c>
      <c r="N12" s="58" t="s">
        <v>69</v>
      </c>
      <c r="O12" s="59" t="s">
        <v>70</v>
      </c>
      <c r="P12" s="60" t="s">
        <v>75</v>
      </c>
    </row>
    <row r="13" spans="1:16" ht="12.75" customHeight="1">
      <c r="A13" s="34" t="str">
        <f t="shared" si="0"/>
        <v>IBVS 5960 </v>
      </c>
      <c r="B13" s="3" t="str">
        <f t="shared" si="1"/>
        <v>I</v>
      </c>
      <c r="C13" s="34">
        <f t="shared" si="2"/>
        <v>55523.8906</v>
      </c>
      <c r="D13" t="str">
        <f t="shared" si="3"/>
        <v>vis</v>
      </c>
      <c r="E13">
        <f>VLOOKUP(C13,A!C$21:E$973,3,FALSE)</f>
        <v>2629.9984191558287</v>
      </c>
      <c r="F13" s="3" t="s">
        <v>64</v>
      </c>
      <c r="G13" t="str">
        <f t="shared" si="4"/>
        <v>55523.8906</v>
      </c>
      <c r="H13" s="34">
        <f t="shared" si="5"/>
        <v>2630</v>
      </c>
      <c r="I13" s="57" t="s">
        <v>76</v>
      </c>
      <c r="J13" s="58" t="s">
        <v>77</v>
      </c>
      <c r="K13" s="57">
        <v>2630</v>
      </c>
      <c r="L13" s="57" t="s">
        <v>78</v>
      </c>
      <c r="M13" s="58" t="s">
        <v>79</v>
      </c>
      <c r="N13" s="58" t="s">
        <v>64</v>
      </c>
      <c r="O13" s="59" t="s">
        <v>80</v>
      </c>
      <c r="P13" s="60" t="s">
        <v>81</v>
      </c>
    </row>
    <row r="14" spans="1:16" ht="12.75" customHeight="1">
      <c r="A14" s="34" t="str">
        <f t="shared" si="0"/>
        <v>BAVM 228 </v>
      </c>
      <c r="B14" s="3" t="str">
        <f t="shared" si="1"/>
        <v>I</v>
      </c>
      <c r="C14" s="34">
        <f t="shared" si="2"/>
        <v>55882.499</v>
      </c>
      <c r="D14" t="str">
        <f t="shared" si="3"/>
        <v>vis</v>
      </c>
      <c r="E14">
        <f>VLOOKUP(C14,A!C$21:E$973,3,FALSE)</f>
        <v>2941.998418459809</v>
      </c>
      <c r="F14" s="3" t="s">
        <v>64</v>
      </c>
      <c r="G14" t="str">
        <f t="shared" si="4"/>
        <v>55882.4990</v>
      </c>
      <c r="H14" s="34">
        <f t="shared" si="5"/>
        <v>2942</v>
      </c>
      <c r="I14" s="57" t="s">
        <v>82</v>
      </c>
      <c r="J14" s="58" t="s">
        <v>83</v>
      </c>
      <c r="K14" s="57">
        <v>2942</v>
      </c>
      <c r="L14" s="57" t="s">
        <v>84</v>
      </c>
      <c r="M14" s="58" t="s">
        <v>79</v>
      </c>
      <c r="N14" s="58" t="s">
        <v>69</v>
      </c>
      <c r="O14" s="59" t="s">
        <v>85</v>
      </c>
      <c r="P14" s="60" t="s">
        <v>86</v>
      </c>
    </row>
    <row r="15" spans="1:16" ht="12.75" customHeight="1">
      <c r="A15" s="34" t="str">
        <f t="shared" si="0"/>
        <v>IBVS 6011 </v>
      </c>
      <c r="B15" s="3" t="str">
        <f t="shared" si="1"/>
        <v>II</v>
      </c>
      <c r="C15" s="34">
        <f t="shared" si="2"/>
        <v>55896.8687</v>
      </c>
      <c r="D15" t="str">
        <f t="shared" si="3"/>
        <v>vis</v>
      </c>
      <c r="E15">
        <f>VLOOKUP(C15,A!C$21:E$973,3,FALSE)</f>
        <v>2954.5004858681486</v>
      </c>
      <c r="F15" s="3" t="s">
        <v>64</v>
      </c>
      <c r="G15" t="str">
        <f t="shared" si="4"/>
        <v>55896.8687</v>
      </c>
      <c r="H15" s="34">
        <f t="shared" si="5"/>
        <v>2954.5</v>
      </c>
      <c r="I15" s="57" t="s">
        <v>87</v>
      </c>
      <c r="J15" s="58" t="s">
        <v>88</v>
      </c>
      <c r="K15" s="57">
        <v>2954.5</v>
      </c>
      <c r="L15" s="57" t="s">
        <v>89</v>
      </c>
      <c r="M15" s="58" t="s">
        <v>79</v>
      </c>
      <c r="N15" s="58" t="s">
        <v>64</v>
      </c>
      <c r="O15" s="59" t="s">
        <v>80</v>
      </c>
      <c r="P15" s="60" t="s">
        <v>90</v>
      </c>
    </row>
    <row r="16" spans="1:16" ht="12.75" customHeight="1">
      <c r="A16" s="34" t="str">
        <f t="shared" si="0"/>
        <v>IBVS 5741 </v>
      </c>
      <c r="B16" s="3" t="str">
        <f t="shared" si="1"/>
        <v>II</v>
      </c>
      <c r="C16" s="34">
        <f t="shared" si="2"/>
        <v>53671.6572</v>
      </c>
      <c r="D16" t="str">
        <f t="shared" si="3"/>
        <v>vis</v>
      </c>
      <c r="E16">
        <f>VLOOKUP(C16,A!C$21:E$973,3,FALSE)</f>
        <v>1018.5001399442971</v>
      </c>
      <c r="F16" s="3" t="s">
        <v>64</v>
      </c>
      <c r="G16" t="str">
        <f t="shared" si="4"/>
        <v>53671.6572</v>
      </c>
      <c r="H16" s="34">
        <f t="shared" si="5"/>
        <v>1018.5</v>
      </c>
      <c r="I16" s="57" t="s">
        <v>91</v>
      </c>
      <c r="J16" s="58" t="s">
        <v>92</v>
      </c>
      <c r="K16" s="57">
        <v>1018.5</v>
      </c>
      <c r="L16" s="57" t="s">
        <v>93</v>
      </c>
      <c r="M16" s="58" t="s">
        <v>68</v>
      </c>
      <c r="N16" s="58" t="s">
        <v>94</v>
      </c>
      <c r="O16" s="59" t="s">
        <v>95</v>
      </c>
      <c r="P16" s="60" t="s">
        <v>96</v>
      </c>
    </row>
    <row r="17" spans="1:16" ht="12.75" customHeight="1">
      <c r="A17" s="34" t="str">
        <f t="shared" si="0"/>
        <v>VSB 46 </v>
      </c>
      <c r="B17" s="3" t="str">
        <f t="shared" si="1"/>
        <v>I</v>
      </c>
      <c r="C17" s="34">
        <f t="shared" si="2"/>
        <v>54146.9301</v>
      </c>
      <c r="D17" t="str">
        <f t="shared" si="3"/>
        <v>vis</v>
      </c>
      <c r="E17">
        <f>VLOOKUP(C17,A!C$21:E$973,3,FALSE)</f>
        <v>1432.0017324033627</v>
      </c>
      <c r="F17" s="3" t="s">
        <v>64</v>
      </c>
      <c r="G17" t="str">
        <f t="shared" si="4"/>
        <v>54146.9301</v>
      </c>
      <c r="H17" s="34">
        <f t="shared" si="5"/>
        <v>1432</v>
      </c>
      <c r="I17" s="57" t="s">
        <v>97</v>
      </c>
      <c r="J17" s="58" t="s">
        <v>98</v>
      </c>
      <c r="K17" s="57">
        <v>1432</v>
      </c>
      <c r="L17" s="57" t="s">
        <v>99</v>
      </c>
      <c r="M17" s="58" t="s">
        <v>79</v>
      </c>
      <c r="N17" s="58" t="s">
        <v>100</v>
      </c>
      <c r="O17" s="59" t="s">
        <v>101</v>
      </c>
      <c r="P17" s="60" t="s">
        <v>49</v>
      </c>
    </row>
    <row r="18" spans="1:16" ht="12.75" customHeight="1">
      <c r="A18" s="34" t="str">
        <f t="shared" si="0"/>
        <v>VSB 50 </v>
      </c>
      <c r="B18" s="3" t="str">
        <f t="shared" si="1"/>
        <v>I</v>
      </c>
      <c r="C18" s="34">
        <f t="shared" si="2"/>
        <v>54848.0515</v>
      </c>
      <c r="D18" t="str">
        <f t="shared" si="3"/>
        <v>vis</v>
      </c>
      <c r="E18">
        <f>VLOOKUP(C18,A!C$21:E$973,3,FALSE)</f>
        <v>2041.9982531541423</v>
      </c>
      <c r="F18" s="3" t="s">
        <v>64</v>
      </c>
      <c r="G18" t="str">
        <f t="shared" si="4"/>
        <v>54848.0515</v>
      </c>
      <c r="H18" s="34">
        <f t="shared" si="5"/>
        <v>2042</v>
      </c>
      <c r="I18" s="57" t="s">
        <v>102</v>
      </c>
      <c r="J18" s="58" t="s">
        <v>103</v>
      </c>
      <c r="K18" s="57">
        <v>2042</v>
      </c>
      <c r="L18" s="57" t="s">
        <v>104</v>
      </c>
      <c r="M18" s="58" t="s">
        <v>79</v>
      </c>
      <c r="N18" s="58" t="s">
        <v>100</v>
      </c>
      <c r="O18" s="59" t="s">
        <v>101</v>
      </c>
      <c r="P18" s="60" t="s">
        <v>50</v>
      </c>
    </row>
    <row r="19" spans="1:16" ht="12.75" customHeight="1">
      <c r="A19" s="34" t="str">
        <f t="shared" si="0"/>
        <v>BAVM 225 </v>
      </c>
      <c r="B19" s="3" t="str">
        <f t="shared" si="1"/>
        <v>II</v>
      </c>
      <c r="C19" s="34">
        <f t="shared" si="2"/>
        <v>55856.6377</v>
      </c>
      <c r="D19" t="str">
        <f t="shared" si="3"/>
        <v>vis</v>
      </c>
      <c r="E19">
        <f>VLOOKUP(C19,A!C$21:E$973,3,FALSE)</f>
        <v>2919.4983164488094</v>
      </c>
      <c r="F19" s="3" t="s">
        <v>64</v>
      </c>
      <c r="G19" t="str">
        <f t="shared" si="4"/>
        <v>55856.6377</v>
      </c>
      <c r="H19" s="34">
        <f t="shared" si="5"/>
        <v>2919.5</v>
      </c>
      <c r="I19" s="57" t="s">
        <v>105</v>
      </c>
      <c r="J19" s="58" t="s">
        <v>106</v>
      </c>
      <c r="K19" s="57">
        <v>2919.5</v>
      </c>
      <c r="L19" s="57" t="s">
        <v>107</v>
      </c>
      <c r="M19" s="58" t="s">
        <v>79</v>
      </c>
      <c r="N19" s="58" t="s">
        <v>69</v>
      </c>
      <c r="O19" s="59" t="s">
        <v>85</v>
      </c>
      <c r="P19" s="60" t="s">
        <v>52</v>
      </c>
    </row>
  </sheetData>
  <sheetProtection selectLockedCells="1" selectUnlockedCells="1"/>
  <hyperlinks>
    <hyperlink ref="P11" r:id="rId1" display="BAVM 152 "/>
    <hyperlink ref="P12" r:id="rId2" display="BAVM 158 "/>
    <hyperlink ref="P13" r:id="rId3" display="IBVS 5960 "/>
    <hyperlink ref="P14" r:id="rId4" display="BAVM 228 "/>
    <hyperlink ref="P15" r:id="rId5" display="IBVS 6011 "/>
    <hyperlink ref="P16" r:id="rId6" display="IBVS 5741 "/>
    <hyperlink ref="P17" r:id="rId7" display="VSB 46 "/>
    <hyperlink ref="P18" r:id="rId8" display="VSB 50 "/>
    <hyperlink ref="P19" r:id="rId9" display="BAVM 225 "/>
  </hyperlink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2022-11-21T05:51:10Z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