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32760" windowWidth="8775" windowHeight="1425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<sst xmlns="http://schemas.openxmlformats.org/spreadsheetml/2006/main" count="62" uniqueCount="57">
  <si>
    <t>G4783-2332_Ori.xls</t>
  </si>
  <si>
    <t>System Type:</t>
  </si>
  <si>
    <t>EC</t>
  </si>
  <si>
    <t>Constell:</t>
  </si>
  <si>
    <t>Ori</t>
  </si>
  <si>
    <t>G4783-2332</t>
  </si>
  <si>
    <t>GCVS 4 Eph.</t>
  </si>
  <si>
    <t>not avail.</t>
  </si>
  <si>
    <t>--- Working ----</t>
  </si>
  <si>
    <t>Epoch =</t>
  </si>
  <si>
    <t>VSX</t>
  </si>
  <si>
    <t>Period =</t>
  </si>
  <si>
    <t>My time zone &gt;&gt;&gt;&gt;&gt;</t>
  </si>
  <si>
    <t>(PST=8, PDT=MDT=7, MDT=CST=6, etc.)</t>
  </si>
  <si>
    <t>Linear</t>
  </si>
  <si>
    <t>Quadratic</t>
  </si>
  <si>
    <t>LS Intercept =</t>
  </si>
  <si>
    <t>LS Slope =</t>
  </si>
  <si>
    <t>LS Quadr term =</t>
  </si>
  <si>
    <t>na</t>
  </si>
  <si>
    <t>Add cycle</t>
  </si>
  <si>
    <t>JD today</t>
  </si>
  <si>
    <t>New epoch =</t>
  </si>
  <si>
    <t>Old Cycle</t>
  </si>
  <si>
    <t>New Period =</t>
  </si>
  <si>
    <t>New Cycle</t>
  </si>
  <si>
    <t># of data points:</t>
  </si>
  <si>
    <t>Next ToM</t>
  </si>
  <si>
    <t>New Ephemeris =</t>
  </si>
  <si>
    <t>Start of linear fit &gt;&gt;&gt;&gt;&gt;&gt;&gt;&gt;&gt;&gt;&gt;&gt;&gt;&gt;&gt;&gt;&gt;&gt;&gt;&gt;&gt;</t>
  </si>
  <si>
    <t>Source</t>
  </si>
  <si>
    <t>Typ</t>
  </si>
  <si>
    <t>ToM</t>
  </si>
  <si>
    <t>error</t>
  </si>
  <si>
    <t>n'</t>
  </si>
  <si>
    <t>n</t>
  </si>
  <si>
    <t>O-C</t>
  </si>
  <si>
    <t>S5</t>
  </si>
  <si>
    <t>S6</t>
  </si>
  <si>
    <t>Misc</t>
  </si>
  <si>
    <t>Lin Fit</t>
  </si>
  <si>
    <t>Q. Fit</t>
  </si>
  <si>
    <t>Date</t>
  </si>
  <si>
    <t>BAD</t>
  </si>
  <si>
    <t>IBVS 5960</t>
  </si>
  <si>
    <t>II</t>
  </si>
  <si>
    <t>IBVS 6029</t>
  </si>
  <si>
    <t>I</t>
  </si>
  <si>
    <t>IBVS 6042</t>
  </si>
  <si>
    <t>VSB 067</t>
  </si>
  <si>
    <t>V</t>
  </si>
  <si>
    <t>V2822 Ori / GSC 4783-2332</t>
  </si>
  <si>
    <t>RHN 2021</t>
  </si>
  <si>
    <t>pg</t>
  </si>
  <si>
    <t>vis</t>
  </si>
  <si>
    <t>PE</t>
  </si>
  <si>
    <t>CCD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</si>
</sst>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&quot;($&quot;#,##0\)"/>
    <numFmt numFmtId="173" formatCode="m/d/yyyy\ h:mm"/>
    <numFmt numFmtId="174" formatCode="m/d/yyyy"/>
    <numFmt numFmtId="175" formatCode="[$-409]dddd\,\ yyyy\ mmmm\ dd"/>
  </numFmts>
  <fonts count="47">
    <font>
      <sz val="10"/>
      <name val="Arial"/>
      <family val="2"/>
    </font>
    <font>
      <sz val="16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3" fontId="0" fillId="0" borderId="0" applyFill="0" applyBorder="0" applyProtection="0">
      <alignment vertical="top"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2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5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" fillId="33" borderId="0" xfId="0" applyFont="1" applyFill="1" applyAlignment="1">
      <alignment vertic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12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173" fontId="7" fillId="0" borderId="0" xfId="0" applyNumberFormat="1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12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V2822 Ori - O-C Diagr.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895"/>
          <c:w val="0.90525"/>
          <c:h val="0.83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A!$F$21:$F$825</c:f>
              <c:numCache/>
            </c:numRef>
          </c:xVal>
          <c:yVal>
            <c:numRef>
              <c:f>A!$H$21:$H$825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A!$F$21:$F$825</c:f>
              <c:numCache/>
            </c:numRef>
          </c:xVal>
          <c:yVal>
            <c:numRef>
              <c:f>A!$I$21:$I$825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A!$F$21:$F$825</c:f>
              <c:numCache/>
            </c:numRef>
          </c:xVal>
          <c:yVal>
            <c:numRef>
              <c:f>A!$J$21:$J$825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A!$F$21:$F$825</c:f>
              <c:numCache/>
            </c:numRef>
          </c:xVal>
          <c:yVal>
            <c:numRef>
              <c:f>A!$K$21:$K$825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A!$F$21:$F$825</c:f>
              <c:numCache/>
            </c:numRef>
          </c:xVal>
          <c:yVal>
            <c:numRef>
              <c:f>A!$L$21:$L$825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A!$F$21:$F$825</c:f>
              <c:numCache/>
            </c:numRef>
          </c:xVal>
          <c:yVal>
            <c:numRef>
              <c:f>A!$M$21:$M$825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A!$F$21:$F$825</c:f>
              <c:numCache/>
            </c:numRef>
          </c:xVal>
          <c:yVal>
            <c:numRef>
              <c:f>A!$N$21:$N$825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A!$F$21:$F$825</c:f>
              <c:numCache/>
            </c:numRef>
          </c:xVal>
          <c:yVal>
            <c:numRef>
              <c:f>A!$O$21:$O$825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A!$F$21:$F$825</c:f>
              <c:numCache/>
            </c:numRef>
          </c:xVal>
          <c:yVal>
            <c:numRef>
              <c:f>A!$R$21:$R$825</c:f>
              <c:numCache/>
            </c:numRef>
          </c:yVal>
          <c:smooth val="0"/>
        </c:ser>
        <c:axId val="32439495"/>
        <c:axId val="64083020"/>
      </c:scatterChart>
      <c:valAx>
        <c:axId val="32439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75"/>
              <c:y val="0.12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83020"/>
        <c:crossesAt val="0"/>
        <c:crossBetween val="midCat"/>
        <c:dispUnits/>
      </c:valAx>
      <c:valAx>
        <c:axId val="64083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39495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45"/>
          <c:y val="0.926"/>
          <c:w val="0.744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952500</xdr:colOff>
      <xdr:row>0</xdr:row>
      <xdr:rowOff>0</xdr:rowOff>
    </xdr:from>
    <xdr:to>
      <xdr:col>17</xdr:col>
      <xdr:colOff>76200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362450" y="0"/>
        <a:ext cx="63341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1" customWidth="1"/>
    <col min="2" max="2" width="4.8515625" style="1" customWidth="1"/>
    <col min="3" max="3" width="11.8515625" style="1" customWidth="1"/>
    <col min="4" max="4" width="9.421875" style="1" customWidth="1"/>
    <col min="5" max="5" width="10.57421875" style="1" customWidth="1"/>
    <col min="6" max="6" width="14.42187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33" customWidth="1"/>
    <col min="18" max="16384" width="10.28125" style="1" customWidth="1"/>
  </cols>
  <sheetData>
    <row r="1" spans="1:5" ht="20.25">
      <c r="A1" s="2" t="s">
        <v>51</v>
      </c>
      <c r="E1" s="1" t="s">
        <v>0</v>
      </c>
    </row>
    <row r="2" spans="1:6" ht="12.75">
      <c r="A2" s="1" t="s">
        <v>1</v>
      </c>
      <c r="B2" s="1" t="s">
        <v>2</v>
      </c>
      <c r="C2" s="3" t="s">
        <v>3</v>
      </c>
      <c r="D2" s="4" t="s">
        <v>4</v>
      </c>
      <c r="E2" s="5" t="s">
        <v>5</v>
      </c>
      <c r="F2" s="1" t="e">
        <v>#N/A</v>
      </c>
    </row>
    <row r="4" spans="1:4" ht="12.75">
      <c r="A4" s="6" t="s">
        <v>6</v>
      </c>
      <c r="C4" s="7" t="s">
        <v>7</v>
      </c>
      <c r="D4" s="8" t="s">
        <v>7</v>
      </c>
    </row>
    <row r="5" spans="1:4" ht="12.75">
      <c r="A5" s="11" t="s">
        <v>12</v>
      </c>
      <c r="B5"/>
      <c r="C5" s="12">
        <v>-9.5</v>
      </c>
      <c r="D5" t="s">
        <v>13</v>
      </c>
    </row>
    <row r="6" ht="12.75">
      <c r="A6" s="6" t="s">
        <v>8</v>
      </c>
    </row>
    <row r="7" spans="1:4" ht="12.75">
      <c r="A7" s="1" t="s">
        <v>9</v>
      </c>
      <c r="C7" s="9">
        <v>54702.91800000006</v>
      </c>
      <c r="D7" s="10" t="s">
        <v>10</v>
      </c>
    </row>
    <row r="8" spans="1:4" ht="12.75">
      <c r="A8" s="1" t="s">
        <v>11</v>
      </c>
      <c r="C8" s="9">
        <v>0.248078</v>
      </c>
      <c r="D8" s="10" t="s">
        <v>10</v>
      </c>
    </row>
    <row r="9" spans="1:4" ht="12.75">
      <c r="A9" s="23" t="s">
        <v>29</v>
      </c>
      <c r="B9" s="24">
        <v>21</v>
      </c>
      <c r="C9" s="15" t="str">
        <f>"F"&amp;B9</f>
        <v>F21</v>
      </c>
      <c r="D9" s="16" t="str">
        <f>"G"&amp;B9</f>
        <v>G21</v>
      </c>
    </row>
    <row r="10" spans="1:5" ht="12.75">
      <c r="A10"/>
      <c r="B10"/>
      <c r="C10" s="13" t="s">
        <v>14</v>
      </c>
      <c r="D10" s="13" t="s">
        <v>15</v>
      </c>
      <c r="E10"/>
    </row>
    <row r="11" spans="1:5" ht="12.75">
      <c r="A11" t="s">
        <v>16</v>
      </c>
      <c r="B11"/>
      <c r="C11" s="14">
        <f ca="1">INTERCEPT(INDIRECT($D$9):G992,INDIRECT($C$9):F992)</f>
        <v>0.0008256651766748381</v>
      </c>
      <c r="D11" s="4"/>
      <c r="E11"/>
    </row>
    <row r="12" spans="1:5" ht="12.75">
      <c r="A12" t="s">
        <v>17</v>
      </c>
      <c r="B12"/>
      <c r="C12" s="14">
        <f ca="1">SLOPE(INDIRECT($D$9):G992,INDIRECT($C$9):F992)</f>
        <v>-4.78954438535859E-07</v>
      </c>
      <c r="D12" s="4"/>
      <c r="E12"/>
    </row>
    <row r="13" spans="1:3" ht="12.75">
      <c r="A13" t="s">
        <v>18</v>
      </c>
      <c r="B13"/>
      <c r="C13" s="4" t="s">
        <v>19</v>
      </c>
    </row>
    <row r="14" spans="1:3" ht="12.75">
      <c r="A14"/>
      <c r="B14"/>
      <c r="C14"/>
    </row>
    <row r="15" spans="1:6" ht="12.75">
      <c r="A15" s="18" t="s">
        <v>22</v>
      </c>
      <c r="B15"/>
      <c r="C15" s="19">
        <f>(C7+C11)+(C8+C12)*INT(MAX(F21:F3533))</f>
        <v>59578.63442429471</v>
      </c>
      <c r="E15" s="17" t="s">
        <v>20</v>
      </c>
      <c r="F15" s="12">
        <v>1</v>
      </c>
    </row>
    <row r="16" spans="1:6" ht="12.75">
      <c r="A16" s="18" t="s">
        <v>24</v>
      </c>
      <c r="B16"/>
      <c r="C16" s="19">
        <f>+C8+C12</f>
        <v>0.24807752104556147</v>
      </c>
      <c r="E16" s="17" t="s">
        <v>21</v>
      </c>
      <c r="F16" s="14">
        <f ca="1">NOW()+15018.5+$C$5/24</f>
        <v>59904.80264155092</v>
      </c>
    </row>
    <row r="17" spans="1:6" ht="12.75">
      <c r="A17" s="17" t="s">
        <v>26</v>
      </c>
      <c r="B17"/>
      <c r="C17">
        <f>COUNT(C21:C2191)</f>
        <v>6</v>
      </c>
      <c r="E17" s="17" t="s">
        <v>23</v>
      </c>
      <c r="F17" s="14">
        <f>ROUND(2*(F16-$C$7)/$C$8,0)/2+F15</f>
        <v>20969.5</v>
      </c>
    </row>
    <row r="18" spans="1:6" ht="12.75">
      <c r="A18" s="18" t="s">
        <v>28</v>
      </c>
      <c r="B18"/>
      <c r="C18" s="21">
        <f>+C15</f>
        <v>59578.63442429471</v>
      </c>
      <c r="D18" s="22">
        <f>+C16</f>
        <v>0.24807752104556147</v>
      </c>
      <c r="E18" s="17" t="s">
        <v>25</v>
      </c>
      <c r="F18" s="16">
        <f>ROUND(2*(F16-$C$15)/$C$16,0)/2+F15</f>
        <v>1316</v>
      </c>
    </row>
    <row r="19" spans="5:19" ht="12.75">
      <c r="E19" s="17" t="s">
        <v>27</v>
      </c>
      <c r="F19" s="20">
        <f>+$C$15+$C$16*F18-15018.5-$C$5/24</f>
        <v>44887.000275324004</v>
      </c>
      <c r="S19" s="1">
        <f>SQRT(SUM(S21:S50)/(COUNT(S21:S50)-1))</f>
        <v>0.0007024561451997397</v>
      </c>
    </row>
    <row r="20" spans="1:18" ht="12.75">
      <c r="A20" s="13" t="s">
        <v>30</v>
      </c>
      <c r="B20" s="13" t="s">
        <v>31</v>
      </c>
      <c r="C20" s="13" t="s">
        <v>32</v>
      </c>
      <c r="D20" s="13" t="s">
        <v>33</v>
      </c>
      <c r="E20" s="13" t="s">
        <v>34</v>
      </c>
      <c r="F20" s="13" t="s">
        <v>35</v>
      </c>
      <c r="G20" s="13" t="s">
        <v>36</v>
      </c>
      <c r="H20" s="25" t="s">
        <v>53</v>
      </c>
      <c r="I20" s="25" t="s">
        <v>54</v>
      </c>
      <c r="J20" s="25" t="s">
        <v>55</v>
      </c>
      <c r="K20" s="25" t="s">
        <v>56</v>
      </c>
      <c r="L20" s="25" t="s">
        <v>37</v>
      </c>
      <c r="M20" s="25" t="s">
        <v>38</v>
      </c>
      <c r="N20" s="25" t="s">
        <v>39</v>
      </c>
      <c r="O20" s="25" t="s">
        <v>40</v>
      </c>
      <c r="P20" s="25" t="s">
        <v>41</v>
      </c>
      <c r="Q20" s="34" t="s">
        <v>42</v>
      </c>
      <c r="R20" s="26" t="s">
        <v>43</v>
      </c>
    </row>
    <row r="21" spans="1:19" ht="12.75">
      <c r="A21" s="1" t="str">
        <f>D7</f>
        <v>VSX</v>
      </c>
      <c r="C21" s="9">
        <f>C$7</f>
        <v>54702.91800000006</v>
      </c>
      <c r="D21" s="9" t="s">
        <v>19</v>
      </c>
      <c r="E21" s="1">
        <f aca="true" t="shared" si="0" ref="E21:E26">+(C21-C$7)/C$8</f>
        <v>0</v>
      </c>
      <c r="F21" s="1">
        <f aca="true" t="shared" si="1" ref="F21:F26">ROUND(2*E21,0)/2</f>
        <v>0</v>
      </c>
      <c r="G21" s="1">
        <f aca="true" t="shared" si="2" ref="G21:G26">+C21-(C$7+F21*C$8)</f>
        <v>0</v>
      </c>
      <c r="I21" s="1">
        <f>+G21</f>
        <v>0</v>
      </c>
      <c r="O21" s="1">
        <f aca="true" t="shared" si="3" ref="O21:O26">+C$11+C$12*$F21</f>
        <v>0.0008256651766748381</v>
      </c>
      <c r="Q21" s="33">
        <f aca="true" t="shared" si="4" ref="Q21:Q26">+C21-15018.5</f>
        <v>39684.41800000006</v>
      </c>
      <c r="S21" s="1">
        <f aca="true" t="shared" si="5" ref="S21:S26">+(O21-G21)^2</f>
        <v>6.817229839734917E-07</v>
      </c>
    </row>
    <row r="22" spans="1:19" ht="12.75">
      <c r="A22" s="27" t="s">
        <v>44</v>
      </c>
      <c r="B22" s="28" t="s">
        <v>45</v>
      </c>
      <c r="C22" s="27">
        <v>55523.9326</v>
      </c>
      <c r="D22" s="27">
        <v>0.0002</v>
      </c>
      <c r="E22" s="1">
        <f t="shared" si="0"/>
        <v>3309.5018502242715</v>
      </c>
      <c r="F22" s="1">
        <f t="shared" si="1"/>
        <v>3309.5</v>
      </c>
      <c r="G22" s="1">
        <f t="shared" si="2"/>
        <v>0.0004589999371091835</v>
      </c>
      <c r="K22" s="1">
        <f>+G22</f>
        <v>0.0004589999371091835</v>
      </c>
      <c r="O22" s="1">
        <f t="shared" si="3"/>
        <v>-0.0007594345376595872</v>
      </c>
      <c r="Q22" s="33">
        <f t="shared" si="4"/>
        <v>40505.4326</v>
      </c>
      <c r="S22" s="1">
        <f t="shared" si="5"/>
        <v>1.4845825693050502E-06</v>
      </c>
    </row>
    <row r="23" spans="1:19" ht="12.75">
      <c r="A23" s="29" t="s">
        <v>46</v>
      </c>
      <c r="B23" s="30" t="s">
        <v>47</v>
      </c>
      <c r="C23" s="29">
        <v>55958.6871</v>
      </c>
      <c r="D23" s="29">
        <v>0.0003</v>
      </c>
      <c r="E23" s="1">
        <f t="shared" si="0"/>
        <v>5061.9930022006765</v>
      </c>
      <c r="F23" s="1">
        <f t="shared" si="1"/>
        <v>5062</v>
      </c>
      <c r="G23" s="1">
        <f t="shared" si="2"/>
        <v>-0.001736000063829124</v>
      </c>
      <c r="K23" s="1">
        <f>+G23</f>
        <v>-0.001736000063829124</v>
      </c>
      <c r="O23" s="1">
        <f t="shared" si="3"/>
        <v>-0.00159880219119368</v>
      </c>
      <c r="Q23" s="33">
        <f t="shared" si="4"/>
        <v>40940.1871</v>
      </c>
      <c r="S23" s="1">
        <f t="shared" si="5"/>
        <v>1.8823256255691478E-08</v>
      </c>
    </row>
    <row r="24" spans="1:19" ht="12.75">
      <c r="A24" s="31" t="s">
        <v>48</v>
      </c>
      <c r="B24" s="30" t="s">
        <v>47</v>
      </c>
      <c r="C24" s="29">
        <v>56256.8764</v>
      </c>
      <c r="D24" s="29">
        <v>0.0004</v>
      </c>
      <c r="E24" s="1">
        <f t="shared" si="0"/>
        <v>6263.991164069114</v>
      </c>
      <c r="F24" s="1">
        <f t="shared" si="1"/>
        <v>6264</v>
      </c>
      <c r="G24" s="1">
        <f t="shared" si="2"/>
        <v>-0.0021920000654063188</v>
      </c>
      <c r="K24" s="1">
        <f>+G24</f>
        <v>-0.0021920000654063188</v>
      </c>
      <c r="O24" s="1">
        <f t="shared" si="3"/>
        <v>-0.0021745054263137826</v>
      </c>
      <c r="Q24" s="33">
        <f t="shared" si="4"/>
        <v>41238.3764</v>
      </c>
      <c r="S24" s="1">
        <f t="shared" si="5"/>
        <v>3.0606239697809283E-10</v>
      </c>
    </row>
    <row r="25" spans="1:19" ht="12.75">
      <c r="A25" s="32" t="s">
        <v>49</v>
      </c>
      <c r="B25" s="30" t="s">
        <v>47</v>
      </c>
      <c r="C25" s="29">
        <v>58821.0052</v>
      </c>
      <c r="D25" s="29" t="s">
        <v>50</v>
      </c>
      <c r="E25" s="1">
        <f t="shared" si="0"/>
        <v>16599.96936447382</v>
      </c>
      <c r="F25" s="1">
        <f t="shared" si="1"/>
        <v>16600</v>
      </c>
      <c r="G25" s="1">
        <f t="shared" si="2"/>
        <v>-0.007600000062666368</v>
      </c>
      <c r="K25" s="1">
        <f>+G25</f>
        <v>-0.007600000062666368</v>
      </c>
      <c r="O25" s="1">
        <f t="shared" si="3"/>
        <v>-0.007124978503020421</v>
      </c>
      <c r="Q25" s="33">
        <f t="shared" si="4"/>
        <v>43802.5052</v>
      </c>
      <c r="S25" s="1">
        <f t="shared" si="5"/>
        <v>2.2564548212846772E-07</v>
      </c>
    </row>
    <row r="26" spans="1:19" ht="12.75">
      <c r="A26" s="6" t="s">
        <v>52</v>
      </c>
      <c r="C26" s="9">
        <v>59578.7587</v>
      </c>
      <c r="D26" s="9">
        <v>0.0002</v>
      </c>
      <c r="E26" s="1">
        <f t="shared" si="0"/>
        <v>19654.466337200134</v>
      </c>
      <c r="F26" s="1">
        <f t="shared" si="1"/>
        <v>19654.5</v>
      </c>
      <c r="G26" s="1">
        <f t="shared" si="2"/>
        <v>-0.008351000062248204</v>
      </c>
      <c r="K26" s="1">
        <f>+G26</f>
        <v>-0.008351000062248204</v>
      </c>
      <c r="O26" s="1">
        <f t="shared" si="3"/>
        <v>-0.008587944835528202</v>
      </c>
      <c r="Q26" s="33">
        <f t="shared" si="4"/>
        <v>44560.2587</v>
      </c>
      <c r="S26" s="1">
        <f t="shared" si="5"/>
        <v>5.614282558470985E-08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2022-11-21T06:15:48Z</dcterms:modified>
  <cp:category/>
  <cp:version/>
  <cp:contentType/>
  <cp:contentStatus/>
</cp:coreProperties>
</file>