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0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<sst xmlns="http://schemas.openxmlformats.org/spreadsheetml/2006/main" count="219" uniqueCount="136">
  <si>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</si>
  <si>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</si>
  <si>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</si>
  <si>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</si>
  <si>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</si>
  <si>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</si>
  <si>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</si>
  <si>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</si>
  <si>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</si>
  <si>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</si>
  <si>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</si>
  <si>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</si>
  <si>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</si>
  <si>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</si>
  <si>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</si>
  <si>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</si>
  <si>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</si>
  <si>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</si>
  <si>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</si>
  <si>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</si>
  <si>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</si>
  <si>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</si>
  <si>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</si>
  <si>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</si>
  <si>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</si>
  <si>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</si>
  <si>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</si>
  <si>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</si>
  <si>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IBVS 5484</t>
  </si>
  <si>
    <t>IBVS 5643</t>
  </si>
  <si>
    <t>IBVS</t>
  </si>
  <si>
    <t>EW/KE</t>
  </si>
  <si>
    <t>Krajci</t>
  </si>
  <si>
    <t>II</t>
  </si>
  <si>
    <t>I</t>
  </si>
  <si>
    <t>IBVS 5690</t>
  </si>
  <si>
    <t>IBVS 5657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</si>
  <si>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</si>
  <si>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</si>
  <si>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</si>
  <si>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</si>
  <si>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</si>
  <si>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</si>
  <si>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</si>
  <si>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</si>
  <si>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OEJV 0074</t>
  </si>
  <si>
    <t>OEJV 0094</t>
  </si>
  <si>
    <t>OEJV</t>
  </si>
  <si>
    <t>IBVS 5920</t>
  </si>
  <si>
    <t>Add cycle</t>
  </si>
  <si>
    <t>Old Cycle</t>
  </si>
  <si>
    <t>IBVS 6011</t>
  </si>
  <si>
    <t>IBVS 6042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</si>
  <si>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</si>
  <si>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</si>
  <si>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</si>
  <si>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</si>
  <si>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</si>
  <si>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</si>
  <si>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</si>
  <si>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</si>
  <si>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</si>
  <si>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</si>
  <si>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</si>
  <si>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2451815.38057 </t>
  </si>
  <si>
    <t> 27.09.2000 21:08 </t>
  </si>
  <si>
    <t> -0.02861 </t>
  </si>
  <si>
    <t>C </t>
  </si>
  <si>
    <t>o</t>
  </si>
  <si>
    <t> J.Safar </t>
  </si>
  <si>
    <t>OEJV 0074 </t>
  </si>
  <si>
    <t>2452505.5070 </t>
  </si>
  <si>
    <t> 19.08.2002 00:10 </t>
  </si>
  <si>
    <t> -0.0005 </t>
  </si>
  <si>
    <t>E </t>
  </si>
  <si>
    <t> F.Agerer </t>
  </si>
  <si>
    <t>BAVM 158 </t>
  </si>
  <si>
    <t>2452510.4627 </t>
  </si>
  <si>
    <t> 23.08.2002 23:06 </t>
  </si>
  <si>
    <t> -0.0095 </t>
  </si>
  <si>
    <t>2452878.4716 </t>
  </si>
  <si>
    <t> 26.08.2003 23:19 </t>
  </si>
  <si>
    <t> -0.0117 </t>
  </si>
  <si>
    <t>BAVM 172 </t>
  </si>
  <si>
    <t>2452887.3613 </t>
  </si>
  <si>
    <t> 04.09.2003 20:40 </t>
  </si>
  <si>
    <t> -0.0171 </t>
  </si>
  <si>
    <t>2452887.5687 </t>
  </si>
  <si>
    <t> 05.09.2003 01:38 </t>
  </si>
  <si>
    <t> -0.0166 </t>
  </si>
  <si>
    <t>2452929.5405 </t>
  </si>
  <si>
    <t> 17.10.2003 00:58 </t>
  </si>
  <si>
    <t> -0.0382 </t>
  </si>
  <si>
    <t>2453257.4426 </t>
  </si>
  <si>
    <t> 08.09.2004 22:37 </t>
  </si>
  <si>
    <t> -0.0155 </t>
  </si>
  <si>
    <t>BAVM 173 </t>
  </si>
  <si>
    <t>2453267.3665 </t>
  </si>
  <si>
    <t> 18.09.2004 20:47 </t>
  </si>
  <si>
    <t> -0.0211 </t>
  </si>
  <si>
    <t>2453341.5907 </t>
  </si>
  <si>
    <t> 02.12.2004 02:10 </t>
  </si>
  <si>
    <t> -0.0611 </t>
  </si>
  <si>
    <t> T.Krajci </t>
  </si>
  <si>
    <t>IBVS 5690 </t>
  </si>
  <si>
    <t>2453342.6239 </t>
  </si>
  <si>
    <t> 03.12.2004 02:58 </t>
  </si>
  <si>
    <t> -0.0622 </t>
  </si>
  <si>
    <t>2453659.3689 </t>
  </si>
  <si>
    <t> 15.10.2005 20:51 </t>
  </si>
  <si>
    <t> -0.0260 </t>
  </si>
  <si>
    <t>-I</t>
  </si>
  <si>
    <t> P.Frank </t>
  </si>
  <si>
    <t>BAVM 178 </t>
  </si>
  <si>
    <t>2453917.8006 </t>
  </si>
  <si>
    <t> 01.07.2006 07:12 </t>
  </si>
  <si>
    <t>70459.5</t>
  </si>
  <si>
    <t> 0.0326 </t>
  </si>
  <si>
    <t>IBVS 5806 </t>
  </si>
  <si>
    <t>2455102.665 </t>
  </si>
  <si>
    <t> 28.09.2009 03:57 </t>
  </si>
  <si>
    <t>73323.5</t>
  </si>
  <si>
    <t> -0.020 </t>
  </si>
  <si>
    <t> R.Diethelm </t>
  </si>
  <si>
    <t>IBVS 5920 </t>
  </si>
  <si>
    <t>2455850.6853 </t>
  </si>
  <si>
    <t> 16.10.2011 04:26 </t>
  </si>
  <si>
    <t>75131.5</t>
  </si>
  <si>
    <t> -0.0199 </t>
  </si>
  <si>
    <t>IBVS 6011 </t>
  </si>
  <si>
    <t>2456218.6962 </t>
  </si>
  <si>
    <t> 18.10.2012 04:42 </t>
  </si>
  <si>
    <t>76021</t>
  </si>
  <si>
    <t> -0.0201 </t>
  </si>
  <si>
    <t>IBVS 6042 </t>
  </si>
  <si>
    <t>CF Peg / GSC 2193-1079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</si>
</sst>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33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72" fontId="0" fillId="0" borderId="0" xfId="0" applyNumberForma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/>
    </xf>
    <xf numFmtId="172" fontId="5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4" fillId="34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CF Peg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475"/>
          <c:w val="0.9117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38164081"/>
        <c:axId val="7932410"/>
      </c:scatterChart>
      <c:valAx>
        <c:axId val="38164081"/>
        <c:scaling>
          <c:orientation val="minMax"/>
          <c:min val="67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32410"/>
        <c:crosses val="autoZero"/>
        <c:crossBetween val="midCat"/>
        <c:dispUnits/>
      </c:valAx>
      <c:valAx>
        <c:axId val="7932410"/>
        <c:scaling>
          <c:orientation val="minMax"/>
          <c:max val="0.4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40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925"/>
          <c:y val="0.93075"/>
          <c:w val="0.716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CF Peg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135"/>
          <c:w val="0.905"/>
          <c:h val="0.74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0.0018</c:v>
                  </c:pt>
                  <c:pt idx="2">
                    <c:v>0.0034</c:v>
                  </c:pt>
                  <c:pt idx="3">
                    <c:v>0.0013</c:v>
                  </c:pt>
                  <c:pt idx="4">
                    <c:v>0.0007</c:v>
                  </c:pt>
                  <c:pt idx="5">
                    <c:v>0.0011</c:v>
                  </c:pt>
                  <c:pt idx="6">
                    <c:v>0.0007</c:v>
                  </c:pt>
                  <c:pt idx="7">
                    <c:v>0.0013</c:v>
                  </c:pt>
                  <c:pt idx="8">
                    <c:v>0.0012</c:v>
                  </c:pt>
                  <c:pt idx="9">
                    <c:v>0.003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0.0026</c:v>
                  </c:pt>
                  <c:pt idx="13">
                    <c:v>0.0026</c:v>
                  </c:pt>
                  <c:pt idx="14">
                    <c:v>NaN</c:v>
                  </c:pt>
                  <c:pt idx="15">
                    <c:v>0.0003</c:v>
                  </c:pt>
                  <c:pt idx="16">
                    <c:v>0.0007</c:v>
                  </c:pt>
                  <c:pt idx="17">
                    <c:v>0.0007</c:v>
                  </c:pt>
                  <c:pt idx="18">
                    <c:v>0.0007</c:v>
                  </c:pt>
                  <c:pt idx="19">
                    <c:v>0.0005</c:v>
                  </c:pt>
                  <c:pt idx="20">
                    <c:v>0.0005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4282827"/>
        <c:axId val="38545444"/>
      </c:scatterChart>
      <c:valAx>
        <c:axId val="4282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45444"/>
        <c:crosses val="autoZero"/>
        <c:crossBetween val="midCat"/>
        <c:dispUnits/>
      </c:valAx>
      <c:valAx>
        <c:axId val="3854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282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35"/>
          <c:w val="0.798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190500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33900" y="0"/>
        <a:ext cx="6410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676275</xdr:colOff>
      <xdr:row>0</xdr:row>
      <xdr:rowOff>0</xdr:rowOff>
    </xdr:from>
    <xdr:to>
      <xdr:col>26</xdr:col>
      <xdr:colOff>266700</xdr:colOff>
      <xdr:row>16</xdr:row>
      <xdr:rowOff>104775</xdr:rowOff>
    </xdr:to>
    <xdr:graphicFrame>
      <xdr:nvGraphicFramePr>
        <xdr:cNvPr id="2" name="Chart 2"/>
        <xdr:cNvGraphicFramePr/>
      </xdr:nvGraphicFramePr>
      <xdr:xfrm>
        <a:off x="11430000" y="0"/>
        <a:ext cx="57626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www.bav-astro.de/sfs/BAVM_link.php?BAVMnr=158" TargetMode="External" /><Relationship Id="rId3" Type="http://schemas.openxmlformats.org/officeDocument/2006/relationships/hyperlink" Target="http://www.bav-astro.de/sfs/BAVM_link.php?BAVMnr=158" TargetMode="External" /><Relationship Id="rId4" Type="http://schemas.openxmlformats.org/officeDocument/2006/relationships/hyperlink" Target="http://www.bav-astro.de/sfs/BAVM_link.php?BAVMnr=172" TargetMode="External" /><Relationship Id="rId5" Type="http://schemas.openxmlformats.org/officeDocument/2006/relationships/hyperlink" Target="http://www.bav-astro.de/sfs/BAVM_link.php?BAVMnr=172" TargetMode="External" /><Relationship Id="rId6" Type="http://schemas.openxmlformats.org/officeDocument/2006/relationships/hyperlink" Target="http://www.bav-astro.de/sfs/BAVM_link.php?BAVMnr=172" TargetMode="External" /><Relationship Id="rId7" Type="http://schemas.openxmlformats.org/officeDocument/2006/relationships/hyperlink" Target="http://www.bav-astro.de/sfs/BAVM_link.php?BAVMnr=172" TargetMode="External" /><Relationship Id="rId8" Type="http://schemas.openxmlformats.org/officeDocument/2006/relationships/hyperlink" Target="http://www.bav-astro.de/sfs/BAVM_link.php?BAVMnr=173" TargetMode="External" /><Relationship Id="rId9" Type="http://schemas.openxmlformats.org/officeDocument/2006/relationships/hyperlink" Target="http://www.bav-astro.de/sfs/BAVM_link.php?BAVMnr=173" TargetMode="External" /><Relationship Id="rId10" Type="http://schemas.openxmlformats.org/officeDocument/2006/relationships/hyperlink" Target="http://www.konkoly.hu/cgi-bin/IBVS?5690" TargetMode="External" /><Relationship Id="rId11" Type="http://schemas.openxmlformats.org/officeDocument/2006/relationships/hyperlink" Target="http://www.konkoly.hu/cgi-bin/IBVS?5690" TargetMode="External" /><Relationship Id="rId12" Type="http://schemas.openxmlformats.org/officeDocument/2006/relationships/hyperlink" Target="http://www.bav-astro.de/sfs/BAVM_link.php?BAVMnr=178" TargetMode="External" /><Relationship Id="rId13" Type="http://schemas.openxmlformats.org/officeDocument/2006/relationships/hyperlink" Target="http://www.konkoly.hu/cgi-bin/IBVS?5806" TargetMode="External" /><Relationship Id="rId14" Type="http://schemas.openxmlformats.org/officeDocument/2006/relationships/hyperlink" Target="http://www.konkoly.hu/cgi-bin/IBVS?5920" TargetMode="External" /><Relationship Id="rId15" Type="http://schemas.openxmlformats.org/officeDocument/2006/relationships/hyperlink" Target="http://www.konkoly.hu/cgi-bin/IBVS?6011" TargetMode="External" /><Relationship Id="rId16" Type="http://schemas.openxmlformats.org/officeDocument/2006/relationships/hyperlink" Target="http://www.konkoly.hu/cgi-bin/IBVS?604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135</v>
      </c>
    </row>
    <row r="2" spans="1:2" ht="12.75">
      <c r="A2" t="s">
        <v>24</v>
      </c>
      <c r="B2" s="12" t="s">
        <v>31</v>
      </c>
    </row>
    <row r="4" spans="1:4" ht="14.25" thickBot="1" thickTop="1">
      <c r="A4" s="7" t="s">
        <v>0</v>
      </c>
      <c r="C4" s="3">
        <v>24766.7</v>
      </c>
      <c r="D4" s="4">
        <v>0.413728</v>
      </c>
    </row>
    <row r="5" spans="1:4" ht="13.5" thickTop="1">
      <c r="A5" s="22" t="s">
        <v>39</v>
      </c>
      <c r="B5" s="20"/>
      <c r="C5" s="23">
        <v>-9.5</v>
      </c>
      <c r="D5" s="20" t="s">
        <v>40</v>
      </c>
    </row>
    <row r="6" ht="12.75">
      <c r="A6" s="7" t="s">
        <v>1</v>
      </c>
    </row>
    <row r="7" spans="1:3" ht="12.75">
      <c r="A7" t="s">
        <v>2</v>
      </c>
      <c r="C7">
        <f>+C4</f>
        <v>24766.7</v>
      </c>
    </row>
    <row r="8" spans="1:3" ht="12.75">
      <c r="A8" t="s">
        <v>3</v>
      </c>
      <c r="C8">
        <f>+D4</f>
        <v>0.413728</v>
      </c>
    </row>
    <row r="9" spans="1:4" ht="12.75">
      <c r="A9" s="36" t="s">
        <v>44</v>
      </c>
      <c r="B9" s="37">
        <v>31</v>
      </c>
      <c r="C9" s="34" t="str">
        <f>"F"&amp;B9</f>
        <v>F31</v>
      </c>
      <c r="D9" s="35" t="str">
        <f>"G"&amp;B9</f>
        <v>G31</v>
      </c>
    </row>
    <row r="10" spans="1:5" ht="13.5" thickBot="1">
      <c r="A10" s="20"/>
      <c r="B10" s="20"/>
      <c r="C10" s="6" t="s">
        <v>20</v>
      </c>
      <c r="D10" s="6" t="s">
        <v>21</v>
      </c>
      <c r="E10" s="20"/>
    </row>
    <row r="11" spans="1:5" ht="12.75">
      <c r="A11" s="20" t="s">
        <v>16</v>
      </c>
      <c r="B11" s="20"/>
      <c r="C11" s="33">
        <f ca="1">INTERCEPT(INDIRECT($D$9):G992,INDIRECT($C$9):F992)</f>
        <v>-0.44791356324687026</v>
      </c>
      <c r="D11" s="5"/>
      <c r="E11" s="20"/>
    </row>
    <row r="12" spans="1:5" ht="12.75">
      <c r="A12" s="20" t="s">
        <v>17</v>
      </c>
      <c r="B12" s="20"/>
      <c r="C12" s="33">
        <f ca="1">SLOPE(INDIRECT($D$9):G992,INDIRECT($C$9):F992)</f>
        <v>3.028447699611621E-06</v>
      </c>
      <c r="D12" s="5"/>
      <c r="E12" s="20"/>
    </row>
    <row r="13" spans="1:3" ht="12.75">
      <c r="A13" s="20" t="s">
        <v>19</v>
      </c>
      <c r="B13" s="20"/>
      <c r="C13" s="5" t="s">
        <v>14</v>
      </c>
    </row>
    <row r="14" spans="1:3" ht="12.75">
      <c r="A14" s="20"/>
      <c r="B14" s="20"/>
      <c r="C14" s="20"/>
    </row>
    <row r="15" spans="1:6" ht="12.75">
      <c r="A15" s="24" t="s">
        <v>18</v>
      </c>
      <c r="B15" s="20"/>
      <c r="C15" s="25">
        <f>(C7+C11)+(C8+C12)*INT(MAX(F21:F3533))</f>
        <v>56218.49860005933</v>
      </c>
      <c r="E15" s="26" t="s">
        <v>49</v>
      </c>
      <c r="F15" s="23">
        <v>1</v>
      </c>
    </row>
    <row r="16" spans="1:6" ht="12.75">
      <c r="A16" s="28" t="s">
        <v>4</v>
      </c>
      <c r="B16" s="20"/>
      <c r="C16" s="29">
        <f>+C8+C12</f>
        <v>0.4137310284476996</v>
      </c>
      <c r="E16" s="26" t="s">
        <v>41</v>
      </c>
      <c r="F16" s="27">
        <f ca="1">NOW()+15018.5+$C$5/24</f>
        <v>59905.596116898145</v>
      </c>
    </row>
    <row r="17" spans="1:6" ht="13.5" thickBot="1">
      <c r="A17" s="26" t="s">
        <v>37</v>
      </c>
      <c r="B17" s="20"/>
      <c r="C17" s="20">
        <f>COUNT(C21:C2191)</f>
        <v>21</v>
      </c>
      <c r="E17" s="26" t="s">
        <v>50</v>
      </c>
      <c r="F17" s="27">
        <f>ROUND(2*(F16-$C$7)/$C$8,0)/2+F15</f>
        <v>84933.5</v>
      </c>
    </row>
    <row r="18" spans="1:6" ht="14.25" thickBot="1" thickTop="1">
      <c r="A18" s="28" t="s">
        <v>5</v>
      </c>
      <c r="B18" s="20"/>
      <c r="C18" s="31">
        <f>+C15</f>
        <v>56218.49860005933</v>
      </c>
      <c r="D18" s="32">
        <f>+C16</f>
        <v>0.4137310284476996</v>
      </c>
      <c r="E18" s="26" t="s">
        <v>42</v>
      </c>
      <c r="F18" s="35">
        <f>ROUND(2*(F16-$C$15)/$C$16,0)/2+F15</f>
        <v>8913</v>
      </c>
    </row>
    <row r="19" spans="5:6" ht="13.5" thickTop="1">
      <c r="E19" s="26" t="s">
        <v>43</v>
      </c>
      <c r="F19" s="30">
        <f>+$C$15+$C$16*F18-15018.5-$C$5/24</f>
        <v>44887.97908994701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30</v>
      </c>
      <c r="J20" s="9" t="s">
        <v>32</v>
      </c>
      <c r="K20" s="9" t="s">
        <v>47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t="s">
        <v>12</v>
      </c>
      <c r="C21" s="19">
        <v>24766.7</v>
      </c>
      <c r="D21" s="19" t="s">
        <v>14</v>
      </c>
      <c r="E21">
        <f>+(C21-C$7)/C$8</f>
        <v>0</v>
      </c>
      <c r="F21">
        <v>-2592.5</v>
      </c>
      <c r="G21">
        <v>0.00508841058035614</v>
      </c>
      <c r="K21">
        <v>0.00508841058035614</v>
      </c>
      <c r="Q21">
        <v>36796.88057</v>
      </c>
    </row>
    <row r="22" spans="1:17" ht="12.75">
      <c r="A22" t="s">
        <v>45</v>
      </c>
      <c r="B22" t="s">
        <v>34</v>
      </c>
      <c r="C22" s="19">
        <v>51815.38057</v>
      </c>
      <c r="D22" s="19">
        <v>0.0018</v>
      </c>
      <c r="E22">
        <v>-2592.48769414278</v>
      </c>
      <c r="F22">
        <v>-2592.5</v>
      </c>
      <c r="G22">
        <v>0.00508841058035614</v>
      </c>
      <c r="K22">
        <v>0.00508841058035614</v>
      </c>
      <c r="Q22">
        <v>36796.88057</v>
      </c>
    </row>
    <row r="23" spans="1:17" ht="12.75">
      <c r="A23" s="13" t="s">
        <v>28</v>
      </c>
      <c r="C23" s="21">
        <v>52505.507</v>
      </c>
      <c r="D23" s="21">
        <v>0.0034</v>
      </c>
      <c r="E23">
        <f aca="true" t="shared" si="0" ref="E23:E41">+(C23-C$7)/C$8</f>
        <v>67045.99882048108</v>
      </c>
      <c r="F23" s="16">
        <f>ROUND(2*E23,0)/2-0.5</f>
        <v>67045.5</v>
      </c>
      <c r="G23">
        <f aca="true" t="shared" si="1" ref="G23:G41">+C23-(C$7+F23*C$8)</f>
        <v>0.20637600000191014</v>
      </c>
      <c r="I23">
        <f aca="true" t="shared" si="2" ref="I23:I28">+G23</f>
        <v>0.20637600000191014</v>
      </c>
      <c r="O23">
        <f aca="true" t="shared" si="3" ref="O23:O41">+C$11+C$12*$F23</f>
        <v>-0.24486977300255933</v>
      </c>
      <c r="Q23" s="2">
        <f aca="true" t="shared" si="4" ref="Q23:Q41">+C23-15018.5</f>
        <v>37487.007</v>
      </c>
    </row>
    <row r="24" spans="1:17" ht="12.75">
      <c r="A24" s="14" t="s">
        <v>28</v>
      </c>
      <c r="B24" s="10"/>
      <c r="C24" s="48">
        <v>52510.4627</v>
      </c>
      <c r="D24" s="48">
        <v>0.0013</v>
      </c>
      <c r="E24">
        <f t="shared" si="0"/>
        <v>67057.97698004486</v>
      </c>
      <c r="F24" s="16">
        <f>ROUND(2*E24,0)/2-0.5</f>
        <v>67057.5</v>
      </c>
      <c r="G24">
        <f t="shared" si="1"/>
        <v>0.1973399999915273</v>
      </c>
      <c r="I24">
        <f t="shared" si="2"/>
        <v>0.1973399999915273</v>
      </c>
      <c r="O24">
        <f t="shared" si="3"/>
        <v>-0.244833431630164</v>
      </c>
      <c r="Q24" s="2">
        <f t="shared" si="4"/>
        <v>37491.9627</v>
      </c>
    </row>
    <row r="25" spans="1:17" ht="12.75">
      <c r="A25" s="15" t="s">
        <v>29</v>
      </c>
      <c r="B25" s="11"/>
      <c r="C25" s="49">
        <v>52878.4716</v>
      </c>
      <c r="D25" s="49">
        <v>0.0007</v>
      </c>
      <c r="E25">
        <f t="shared" si="0"/>
        <v>67947.47176889163</v>
      </c>
      <c r="F25">
        <f>ROUND(2*E25,0)/2</f>
        <v>67947.5</v>
      </c>
      <c r="G25">
        <f t="shared" si="1"/>
        <v>-0.011680000003252644</v>
      </c>
      <c r="I25">
        <f t="shared" si="2"/>
        <v>-0.011680000003252644</v>
      </c>
      <c r="O25">
        <f t="shared" si="3"/>
        <v>-0.24213811317750966</v>
      </c>
      <c r="Q25" s="2">
        <f t="shared" si="4"/>
        <v>37859.9716</v>
      </c>
    </row>
    <row r="26" spans="1:17" ht="12.75">
      <c r="A26" s="15" t="s">
        <v>29</v>
      </c>
      <c r="B26" s="11"/>
      <c r="C26" s="49">
        <v>52887.3613</v>
      </c>
      <c r="D26" s="49">
        <v>0.0011</v>
      </c>
      <c r="E26">
        <f t="shared" si="0"/>
        <v>67968.95859115166</v>
      </c>
      <c r="F26">
        <f>ROUND(2*E26,0)/2</f>
        <v>67969</v>
      </c>
      <c r="G26">
        <f t="shared" si="1"/>
        <v>-0.01713200000085635</v>
      </c>
      <c r="I26">
        <f t="shared" si="2"/>
        <v>-0.01713200000085635</v>
      </c>
      <c r="O26">
        <f t="shared" si="3"/>
        <v>-0.242073001551968</v>
      </c>
      <c r="Q26" s="2">
        <f t="shared" si="4"/>
        <v>37868.8613</v>
      </c>
    </row>
    <row r="27" spans="1:17" ht="12.75">
      <c r="A27" s="15" t="s">
        <v>29</v>
      </c>
      <c r="B27" s="11"/>
      <c r="C27" s="49">
        <v>52887.5687</v>
      </c>
      <c r="D27" s="49">
        <v>0.0007</v>
      </c>
      <c r="E27">
        <f t="shared" si="0"/>
        <v>67969.45988668884</v>
      </c>
      <c r="F27">
        <f>ROUND(2*E27,0)/2</f>
        <v>67969.5</v>
      </c>
      <c r="G27">
        <f t="shared" si="1"/>
        <v>-0.016596000001300126</v>
      </c>
      <c r="I27">
        <f t="shared" si="2"/>
        <v>-0.016596000001300126</v>
      </c>
      <c r="O27">
        <f t="shared" si="3"/>
        <v>-0.2420714873281182</v>
      </c>
      <c r="Q27" s="2">
        <f t="shared" si="4"/>
        <v>37869.0687</v>
      </c>
    </row>
    <row r="28" spans="1:17" ht="12.75">
      <c r="A28" s="15" t="s">
        <v>29</v>
      </c>
      <c r="B28" s="11"/>
      <c r="C28" s="49">
        <v>52929.5405</v>
      </c>
      <c r="D28" s="49">
        <v>0.0013</v>
      </c>
      <c r="E28">
        <f t="shared" si="0"/>
        <v>68070.90769781113</v>
      </c>
      <c r="F28">
        <f>ROUND(2*E28,0)/2</f>
        <v>68071</v>
      </c>
      <c r="G28">
        <f t="shared" si="1"/>
        <v>-0.038187999998626765</v>
      </c>
      <c r="I28">
        <f t="shared" si="2"/>
        <v>-0.038187999998626765</v>
      </c>
      <c r="O28">
        <f t="shared" si="3"/>
        <v>-0.2417640998866076</v>
      </c>
      <c r="Q28" s="2">
        <f t="shared" si="4"/>
        <v>37911.0405</v>
      </c>
    </row>
    <row r="29" spans="1:17" ht="12.75">
      <c r="A29" s="17" t="s">
        <v>36</v>
      </c>
      <c r="B29" s="18"/>
      <c r="C29" s="19">
        <v>53257.4426</v>
      </c>
      <c r="D29" s="19">
        <v>0.0012</v>
      </c>
      <c r="E29">
        <f t="shared" si="0"/>
        <v>68863.462468095</v>
      </c>
      <c r="F29" s="16">
        <f aca="true" t="shared" si="5" ref="F29:F41">ROUND(2*E29,0)/2+0.5</f>
        <v>68864</v>
      </c>
      <c r="G29">
        <f t="shared" si="1"/>
        <v>-0.22239199999603443</v>
      </c>
      <c r="J29">
        <f aca="true" t="shared" si="6" ref="J29:J35">G29</f>
        <v>-0.22239199999603443</v>
      </c>
      <c r="O29">
        <f t="shared" si="3"/>
        <v>-0.2393625408608156</v>
      </c>
      <c r="Q29" s="2">
        <f t="shared" si="4"/>
        <v>38238.9426</v>
      </c>
    </row>
    <row r="30" spans="1:17" ht="12.75">
      <c r="A30" s="17" t="s">
        <v>36</v>
      </c>
      <c r="B30" s="18"/>
      <c r="C30" s="19">
        <v>53267.3665</v>
      </c>
      <c r="D30" s="19">
        <v>0.003</v>
      </c>
      <c r="E30">
        <f t="shared" si="0"/>
        <v>68887.44900030937</v>
      </c>
      <c r="F30" s="16">
        <f t="shared" si="5"/>
        <v>68888</v>
      </c>
      <c r="G30">
        <f t="shared" si="1"/>
        <v>-0.22796399999788264</v>
      </c>
      <c r="J30">
        <f t="shared" si="6"/>
        <v>-0.22796399999788264</v>
      </c>
      <c r="O30">
        <f t="shared" si="3"/>
        <v>-0.23928985811602493</v>
      </c>
      <c r="Q30" s="2">
        <f t="shared" si="4"/>
        <v>38248.8665</v>
      </c>
    </row>
    <row r="31" spans="1:17" ht="12.75">
      <c r="A31" s="17" t="s">
        <v>35</v>
      </c>
      <c r="B31" s="5" t="s">
        <v>33</v>
      </c>
      <c r="C31" s="21">
        <v>53341.5907</v>
      </c>
      <c r="D31" s="21">
        <v>0.0003</v>
      </c>
      <c r="E31">
        <f t="shared" si="0"/>
        <v>69066.85237644057</v>
      </c>
      <c r="F31" s="16">
        <f t="shared" si="5"/>
        <v>69067.5</v>
      </c>
      <c r="G31">
        <f t="shared" si="1"/>
        <v>-0.26793999999790685</v>
      </c>
      <c r="J31">
        <f t="shared" si="6"/>
        <v>-0.26793999999790685</v>
      </c>
      <c r="O31">
        <f t="shared" si="3"/>
        <v>-0.23874625175394462</v>
      </c>
      <c r="Q31" s="2">
        <f t="shared" si="4"/>
        <v>38323.0907</v>
      </c>
    </row>
    <row r="32" spans="1:17" ht="12.75">
      <c r="A32" s="15" t="s">
        <v>35</v>
      </c>
      <c r="B32" s="43" t="s">
        <v>34</v>
      </c>
      <c r="C32" s="50">
        <v>53342.6239</v>
      </c>
      <c r="D32" s="50">
        <v>0.0003</v>
      </c>
      <c r="E32">
        <f t="shared" si="0"/>
        <v>69069.34966934797</v>
      </c>
      <c r="F32" s="16">
        <f t="shared" si="5"/>
        <v>69070</v>
      </c>
      <c r="G32">
        <f t="shared" si="1"/>
        <v>-0.2690599999987171</v>
      </c>
      <c r="J32">
        <f t="shared" si="6"/>
        <v>-0.2690599999987171</v>
      </c>
      <c r="O32">
        <f t="shared" si="3"/>
        <v>-0.2387386806346956</v>
      </c>
      <c r="Q32" s="2">
        <f t="shared" si="4"/>
        <v>38324.1239</v>
      </c>
    </row>
    <row r="33" spans="1:17" ht="12.75">
      <c r="A33" s="38" t="s">
        <v>38</v>
      </c>
      <c r="B33" s="44"/>
      <c r="C33" s="39">
        <v>53659.3689</v>
      </c>
      <c r="D33" s="39">
        <v>0.0026</v>
      </c>
      <c r="E33">
        <f t="shared" si="0"/>
        <v>69834.93720512028</v>
      </c>
      <c r="F33" s="16">
        <f t="shared" si="5"/>
        <v>69835.5</v>
      </c>
      <c r="G33">
        <f t="shared" si="1"/>
        <v>-0.23284399999829475</v>
      </c>
      <c r="J33">
        <f t="shared" si="6"/>
        <v>-0.23284399999829475</v>
      </c>
      <c r="O33">
        <f t="shared" si="3"/>
        <v>-0.2364204039206429</v>
      </c>
      <c r="Q33" s="2">
        <f t="shared" si="4"/>
        <v>38640.8689</v>
      </c>
    </row>
    <row r="34" spans="1:17" ht="12.75">
      <c r="A34" s="14" t="s">
        <v>38</v>
      </c>
      <c r="B34" s="40" t="s">
        <v>34</v>
      </c>
      <c r="C34" s="14">
        <v>53659.3689</v>
      </c>
      <c r="D34" s="14">
        <v>0.0026</v>
      </c>
      <c r="E34">
        <f t="shared" si="0"/>
        <v>69834.93720512028</v>
      </c>
      <c r="F34" s="16">
        <f t="shared" si="5"/>
        <v>69835.5</v>
      </c>
      <c r="G34">
        <f t="shared" si="1"/>
        <v>-0.23284399999829475</v>
      </c>
      <c r="J34">
        <f t="shared" si="6"/>
        <v>-0.23284399999829475</v>
      </c>
      <c r="O34">
        <f t="shared" si="3"/>
        <v>-0.2364204039206429</v>
      </c>
      <c r="Q34" s="2">
        <f t="shared" si="4"/>
        <v>38640.8689</v>
      </c>
    </row>
    <row r="35" spans="1:17" ht="12.75">
      <c r="A35" s="64" t="s">
        <v>118</v>
      </c>
      <c r="B35" s="65" t="s">
        <v>33</v>
      </c>
      <c r="C35" s="66">
        <v>53917.8006</v>
      </c>
      <c r="D35" s="5"/>
      <c r="E35">
        <f t="shared" si="0"/>
        <v>70459.57875705778</v>
      </c>
      <c r="F35" s="16">
        <f t="shared" si="5"/>
        <v>70460</v>
      </c>
      <c r="G35">
        <f t="shared" si="1"/>
        <v>-0.17427999999199528</v>
      </c>
      <c r="J35">
        <f t="shared" si="6"/>
        <v>-0.17427999999199528</v>
      </c>
      <c r="O35">
        <f t="shared" si="3"/>
        <v>-0.23452913833223546</v>
      </c>
      <c r="Q35" s="2">
        <f t="shared" si="4"/>
        <v>38899.3006</v>
      </c>
    </row>
    <row r="36" spans="1:17" ht="12.75">
      <c r="A36" s="41" t="s">
        <v>45</v>
      </c>
      <c r="B36" s="42" t="s">
        <v>34</v>
      </c>
      <c r="C36" s="41">
        <v>54328.38503</v>
      </c>
      <c r="D36" s="41">
        <v>0.0003</v>
      </c>
      <c r="E36">
        <f t="shared" si="0"/>
        <v>71451.98060078119</v>
      </c>
      <c r="F36" s="16">
        <f t="shared" si="5"/>
        <v>71452.5</v>
      </c>
      <c r="G36">
        <f t="shared" si="1"/>
        <v>-0.21489000000292435</v>
      </c>
      <c r="K36">
        <f>G36</f>
        <v>-0.21489000000292435</v>
      </c>
      <c r="O36">
        <f t="shared" si="3"/>
        <v>-0.2315234039903709</v>
      </c>
      <c r="Q36" s="2">
        <f t="shared" si="4"/>
        <v>39309.88503</v>
      </c>
    </row>
    <row r="37" spans="1:17" ht="12.75">
      <c r="A37" s="39" t="s">
        <v>46</v>
      </c>
      <c r="B37" s="43" t="s">
        <v>34</v>
      </c>
      <c r="C37" s="39">
        <v>54374.4926</v>
      </c>
      <c r="D37" s="39">
        <v>0.0007</v>
      </c>
      <c r="E37">
        <f t="shared" si="0"/>
        <v>71563.42476216257</v>
      </c>
      <c r="F37" s="16">
        <f t="shared" si="5"/>
        <v>71564</v>
      </c>
      <c r="G37">
        <f t="shared" si="1"/>
        <v>-0.23799200000212295</v>
      </c>
      <c r="K37">
        <f>G37</f>
        <v>-0.23799200000212295</v>
      </c>
      <c r="O37">
        <f t="shared" si="3"/>
        <v>-0.23118573207186421</v>
      </c>
      <c r="Q37" s="2">
        <f t="shared" si="4"/>
        <v>39355.9926</v>
      </c>
    </row>
    <row r="38" spans="1:17" ht="12.75">
      <c r="A38" s="14" t="s">
        <v>48</v>
      </c>
      <c r="B38" s="40" t="s">
        <v>33</v>
      </c>
      <c r="C38" s="14">
        <v>55102.665</v>
      </c>
      <c r="D38" s="14">
        <v>0.0007</v>
      </c>
      <c r="E38">
        <f t="shared" si="0"/>
        <v>73323.45163972465</v>
      </c>
      <c r="F38" s="16">
        <f t="shared" si="5"/>
        <v>73324</v>
      </c>
      <c r="G38">
        <f t="shared" si="1"/>
        <v>-0.22687199999927543</v>
      </c>
      <c r="J38">
        <f>G38</f>
        <v>-0.22687199999927543</v>
      </c>
      <c r="O38">
        <f t="shared" si="3"/>
        <v>-0.22585566412054778</v>
      </c>
      <c r="Q38" s="2">
        <f t="shared" si="4"/>
        <v>40084.165</v>
      </c>
    </row>
    <row r="39" spans="1:17" ht="12.75">
      <c r="A39" s="14" t="s">
        <v>48</v>
      </c>
      <c r="B39" s="40" t="s">
        <v>33</v>
      </c>
      <c r="C39" s="14">
        <v>55102.665</v>
      </c>
      <c r="D39" s="14">
        <v>0.0007</v>
      </c>
      <c r="E39">
        <f t="shared" si="0"/>
        <v>73323.45163972465</v>
      </c>
      <c r="F39" s="16">
        <f t="shared" si="5"/>
        <v>73324</v>
      </c>
      <c r="G39">
        <f t="shared" si="1"/>
        <v>-0.22687199999927543</v>
      </c>
      <c r="J39">
        <f>G39</f>
        <v>-0.22687199999927543</v>
      </c>
      <c r="O39">
        <f t="shared" si="3"/>
        <v>-0.22585566412054778</v>
      </c>
      <c r="Q39" s="2">
        <f t="shared" si="4"/>
        <v>40084.165</v>
      </c>
    </row>
    <row r="40" spans="1:17" ht="12.75">
      <c r="A40" s="14" t="s">
        <v>51</v>
      </c>
      <c r="B40" s="40" t="s">
        <v>34</v>
      </c>
      <c r="C40" s="14">
        <v>55850.6853</v>
      </c>
      <c r="D40" s="14">
        <v>0.0005</v>
      </c>
      <c r="E40">
        <f t="shared" si="0"/>
        <v>75131.45182342021</v>
      </c>
      <c r="F40" s="16">
        <f t="shared" si="5"/>
        <v>75132</v>
      </c>
      <c r="G40">
        <f t="shared" si="1"/>
        <v>-0.22679600000265054</v>
      </c>
      <c r="J40">
        <f>G40</f>
        <v>-0.22679600000265054</v>
      </c>
      <c r="O40">
        <f t="shared" si="3"/>
        <v>-0.22038023067964996</v>
      </c>
      <c r="Q40" s="2">
        <f t="shared" si="4"/>
        <v>40832.1853</v>
      </c>
    </row>
    <row r="41" spans="1:17" ht="12.75">
      <c r="A41" s="45" t="s">
        <v>52</v>
      </c>
      <c r="B41" s="46" t="s">
        <v>33</v>
      </c>
      <c r="C41" s="47">
        <v>56218.6962</v>
      </c>
      <c r="D41" s="47">
        <v>0.0005</v>
      </c>
      <c r="E41">
        <f t="shared" si="0"/>
        <v>76020.9514463609</v>
      </c>
      <c r="F41" s="16">
        <f t="shared" si="5"/>
        <v>76021.5</v>
      </c>
      <c r="G41">
        <f t="shared" si="1"/>
        <v>-0.22695200000453042</v>
      </c>
      <c r="J41">
        <f>G41</f>
        <v>-0.22695200000453042</v>
      </c>
      <c r="O41">
        <f t="shared" si="3"/>
        <v>-0.21768642645084543</v>
      </c>
      <c r="Q41" s="2">
        <f t="shared" si="4"/>
        <v>41200.1962</v>
      </c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0"/>
  <sheetViews>
    <sheetView zoomScalePageLayoutView="0" workbookViewId="0" topLeftCell="A4">
      <selection activeCell="A26" sqref="A26:C26"/>
    </sheetView>
  </sheetViews>
  <sheetFormatPr defaultColWidth="9.140625" defaultRowHeight="12.75"/>
  <cols>
    <col min="1" max="1" width="19.7109375" style="19" customWidth="1"/>
    <col min="2" max="2" width="4.421875" style="20" customWidth="1"/>
    <col min="3" max="3" width="12.7109375" style="19" customWidth="1"/>
    <col min="4" max="4" width="5.421875" style="20" customWidth="1"/>
    <col min="5" max="5" width="14.8515625" style="20" customWidth="1"/>
    <col min="6" max="6" width="9.140625" style="20" customWidth="1"/>
    <col min="7" max="7" width="12.00390625" style="20" customWidth="1"/>
    <col min="8" max="8" width="14.140625" style="19" customWidth="1"/>
    <col min="9" max="9" width="22.5742187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421875" style="20" customWidth="1"/>
    <col min="14" max="14" width="14.140625" style="20" customWidth="1"/>
    <col min="15" max="15" width="23.421875" style="20" customWidth="1"/>
    <col min="16" max="16" width="16.57421875" style="20" customWidth="1"/>
    <col min="17" max="17" width="41.00390625" style="20" customWidth="1"/>
    <col min="18" max="16384" width="9.140625" style="20" customWidth="1"/>
  </cols>
  <sheetData>
    <row r="1" spans="1:10" ht="15.75">
      <c r="A1" s="51" t="s">
        <v>53</v>
      </c>
      <c r="I1" s="52" t="s">
        <v>54</v>
      </c>
      <c r="J1" s="53" t="s">
        <v>55</v>
      </c>
    </row>
    <row r="2" spans="9:10" ht="12.75">
      <c r="I2" s="54" t="s">
        <v>56</v>
      </c>
      <c r="J2" s="55" t="s">
        <v>57</v>
      </c>
    </row>
    <row r="3" spans="1:10" ht="12.75">
      <c r="A3" s="56" t="s">
        <v>58</v>
      </c>
      <c r="I3" s="54" t="s">
        <v>59</v>
      </c>
      <c r="J3" s="55" t="s">
        <v>60</v>
      </c>
    </row>
    <row r="4" spans="9:10" ht="12.75">
      <c r="I4" s="54" t="s">
        <v>61</v>
      </c>
      <c r="J4" s="55" t="s">
        <v>60</v>
      </c>
    </row>
    <row r="5" spans="9:10" ht="13.5" thickBot="1">
      <c r="I5" s="57" t="s">
        <v>62</v>
      </c>
      <c r="J5" s="58" t="s">
        <v>63</v>
      </c>
    </row>
    <row r="10" ht="13.5" thickBot="1"/>
    <row r="11" spans="1:16" ht="12.75" customHeight="1" thickBot="1">
      <c r="A11" s="19" t="str">
        <f aca="true" t="shared" si="0" ref="A11:A26">P11</f>
        <v>OEJV 0074 </v>
      </c>
      <c r="B11" s="5" t="str">
        <f aca="true" t="shared" si="1" ref="B11:B26">IF(H11=INT(H11),"I","II")</f>
        <v>I</v>
      </c>
      <c r="C11" s="19">
        <f aca="true" t="shared" si="2" ref="C11:C26">1*G11</f>
        <v>51815.38057</v>
      </c>
      <c r="D11" s="20" t="str">
        <f aca="true" t="shared" si="3" ref="D11:D26">VLOOKUP(F11,I$1:J$5,2,FALSE)</f>
        <v>vis</v>
      </c>
      <c r="E11" s="59">
        <f>VLOOKUP(C11,A!C$21:E$973,3,FALSE)</f>
        <v>-2592.48769414278</v>
      </c>
      <c r="F11" s="5" t="s">
        <v>62</v>
      </c>
      <c r="G11" s="20" t="str">
        <f aca="true" t="shared" si="4" ref="G11:G26">MID(I11,3,LEN(I11)-3)</f>
        <v>51815.38057</v>
      </c>
      <c r="H11" s="19">
        <f aca="true" t="shared" si="5" ref="H11:H26">1*K11</f>
        <v>65378</v>
      </c>
      <c r="I11" s="60" t="s">
        <v>64</v>
      </c>
      <c r="J11" s="61" t="s">
        <v>65</v>
      </c>
      <c r="K11" s="60">
        <v>65378</v>
      </c>
      <c r="L11" s="60" t="s">
        <v>66</v>
      </c>
      <c r="M11" s="61" t="s">
        <v>67</v>
      </c>
      <c r="N11" s="61" t="s">
        <v>68</v>
      </c>
      <c r="O11" s="62" t="s">
        <v>69</v>
      </c>
      <c r="P11" s="63" t="s">
        <v>70</v>
      </c>
    </row>
    <row r="12" spans="1:16" ht="12.75" customHeight="1" thickBot="1">
      <c r="A12" s="19" t="str">
        <f t="shared" si="0"/>
        <v>BAVM 158 </v>
      </c>
      <c r="B12" s="5" t="str">
        <f t="shared" si="1"/>
        <v>I</v>
      </c>
      <c r="C12" s="19">
        <f t="shared" si="2"/>
        <v>52505.507</v>
      </c>
      <c r="D12" s="20" t="str">
        <f t="shared" si="3"/>
        <v>vis</v>
      </c>
      <c r="E12" s="59">
        <f>VLOOKUP(C12,A!C$21:E$973,3,FALSE)</f>
        <v>67045.99882048108</v>
      </c>
      <c r="F12" s="5" t="s">
        <v>62</v>
      </c>
      <c r="G12" s="20" t="str">
        <f t="shared" si="4"/>
        <v>52505.5070</v>
      </c>
      <c r="H12" s="19">
        <f t="shared" si="5"/>
        <v>67046</v>
      </c>
      <c r="I12" s="60" t="s">
        <v>71</v>
      </c>
      <c r="J12" s="61" t="s">
        <v>72</v>
      </c>
      <c r="K12" s="60">
        <v>67046</v>
      </c>
      <c r="L12" s="60" t="s">
        <v>73</v>
      </c>
      <c r="M12" s="61" t="s">
        <v>74</v>
      </c>
      <c r="N12" s="61" t="s">
        <v>68</v>
      </c>
      <c r="O12" s="62" t="s">
        <v>75</v>
      </c>
      <c r="P12" s="63" t="s">
        <v>76</v>
      </c>
    </row>
    <row r="13" spans="1:16" ht="12.75" customHeight="1" thickBot="1">
      <c r="A13" s="19" t="str">
        <f t="shared" si="0"/>
        <v>BAVM 158 </v>
      </c>
      <c r="B13" s="5" t="str">
        <f t="shared" si="1"/>
        <v>I</v>
      </c>
      <c r="C13" s="19">
        <f t="shared" si="2"/>
        <v>52510.4627</v>
      </c>
      <c r="D13" s="20" t="str">
        <f t="shared" si="3"/>
        <v>vis</v>
      </c>
      <c r="E13" s="59">
        <f>VLOOKUP(C13,A!C$21:E$973,3,FALSE)</f>
        <v>67057.97698004486</v>
      </c>
      <c r="F13" s="5" t="s">
        <v>62</v>
      </c>
      <c r="G13" s="20" t="str">
        <f t="shared" si="4"/>
        <v>52510.4627</v>
      </c>
      <c r="H13" s="19">
        <f t="shared" si="5"/>
        <v>67058</v>
      </c>
      <c r="I13" s="60" t="s">
        <v>77</v>
      </c>
      <c r="J13" s="61" t="s">
        <v>78</v>
      </c>
      <c r="K13" s="60">
        <v>67058</v>
      </c>
      <c r="L13" s="60" t="s">
        <v>79</v>
      </c>
      <c r="M13" s="61" t="s">
        <v>74</v>
      </c>
      <c r="N13" s="61" t="s">
        <v>68</v>
      </c>
      <c r="O13" s="62" t="s">
        <v>75</v>
      </c>
      <c r="P13" s="63" t="s">
        <v>76</v>
      </c>
    </row>
    <row r="14" spans="1:16" ht="12.75" customHeight="1" thickBot="1">
      <c r="A14" s="19" t="str">
        <f t="shared" si="0"/>
        <v>BAVM 172 </v>
      </c>
      <c r="B14" s="5" t="str">
        <f t="shared" si="1"/>
        <v>II</v>
      </c>
      <c r="C14" s="19">
        <f t="shared" si="2"/>
        <v>52878.4716</v>
      </c>
      <c r="D14" s="20" t="str">
        <f t="shared" si="3"/>
        <v>vis</v>
      </c>
      <c r="E14" s="59">
        <f>VLOOKUP(C14,A!C$21:E$973,3,FALSE)</f>
        <v>67947.47176889163</v>
      </c>
      <c r="F14" s="5" t="s">
        <v>62</v>
      </c>
      <c r="G14" s="20" t="str">
        <f t="shared" si="4"/>
        <v>52878.4716</v>
      </c>
      <c r="H14" s="19">
        <f t="shared" si="5"/>
        <v>67947.5</v>
      </c>
      <c r="I14" s="60" t="s">
        <v>80</v>
      </c>
      <c r="J14" s="61" t="s">
        <v>81</v>
      </c>
      <c r="K14" s="60">
        <v>67947.5</v>
      </c>
      <c r="L14" s="60" t="s">
        <v>82</v>
      </c>
      <c r="M14" s="61" t="s">
        <v>74</v>
      </c>
      <c r="N14" s="61" t="s">
        <v>68</v>
      </c>
      <c r="O14" s="62" t="s">
        <v>75</v>
      </c>
      <c r="P14" s="63" t="s">
        <v>83</v>
      </c>
    </row>
    <row r="15" spans="1:16" ht="12.75" customHeight="1" thickBot="1">
      <c r="A15" s="19" t="str">
        <f t="shared" si="0"/>
        <v>BAVM 172 </v>
      </c>
      <c r="B15" s="5" t="str">
        <f t="shared" si="1"/>
        <v>I</v>
      </c>
      <c r="C15" s="19">
        <f t="shared" si="2"/>
        <v>52887.3613</v>
      </c>
      <c r="D15" s="20" t="str">
        <f t="shared" si="3"/>
        <v>vis</v>
      </c>
      <c r="E15" s="59">
        <f>VLOOKUP(C15,A!C$21:E$973,3,FALSE)</f>
        <v>67968.95859115166</v>
      </c>
      <c r="F15" s="5" t="s">
        <v>62</v>
      </c>
      <c r="G15" s="20" t="str">
        <f t="shared" si="4"/>
        <v>52887.3613</v>
      </c>
      <c r="H15" s="19">
        <f t="shared" si="5"/>
        <v>67969</v>
      </c>
      <c r="I15" s="60" t="s">
        <v>84</v>
      </c>
      <c r="J15" s="61" t="s">
        <v>85</v>
      </c>
      <c r="K15" s="60">
        <v>67969</v>
      </c>
      <c r="L15" s="60" t="s">
        <v>86</v>
      </c>
      <c r="M15" s="61" t="s">
        <v>74</v>
      </c>
      <c r="N15" s="61" t="s">
        <v>68</v>
      </c>
      <c r="O15" s="62" t="s">
        <v>75</v>
      </c>
      <c r="P15" s="63" t="s">
        <v>83</v>
      </c>
    </row>
    <row r="16" spans="1:16" ht="12.75" customHeight="1" thickBot="1">
      <c r="A16" s="19" t="str">
        <f t="shared" si="0"/>
        <v>BAVM 172 </v>
      </c>
      <c r="B16" s="5" t="str">
        <f t="shared" si="1"/>
        <v>II</v>
      </c>
      <c r="C16" s="19">
        <f t="shared" si="2"/>
        <v>52887.5687</v>
      </c>
      <c r="D16" s="20" t="str">
        <f t="shared" si="3"/>
        <v>vis</v>
      </c>
      <c r="E16" s="59">
        <f>VLOOKUP(C16,A!C$21:E$973,3,FALSE)</f>
        <v>67969.45988668884</v>
      </c>
      <c r="F16" s="5" t="s">
        <v>62</v>
      </c>
      <c r="G16" s="20" t="str">
        <f t="shared" si="4"/>
        <v>52887.5687</v>
      </c>
      <c r="H16" s="19">
        <f t="shared" si="5"/>
        <v>67969.5</v>
      </c>
      <c r="I16" s="60" t="s">
        <v>87</v>
      </c>
      <c r="J16" s="61" t="s">
        <v>88</v>
      </c>
      <c r="K16" s="60">
        <v>67969.5</v>
      </c>
      <c r="L16" s="60" t="s">
        <v>89</v>
      </c>
      <c r="M16" s="61" t="s">
        <v>74</v>
      </c>
      <c r="N16" s="61" t="s">
        <v>68</v>
      </c>
      <c r="O16" s="62" t="s">
        <v>75</v>
      </c>
      <c r="P16" s="63" t="s">
        <v>83</v>
      </c>
    </row>
    <row r="17" spans="1:16" ht="12.75" customHeight="1" thickBot="1">
      <c r="A17" s="19" t="str">
        <f t="shared" si="0"/>
        <v>BAVM 172 </v>
      </c>
      <c r="B17" s="5" t="str">
        <f t="shared" si="1"/>
        <v>I</v>
      </c>
      <c r="C17" s="19">
        <f t="shared" si="2"/>
        <v>52929.5405</v>
      </c>
      <c r="D17" s="20" t="str">
        <f t="shared" si="3"/>
        <v>vis</v>
      </c>
      <c r="E17" s="59">
        <f>VLOOKUP(C17,A!C$21:E$973,3,FALSE)</f>
        <v>68070.90769781113</v>
      </c>
      <c r="F17" s="5" t="s">
        <v>62</v>
      </c>
      <c r="G17" s="20" t="str">
        <f t="shared" si="4"/>
        <v>52929.5405</v>
      </c>
      <c r="H17" s="19">
        <f t="shared" si="5"/>
        <v>68071</v>
      </c>
      <c r="I17" s="60" t="s">
        <v>90</v>
      </c>
      <c r="J17" s="61" t="s">
        <v>91</v>
      </c>
      <c r="K17" s="60">
        <v>68071</v>
      </c>
      <c r="L17" s="60" t="s">
        <v>92</v>
      </c>
      <c r="M17" s="61" t="s">
        <v>74</v>
      </c>
      <c r="N17" s="61" t="s">
        <v>68</v>
      </c>
      <c r="O17" s="62" t="s">
        <v>75</v>
      </c>
      <c r="P17" s="63" t="s">
        <v>83</v>
      </c>
    </row>
    <row r="18" spans="1:16" ht="12.75" customHeight="1" thickBot="1">
      <c r="A18" s="19" t="str">
        <f t="shared" si="0"/>
        <v>BAVM 173 </v>
      </c>
      <c r="B18" s="5" t="str">
        <f t="shared" si="1"/>
        <v>II</v>
      </c>
      <c r="C18" s="19">
        <f t="shared" si="2"/>
        <v>53257.4426</v>
      </c>
      <c r="D18" s="20" t="str">
        <f t="shared" si="3"/>
        <v>vis</v>
      </c>
      <c r="E18" s="59">
        <f>VLOOKUP(C18,A!C$21:E$973,3,FALSE)</f>
        <v>68863.462468095</v>
      </c>
      <c r="F18" s="5" t="s">
        <v>62</v>
      </c>
      <c r="G18" s="20" t="str">
        <f t="shared" si="4"/>
        <v>53257.4426</v>
      </c>
      <c r="H18" s="19">
        <f t="shared" si="5"/>
        <v>68863.5</v>
      </c>
      <c r="I18" s="60" t="s">
        <v>93</v>
      </c>
      <c r="J18" s="61" t="s">
        <v>94</v>
      </c>
      <c r="K18" s="60">
        <v>68863.5</v>
      </c>
      <c r="L18" s="60" t="s">
        <v>95</v>
      </c>
      <c r="M18" s="61" t="s">
        <v>74</v>
      </c>
      <c r="N18" s="61" t="s">
        <v>68</v>
      </c>
      <c r="O18" s="62" t="s">
        <v>75</v>
      </c>
      <c r="P18" s="63" t="s">
        <v>96</v>
      </c>
    </row>
    <row r="19" spans="1:16" ht="12.75" customHeight="1" thickBot="1">
      <c r="A19" s="19" t="str">
        <f t="shared" si="0"/>
        <v>BAVM 173 </v>
      </c>
      <c r="B19" s="5" t="str">
        <f t="shared" si="1"/>
        <v>II</v>
      </c>
      <c r="C19" s="19">
        <f t="shared" si="2"/>
        <v>53267.3665</v>
      </c>
      <c r="D19" s="20" t="str">
        <f t="shared" si="3"/>
        <v>vis</v>
      </c>
      <c r="E19" s="59">
        <f>VLOOKUP(C19,A!C$21:E$973,3,FALSE)</f>
        <v>68887.44900030937</v>
      </c>
      <c r="F19" s="5" t="s">
        <v>62</v>
      </c>
      <c r="G19" s="20" t="str">
        <f t="shared" si="4"/>
        <v>53267.3665</v>
      </c>
      <c r="H19" s="19">
        <f t="shared" si="5"/>
        <v>68887.5</v>
      </c>
      <c r="I19" s="60" t="s">
        <v>97</v>
      </c>
      <c r="J19" s="61" t="s">
        <v>98</v>
      </c>
      <c r="K19" s="60">
        <v>68887.5</v>
      </c>
      <c r="L19" s="60" t="s">
        <v>99</v>
      </c>
      <c r="M19" s="61" t="s">
        <v>74</v>
      </c>
      <c r="N19" s="61" t="s">
        <v>68</v>
      </c>
      <c r="O19" s="62" t="s">
        <v>75</v>
      </c>
      <c r="P19" s="63" t="s">
        <v>96</v>
      </c>
    </row>
    <row r="20" spans="1:16" ht="12.75" customHeight="1" thickBot="1">
      <c r="A20" s="19" t="str">
        <f t="shared" si="0"/>
        <v>IBVS 5690 </v>
      </c>
      <c r="B20" s="5" t="str">
        <f t="shared" si="1"/>
        <v>I</v>
      </c>
      <c r="C20" s="19">
        <f t="shared" si="2"/>
        <v>53341.5907</v>
      </c>
      <c r="D20" s="20" t="str">
        <f t="shared" si="3"/>
        <v>vis</v>
      </c>
      <c r="E20" s="59">
        <f>VLOOKUP(C20,A!C$21:E$973,3,FALSE)</f>
        <v>69066.85237644057</v>
      </c>
      <c r="F20" s="5" t="s">
        <v>62</v>
      </c>
      <c r="G20" s="20" t="str">
        <f t="shared" si="4"/>
        <v>53341.5907</v>
      </c>
      <c r="H20" s="19">
        <f t="shared" si="5"/>
        <v>69067</v>
      </c>
      <c r="I20" s="60" t="s">
        <v>100</v>
      </c>
      <c r="J20" s="61" t="s">
        <v>101</v>
      </c>
      <c r="K20" s="60">
        <v>69067</v>
      </c>
      <c r="L20" s="60" t="s">
        <v>102</v>
      </c>
      <c r="M20" s="61" t="s">
        <v>67</v>
      </c>
      <c r="N20" s="61" t="s">
        <v>68</v>
      </c>
      <c r="O20" s="62" t="s">
        <v>103</v>
      </c>
      <c r="P20" s="63" t="s">
        <v>104</v>
      </c>
    </row>
    <row r="21" spans="1:16" ht="12.75" customHeight="1" thickBot="1">
      <c r="A21" s="19" t="str">
        <f t="shared" si="0"/>
        <v>IBVS 5690 </v>
      </c>
      <c r="B21" s="5" t="str">
        <f t="shared" si="1"/>
        <v>II</v>
      </c>
      <c r="C21" s="19">
        <f t="shared" si="2"/>
        <v>53342.6239</v>
      </c>
      <c r="D21" s="20" t="str">
        <f t="shared" si="3"/>
        <v>vis</v>
      </c>
      <c r="E21" s="59">
        <f>VLOOKUP(C21,A!C$21:E$973,3,FALSE)</f>
        <v>69069.34966934797</v>
      </c>
      <c r="F21" s="5" t="s">
        <v>62</v>
      </c>
      <c r="G21" s="20" t="str">
        <f t="shared" si="4"/>
        <v>53342.6239</v>
      </c>
      <c r="H21" s="19">
        <f t="shared" si="5"/>
        <v>69069.5</v>
      </c>
      <c r="I21" s="60" t="s">
        <v>105</v>
      </c>
      <c r="J21" s="61" t="s">
        <v>106</v>
      </c>
      <c r="K21" s="60">
        <v>69069.5</v>
      </c>
      <c r="L21" s="60" t="s">
        <v>107</v>
      </c>
      <c r="M21" s="61" t="s">
        <v>67</v>
      </c>
      <c r="N21" s="61" t="s">
        <v>68</v>
      </c>
      <c r="O21" s="62" t="s">
        <v>103</v>
      </c>
      <c r="P21" s="63" t="s">
        <v>104</v>
      </c>
    </row>
    <row r="22" spans="1:16" ht="12.75" customHeight="1" thickBot="1">
      <c r="A22" s="19" t="str">
        <f t="shared" si="0"/>
        <v>BAVM 178 </v>
      </c>
      <c r="B22" s="5" t="str">
        <f t="shared" si="1"/>
        <v>I</v>
      </c>
      <c r="C22" s="19">
        <f t="shared" si="2"/>
        <v>53659.3689</v>
      </c>
      <c r="D22" s="20" t="str">
        <f t="shared" si="3"/>
        <v>vis</v>
      </c>
      <c r="E22" s="59">
        <f>VLOOKUP(C22,A!C$21:E$973,3,FALSE)</f>
        <v>69834.93720512028</v>
      </c>
      <c r="F22" s="5" t="s">
        <v>62</v>
      </c>
      <c r="G22" s="20" t="str">
        <f t="shared" si="4"/>
        <v>53659.3689</v>
      </c>
      <c r="H22" s="19">
        <f t="shared" si="5"/>
        <v>69835</v>
      </c>
      <c r="I22" s="60" t="s">
        <v>108</v>
      </c>
      <c r="J22" s="61" t="s">
        <v>109</v>
      </c>
      <c r="K22" s="60">
        <v>69835</v>
      </c>
      <c r="L22" s="60" t="s">
        <v>110</v>
      </c>
      <c r="M22" s="61" t="s">
        <v>67</v>
      </c>
      <c r="N22" s="61" t="s">
        <v>111</v>
      </c>
      <c r="O22" s="62" t="s">
        <v>112</v>
      </c>
      <c r="P22" s="63" t="s">
        <v>113</v>
      </c>
    </row>
    <row r="23" spans="1:16" ht="12.75" customHeight="1" thickBot="1">
      <c r="A23" s="19" t="str">
        <f t="shared" si="0"/>
        <v>IBVS 5920 </v>
      </c>
      <c r="B23" s="5" t="str">
        <f t="shared" si="1"/>
        <v>II</v>
      </c>
      <c r="C23" s="19">
        <f t="shared" si="2"/>
        <v>55102.665</v>
      </c>
      <c r="D23" s="20" t="str">
        <f t="shared" si="3"/>
        <v>vis</v>
      </c>
      <c r="E23" s="59">
        <f>VLOOKUP(C23,A!C$21:E$973,3,FALSE)</f>
        <v>73323.45163972465</v>
      </c>
      <c r="F23" s="5" t="s">
        <v>62</v>
      </c>
      <c r="G23" s="20" t="str">
        <f t="shared" si="4"/>
        <v>55102.665</v>
      </c>
      <c r="H23" s="19">
        <f t="shared" si="5"/>
        <v>73323.5</v>
      </c>
      <c r="I23" s="60" t="s">
        <v>119</v>
      </c>
      <c r="J23" s="61" t="s">
        <v>120</v>
      </c>
      <c r="K23" s="60" t="s">
        <v>121</v>
      </c>
      <c r="L23" s="60" t="s">
        <v>122</v>
      </c>
      <c r="M23" s="61" t="s">
        <v>67</v>
      </c>
      <c r="N23" s="61" t="s">
        <v>62</v>
      </c>
      <c r="O23" s="62" t="s">
        <v>123</v>
      </c>
      <c r="P23" s="63" t="s">
        <v>124</v>
      </c>
    </row>
    <row r="24" spans="1:16" ht="12.75" customHeight="1" thickBot="1">
      <c r="A24" s="19" t="str">
        <f t="shared" si="0"/>
        <v>IBVS 6011 </v>
      </c>
      <c r="B24" s="5" t="str">
        <f t="shared" si="1"/>
        <v>II</v>
      </c>
      <c r="C24" s="19">
        <f t="shared" si="2"/>
        <v>55850.6853</v>
      </c>
      <c r="D24" s="20" t="str">
        <f t="shared" si="3"/>
        <v>vis</v>
      </c>
      <c r="E24" s="59">
        <f>VLOOKUP(C24,A!C$21:E$973,3,FALSE)</f>
        <v>75131.45182342021</v>
      </c>
      <c r="F24" s="5" t="s">
        <v>62</v>
      </c>
      <c r="G24" s="20" t="str">
        <f t="shared" si="4"/>
        <v>55850.6853</v>
      </c>
      <c r="H24" s="19">
        <f t="shared" si="5"/>
        <v>75131.5</v>
      </c>
      <c r="I24" s="60" t="s">
        <v>125</v>
      </c>
      <c r="J24" s="61" t="s">
        <v>126</v>
      </c>
      <c r="K24" s="60" t="s">
        <v>127</v>
      </c>
      <c r="L24" s="60" t="s">
        <v>128</v>
      </c>
      <c r="M24" s="61" t="s">
        <v>67</v>
      </c>
      <c r="N24" s="61" t="s">
        <v>62</v>
      </c>
      <c r="O24" s="62" t="s">
        <v>123</v>
      </c>
      <c r="P24" s="63" t="s">
        <v>129</v>
      </c>
    </row>
    <row r="25" spans="1:16" ht="12.75" customHeight="1" thickBot="1">
      <c r="A25" s="19" t="str">
        <f t="shared" si="0"/>
        <v>IBVS 6042 </v>
      </c>
      <c r="B25" s="5" t="str">
        <f t="shared" si="1"/>
        <v>I</v>
      </c>
      <c r="C25" s="19">
        <f t="shared" si="2"/>
        <v>56218.6962</v>
      </c>
      <c r="D25" s="20" t="str">
        <f t="shared" si="3"/>
        <v>vis</v>
      </c>
      <c r="E25" s="59">
        <f>VLOOKUP(C25,A!C$21:E$973,3,FALSE)</f>
        <v>76020.9514463609</v>
      </c>
      <c r="F25" s="5" t="s">
        <v>62</v>
      </c>
      <c r="G25" s="20" t="str">
        <f t="shared" si="4"/>
        <v>56218.6962</v>
      </c>
      <c r="H25" s="19">
        <f t="shared" si="5"/>
        <v>76021</v>
      </c>
      <c r="I25" s="60" t="s">
        <v>130</v>
      </c>
      <c r="J25" s="61" t="s">
        <v>131</v>
      </c>
      <c r="K25" s="60" t="s">
        <v>132</v>
      </c>
      <c r="L25" s="60" t="s">
        <v>133</v>
      </c>
      <c r="M25" s="61" t="s">
        <v>67</v>
      </c>
      <c r="N25" s="61" t="s">
        <v>62</v>
      </c>
      <c r="O25" s="62" t="s">
        <v>123</v>
      </c>
      <c r="P25" s="63" t="s">
        <v>134</v>
      </c>
    </row>
    <row r="26" spans="1:16" ht="12.75" customHeight="1" thickBot="1">
      <c r="A26" s="19" t="str">
        <f t="shared" si="0"/>
        <v>IBVS 5806 </v>
      </c>
      <c r="B26" s="5" t="str">
        <f t="shared" si="1"/>
        <v>II</v>
      </c>
      <c r="C26" s="19">
        <f t="shared" si="2"/>
        <v>53917.8006</v>
      </c>
      <c r="D26" s="20" t="str">
        <f t="shared" si="3"/>
        <v>vis</v>
      </c>
      <c r="E26" s="59">
        <f>VLOOKUP(C26,A!C$21:E$973,3,FALSE)</f>
        <v>70459.57875705778</v>
      </c>
      <c r="F26" s="5" t="s">
        <v>62</v>
      </c>
      <c r="G26" s="20" t="str">
        <f t="shared" si="4"/>
        <v>53917.8006</v>
      </c>
      <c r="H26" s="19">
        <f t="shared" si="5"/>
        <v>70459.5</v>
      </c>
      <c r="I26" s="60" t="s">
        <v>114</v>
      </c>
      <c r="J26" s="61" t="s">
        <v>115</v>
      </c>
      <c r="K26" s="60" t="s">
        <v>116</v>
      </c>
      <c r="L26" s="60" t="s">
        <v>117</v>
      </c>
      <c r="M26" s="61" t="s">
        <v>67</v>
      </c>
      <c r="N26" s="61" t="s">
        <v>68</v>
      </c>
      <c r="O26" s="62" t="s">
        <v>103</v>
      </c>
      <c r="P26" s="63" t="s">
        <v>118</v>
      </c>
    </row>
    <row r="27" spans="2:6" ht="12.75">
      <c r="B27" s="5"/>
      <c r="F27" s="5"/>
    </row>
    <row r="28" spans="2:6" ht="12.75">
      <c r="B28" s="5"/>
      <c r="F28" s="5"/>
    </row>
    <row r="29" spans="2:6" ht="12.75">
      <c r="B29" s="5"/>
      <c r="F29" s="5"/>
    </row>
    <row r="30" spans="2:6" ht="12.75">
      <c r="B30" s="5"/>
      <c r="F30" s="5"/>
    </row>
    <row r="31" spans="2:6" ht="12.75">
      <c r="B31" s="5"/>
      <c r="F31" s="5"/>
    </row>
    <row r="32" spans="2:6" ht="12.75">
      <c r="B32" s="5"/>
      <c r="F32" s="5"/>
    </row>
    <row r="33" spans="2:6" ht="12.75">
      <c r="B33" s="5"/>
      <c r="F33" s="5"/>
    </row>
    <row r="34" spans="2:6" ht="12.75">
      <c r="B34" s="5"/>
      <c r="F34" s="5"/>
    </row>
    <row r="35" spans="2:6" ht="12.75">
      <c r="B35" s="5"/>
      <c r="F35" s="5"/>
    </row>
    <row r="36" spans="2:6" ht="12.75">
      <c r="B36" s="5"/>
      <c r="F36" s="5"/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</sheetData>
  <sheetProtection/>
  <hyperlinks>
    <hyperlink ref="P11" r:id="rId1" display="http://var.astro.cz/oejv/issues/oejv0074.pdf"/>
    <hyperlink ref="P12" r:id="rId2" display="http://www.bav-astro.de/sfs/BAVM_link.php?BAVMnr=158"/>
    <hyperlink ref="P13" r:id="rId3" display="http://www.bav-astro.de/sfs/BAVM_link.php?BAVMnr=158"/>
    <hyperlink ref="P14" r:id="rId4" display="http://www.bav-astro.de/sfs/BAVM_link.php?BAVMnr=172"/>
    <hyperlink ref="P15" r:id="rId5" display="http://www.bav-astro.de/sfs/BAVM_link.php?BAVMnr=172"/>
    <hyperlink ref="P16" r:id="rId6" display="http://www.bav-astro.de/sfs/BAVM_link.php?BAVMnr=172"/>
    <hyperlink ref="P17" r:id="rId7" display="http://www.bav-astro.de/sfs/BAVM_link.php?BAVMnr=172"/>
    <hyperlink ref="P18" r:id="rId8" display="http://www.bav-astro.de/sfs/BAVM_link.php?BAVMnr=173"/>
    <hyperlink ref="P19" r:id="rId9" display="http://www.bav-astro.de/sfs/BAVM_link.php?BAVMnr=173"/>
    <hyperlink ref="P20" r:id="rId10" display="http://www.konkoly.hu/cgi-bin/IBVS?5690"/>
    <hyperlink ref="P21" r:id="rId11" display="http://www.konkoly.hu/cgi-bin/IBVS?5690"/>
    <hyperlink ref="P22" r:id="rId12" display="http://www.bav-astro.de/sfs/BAVM_link.php?BAVMnr=178"/>
    <hyperlink ref="P26" r:id="rId13" display="http://www.konkoly.hu/cgi-bin/IBVS?5806"/>
    <hyperlink ref="P23" r:id="rId14" display="http://www.konkoly.hu/cgi-bin/IBVS?5920"/>
    <hyperlink ref="P24" r:id="rId15" display="http://www.konkoly.hu/cgi-bin/IBVS?6011"/>
    <hyperlink ref="P25" r:id="rId16" display="http://www.konkoly.hu/cgi-bin/IBVS?604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2022-11-22T01:18:24Z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