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3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<sst xmlns="http://schemas.openxmlformats.org/spreadsheetml/2006/main" count="182" uniqueCount="110">
  <si>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</si>
  <si>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</si>
  <si>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</si>
  <si>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</si>
  <si>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</si>
  <si>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</si>
  <si>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</si>
  <si>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</si>
  <si>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</si>
  <si>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</si>
  <si>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</si>
  <si>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</si>
  <si>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</si>
  <si>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</si>
  <si>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</si>
  <si>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</si>
  <si>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</si>
  <si>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</si>
  <si>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</si>
  <si>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</si>
  <si>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</si>
  <si>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</si>
  <si>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</si>
  <si>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</si>
  <si>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</si>
  <si>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</si>
  <si>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</si>
  <si>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</si>
  <si>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</si>
  <si>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</si>
  <si>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E</t>
  </si>
  <si>
    <t>not avail.</t>
  </si>
  <si>
    <t>IBVS 5044</t>
  </si>
  <si>
    <t>photo</t>
  </si>
  <si>
    <t>IBVS 5592</t>
  </si>
  <si>
    <t>IBVS</t>
  </si>
  <si>
    <t># of data points:</t>
  </si>
  <si>
    <t>DP Peg / GSC 01675-01817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</si>
  <si>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</si>
  <si>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</si>
  <si>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</si>
  <si>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</si>
  <si>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</si>
  <si>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</si>
  <si>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Add cycle</t>
  </si>
  <si>
    <t>Old Cycle</t>
  </si>
  <si>
    <t>Start of linear fit &gt;&gt;&gt;&gt;&gt;&gt;&gt;&gt;&gt;&gt;&gt;&gt;&gt;&gt;&gt;&gt;&gt;&gt;&gt;&gt;&gt;</t>
  </si>
  <si>
    <t>Minima from the Lichtenknecker Database of the BAV</t>
  </si>
  <si>
    <t>C</t>
  </si>
  <si>
    <t>CCD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</si>
  <si>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</si>
  <si>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</si>
  <si>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</si>
  <si>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</si>
  <si>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</si>
  <si>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</si>
  <si>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</si>
  <si>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2451513.283 </t>
  </si>
  <si>
    <t> 30.11.1999 18:47 </t>
  </si>
  <si>
    <t> 0.004 </t>
  </si>
  <si>
    <t>E </t>
  </si>
  <si>
    <t>?</t>
  </si>
  <si>
    <t> R.Diethelm </t>
  </si>
  <si>
    <t> BBS 121 </t>
  </si>
  <si>
    <t>2451757.490 </t>
  </si>
  <si>
    <t> 31.07.2000 23:45 </t>
  </si>
  <si>
    <t> -0.001 </t>
  </si>
  <si>
    <t> BBS 123 </t>
  </si>
  <si>
    <t>2451767.457 </t>
  </si>
  <si>
    <t> 10.08.2000 22:58 </t>
  </si>
  <si>
    <t>2451797.3607 </t>
  </si>
  <si>
    <t> 09.09.2000 20:39 </t>
  </si>
  <si>
    <t> -0.0011 </t>
  </si>
  <si>
    <t> E.Blättler </t>
  </si>
  <si>
    <t>2452144.575 </t>
  </si>
  <si>
    <t> 23.08.2001 01:48 </t>
  </si>
  <si>
    <t> 0.001 </t>
  </si>
  <si>
    <t> BBS 126 </t>
  </si>
  <si>
    <t>2452194.413 </t>
  </si>
  <si>
    <t> 11.10.2001 21:54 </t>
  </si>
  <si>
    <t> 0.000 </t>
  </si>
  <si>
    <t>2452209.360 </t>
  </si>
  <si>
    <t> 26.10.2001 20:38 </t>
  </si>
  <si>
    <t> -0.005 </t>
  </si>
  <si>
    <t> BBS 127 </t>
  </si>
  <si>
    <t>2452867.2415 </t>
  </si>
  <si>
    <t> 15.08.2003 17:47 </t>
  </si>
  <si>
    <t> 0.0013 </t>
  </si>
  <si>
    <t> T.Krajci </t>
  </si>
  <si>
    <t>IBVS 5592 </t>
  </si>
  <si>
    <t>2453636.4243 </t>
  </si>
  <si>
    <t> 22.09.2005 22:10 </t>
  </si>
  <si>
    <t> 0.0012 </t>
  </si>
  <si>
    <t>C </t>
  </si>
  <si>
    <t>-I</t>
  </si>
  <si>
    <t> Agerer </t>
  </si>
  <si>
    <t>BAVM 178 </t>
  </si>
  <si>
    <t>2454367.3956 </t>
  </si>
  <si>
    <t> 23.09.2007 21:29 </t>
  </si>
  <si>
    <t>1123</t>
  </si>
  <si>
    <t> -0.0003 </t>
  </si>
  <si>
    <t> F.Agerer </t>
  </si>
  <si>
    <t>BAVM 193 </t>
  </si>
  <si>
    <t>2455849.2523 </t>
  </si>
  <si>
    <t> 14.10.2011 18:03 </t>
  </si>
  <si>
    <t>2015</t>
  </si>
  <si>
    <t> -0.0250 </t>
  </si>
  <si>
    <t> D.Böhme </t>
  </si>
  <si>
    <t>BAVM 225 </t>
  </si>
  <si>
    <t>I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</si>
</sst>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72" fontId="0" fillId="0" borderId="0" xfId="0" applyNumberFormat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3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3" fillId="33" borderId="17" xfId="54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DP Peg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75"/>
          <c:w val="0.906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A!$F$21:$F$997</c:f>
              <c:numCache/>
            </c:numRef>
          </c:xVal>
          <c:yVal>
            <c:numRef>
              <c:f>A!$H$21:$H$997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0.003</c:v>
                  </c:pt>
                  <c:pt idx="13">
                    <c:v>0.001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0.003</c:v>
                  </c:pt>
                  <c:pt idx="13">
                    <c:v>0.001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A!$I$21:$I$997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0.003</c:v>
                  </c:pt>
                  <c:pt idx="13">
                    <c:v>0.001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0.003</c:v>
                  </c:pt>
                  <c:pt idx="13">
                    <c:v>0.001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A!$J$21:$J$997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0.003</c:v>
                  </c:pt>
                  <c:pt idx="13">
                    <c:v>0.001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0.003</c:v>
                  </c:pt>
                  <c:pt idx="13">
                    <c:v>0.001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A!$K$21:$K$997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0.003</c:v>
                  </c:pt>
                  <c:pt idx="13">
                    <c:v>0.001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0.003</c:v>
                  </c:pt>
                  <c:pt idx="13">
                    <c:v>0.001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A!$L$21:$L$997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0.003</c:v>
                  </c:pt>
                  <c:pt idx="13">
                    <c:v>0.001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0.003</c:v>
                  </c:pt>
                  <c:pt idx="13">
                    <c:v>0.001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A!$M$21:$M$997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0.003</c:v>
                  </c:pt>
                  <c:pt idx="13">
                    <c:v>0.001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0.003</c:v>
                  </c:pt>
                  <c:pt idx="13">
                    <c:v>0.001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A!$N$21:$N$997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A!$F$21:$F$997</c:f>
              <c:numCache/>
            </c:numRef>
          </c:xVal>
          <c:yVal>
            <c:numRef>
              <c:f>A!$O$21:$O$997</c:f>
              <c:numCache/>
            </c:numRef>
          </c:yVal>
          <c:smooth val="0"/>
        </c:ser>
        <c:axId val="20164328"/>
        <c:axId val="47261225"/>
      </c:scatterChart>
      <c:valAx>
        <c:axId val="20164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61225"/>
        <c:crosses val="autoZero"/>
        <c:crossBetween val="midCat"/>
        <c:dispUnits/>
      </c:valAx>
      <c:valAx>
        <c:axId val="47261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432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875"/>
          <c:y val="0.93075"/>
          <c:w val="0.734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16</xdr:col>
      <xdr:colOff>342900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43425" y="0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592" TargetMode="External" /><Relationship Id="rId2" Type="http://schemas.openxmlformats.org/officeDocument/2006/relationships/hyperlink" Target="http://www.bav-astro.de/sfs/BAVM_link.php?BAVMnr=178" TargetMode="External" /><Relationship Id="rId3" Type="http://schemas.openxmlformats.org/officeDocument/2006/relationships/hyperlink" Target="http://www.bav-astro.de/sfs/BAVM_link.php?BAVMnr=193" TargetMode="External" /><Relationship Id="rId4" Type="http://schemas.openxmlformats.org/officeDocument/2006/relationships/hyperlink" Target="http://www.bav-astro.de/sfs/BAVM_link.php?BAVMnr=2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37</v>
      </c>
    </row>
    <row r="2" spans="1:2" ht="12.75">
      <c r="A2" t="s">
        <v>25</v>
      </c>
      <c r="B2" t="s">
        <v>30</v>
      </c>
    </row>
    <row r="4" spans="1:4" ht="14.25" thickBot="1" thickTop="1">
      <c r="A4" s="5" t="s">
        <v>0</v>
      </c>
      <c r="C4" s="8" t="s">
        <v>31</v>
      </c>
      <c r="D4" s="9" t="s">
        <v>31</v>
      </c>
    </row>
    <row r="5" spans="1:4" ht="13.5" thickTop="1">
      <c r="A5" s="17" t="s">
        <v>39</v>
      </c>
      <c r="B5" s="11"/>
      <c r="C5" s="18">
        <v>-9.5</v>
      </c>
      <c r="D5" s="11" t="s">
        <v>40</v>
      </c>
    </row>
    <row r="6" ht="12.75">
      <c r="A6" s="5" t="s">
        <v>1</v>
      </c>
    </row>
    <row r="7" spans="1:3" ht="12.75">
      <c r="A7" t="s">
        <v>2</v>
      </c>
      <c r="C7" s="11">
        <v>51513.283</v>
      </c>
    </row>
    <row r="8" spans="1:3" ht="12.75">
      <c r="A8" t="s">
        <v>3</v>
      </c>
      <c r="C8" s="10">
        <v>1.66128701</v>
      </c>
    </row>
    <row r="9" spans="1:4" ht="12.75">
      <c r="A9" s="31" t="s">
        <v>46</v>
      </c>
      <c r="B9" s="32">
        <v>31</v>
      </c>
      <c r="C9" s="29" t="str">
        <f>"F"&amp;B9</f>
        <v>F31</v>
      </c>
      <c r="D9" s="30" t="str">
        <f>"G"&amp;B9</f>
        <v>G31</v>
      </c>
    </row>
    <row r="10" spans="1:5" ht="13.5" thickBot="1">
      <c r="A10" s="11"/>
      <c r="B10" s="11"/>
      <c r="C10" s="4" t="s">
        <v>21</v>
      </c>
      <c r="D10" s="4" t="s">
        <v>22</v>
      </c>
      <c r="E10" s="11"/>
    </row>
    <row r="11" spans="1:5" ht="12.75">
      <c r="A11" s="11" t="s">
        <v>16</v>
      </c>
      <c r="B11" s="11"/>
      <c r="C11" s="28">
        <f ca="1">INTERCEPT(INDIRECT($D$9):G991,INDIRECT($C$9):F991)</f>
        <v>-0.0010336595588252536</v>
      </c>
      <c r="D11" s="3"/>
      <c r="E11" s="11"/>
    </row>
    <row r="12" spans="1:5" ht="12.75">
      <c r="A12" s="11" t="s">
        <v>17</v>
      </c>
      <c r="B12" s="11"/>
      <c r="C12" s="28">
        <f ca="1">SLOPE(INDIRECT($D$9):G991,INDIRECT($C$9):F991)</f>
        <v>7.986945452338522E-06</v>
      </c>
      <c r="D12" s="3"/>
      <c r="E12" s="11"/>
    </row>
    <row r="13" spans="1:3" ht="12.75">
      <c r="A13" s="11" t="s">
        <v>20</v>
      </c>
      <c r="B13" s="11"/>
      <c r="C13" s="3" t="s">
        <v>14</v>
      </c>
    </row>
    <row r="14" spans="1:3" ht="12.75">
      <c r="A14" s="11"/>
      <c r="B14" s="11"/>
      <c r="C14" s="11"/>
    </row>
    <row r="15" spans="1:6" ht="12.75">
      <c r="A15" s="19" t="s">
        <v>18</v>
      </c>
      <c r="B15" s="11"/>
      <c r="C15" s="20">
        <f>(C7+C11)+(C8+C12)*INT(MAX(F21:F3532))</f>
        <v>55849.26190836808</v>
      </c>
      <c r="E15" s="21" t="s">
        <v>44</v>
      </c>
      <c r="F15" s="18">
        <v>1</v>
      </c>
    </row>
    <row r="16" spans="1:6" ht="12.75">
      <c r="A16" s="23" t="s">
        <v>4</v>
      </c>
      <c r="B16" s="11"/>
      <c r="C16" s="24">
        <f>+C8+C12</f>
        <v>1.6612949969454522</v>
      </c>
      <c r="E16" s="21" t="s">
        <v>41</v>
      </c>
      <c r="F16" s="22">
        <f ca="1">NOW()+15018.5+$C$5/24</f>
        <v>59905.59860196759</v>
      </c>
    </row>
    <row r="17" spans="1:6" ht="13.5" thickBot="1">
      <c r="A17" s="21" t="s">
        <v>36</v>
      </c>
      <c r="B17" s="11"/>
      <c r="C17" s="11">
        <f>COUNT(C21:C2190)</f>
        <v>21</v>
      </c>
      <c r="E17" s="21" t="s">
        <v>45</v>
      </c>
      <c r="F17" s="22">
        <f>ROUND(2*(F16-$C$7)/$C$8,0)/2+F15</f>
        <v>5052.5</v>
      </c>
    </row>
    <row r="18" spans="1:6" ht="14.25" thickBot="1" thickTop="1">
      <c r="A18" s="23" t="s">
        <v>5</v>
      </c>
      <c r="B18" s="11"/>
      <c r="C18" s="26">
        <f>+C15</f>
        <v>55849.26190836808</v>
      </c>
      <c r="D18" s="27">
        <f>+C16</f>
        <v>1.6612949969454522</v>
      </c>
      <c r="E18" s="21" t="s">
        <v>42</v>
      </c>
      <c r="F18" s="30">
        <f>ROUND(2*(F16-$C$15)/$C$16,0)/2+F15</f>
        <v>2442.5</v>
      </c>
    </row>
    <row r="19" spans="5:6" ht="13.5" thickTop="1">
      <c r="E19" s="21" t="s">
        <v>43</v>
      </c>
      <c r="F19" s="25">
        <f>+$C$15+$C$16*F18-15018.5-$C$5/24</f>
        <v>44888.87077174068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35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32</v>
      </c>
      <c r="C21" s="15">
        <v>42743.479</v>
      </c>
      <c r="D21" s="15" t="s">
        <v>33</v>
      </c>
      <c r="E21">
        <f aca="true" t="shared" si="0" ref="E21:E41">+(C21-C$7)/C$8</f>
        <v>-5278.92167169838</v>
      </c>
      <c r="F21">
        <f aca="true" t="shared" si="1" ref="F21:F41">ROUND(2*E21,0)/2</f>
        <v>-5279</v>
      </c>
      <c r="G21">
        <f aca="true" t="shared" si="2" ref="G21:G41">+C21-(C$7+F21*C$8)</f>
        <v>0.13012578999769175</v>
      </c>
      <c r="I21">
        <f aca="true" t="shared" si="3" ref="I21:I34">+G21</f>
        <v>0.13012578999769175</v>
      </c>
      <c r="Q21" s="2">
        <f aca="true" t="shared" si="4" ref="Q21:Q41">+C21-15018.5</f>
        <v>27724.979</v>
      </c>
    </row>
    <row r="22" spans="1:17" ht="12.75">
      <c r="A22" t="s">
        <v>32</v>
      </c>
      <c r="C22" s="15">
        <v>43050.688</v>
      </c>
      <c r="D22" s="15" t="s">
        <v>33</v>
      </c>
      <c r="E22">
        <f t="shared" si="0"/>
        <v>-5093.999380636824</v>
      </c>
      <c r="F22">
        <f t="shared" si="1"/>
        <v>-5094</v>
      </c>
      <c r="G22">
        <f t="shared" si="2"/>
        <v>0.0010289400015608408</v>
      </c>
      <c r="I22">
        <f t="shared" si="3"/>
        <v>0.0010289400015608408</v>
      </c>
      <c r="Q22" s="2">
        <f t="shared" si="4"/>
        <v>28032.188000000002</v>
      </c>
    </row>
    <row r="23" spans="1:17" ht="12.75">
      <c r="A23" t="s">
        <v>32</v>
      </c>
      <c r="C23" s="15">
        <v>43070.598</v>
      </c>
      <c r="D23" s="15" t="s">
        <v>33</v>
      </c>
      <c r="E23">
        <f t="shared" si="0"/>
        <v>-5082.014696545424</v>
      </c>
      <c r="F23">
        <f t="shared" si="1"/>
        <v>-5082</v>
      </c>
      <c r="G23">
        <f t="shared" si="2"/>
        <v>-0.024415180007054005</v>
      </c>
      <c r="I23">
        <f t="shared" si="3"/>
        <v>-0.024415180007054005</v>
      </c>
      <c r="Q23" s="2">
        <f t="shared" si="4"/>
        <v>28052.097999999998</v>
      </c>
    </row>
    <row r="24" spans="1:17" ht="12.75">
      <c r="A24" t="s">
        <v>32</v>
      </c>
      <c r="C24" s="15">
        <v>43776.627</v>
      </c>
      <c r="D24" s="15" t="s">
        <v>33</v>
      </c>
      <c r="E24">
        <f t="shared" si="0"/>
        <v>-4657.025519028168</v>
      </c>
      <c r="F24">
        <f t="shared" si="1"/>
        <v>-4657</v>
      </c>
      <c r="G24">
        <f t="shared" si="2"/>
        <v>-0.04239443000551546</v>
      </c>
      <c r="I24">
        <f t="shared" si="3"/>
        <v>-0.04239443000551546</v>
      </c>
      <c r="Q24" s="2">
        <f t="shared" si="4"/>
        <v>28758.127</v>
      </c>
    </row>
    <row r="25" spans="1:17" ht="12.75">
      <c r="A25" t="s">
        <v>32</v>
      </c>
      <c r="C25" s="15">
        <v>44512.628</v>
      </c>
      <c r="D25" s="15" t="s">
        <v>33</v>
      </c>
      <c r="E25">
        <f t="shared" si="0"/>
        <v>-4213.9949074783935</v>
      </c>
      <c r="F25">
        <f t="shared" si="1"/>
        <v>-4214</v>
      </c>
      <c r="G25">
        <f t="shared" si="2"/>
        <v>0.00846013999398565</v>
      </c>
      <c r="I25">
        <f t="shared" si="3"/>
        <v>0.00846013999398565</v>
      </c>
      <c r="Q25" s="2">
        <f t="shared" si="4"/>
        <v>29494.127999999997</v>
      </c>
    </row>
    <row r="26" spans="1:17" ht="12.75">
      <c r="A26" t="s">
        <v>32</v>
      </c>
      <c r="C26" s="15">
        <v>44934.532</v>
      </c>
      <c r="D26" s="15" t="s">
        <v>33</v>
      </c>
      <c r="E26">
        <f t="shared" si="0"/>
        <v>-3960.03277001486</v>
      </c>
      <c r="F26">
        <f t="shared" si="1"/>
        <v>-3960</v>
      </c>
      <c r="G26">
        <f t="shared" si="2"/>
        <v>-0.05444040000293171</v>
      </c>
      <c r="I26">
        <f t="shared" si="3"/>
        <v>-0.05444040000293171</v>
      </c>
      <c r="Q26" s="2">
        <f t="shared" si="4"/>
        <v>29916.032</v>
      </c>
    </row>
    <row r="27" spans="1:17" ht="12.75">
      <c r="A27" t="s">
        <v>32</v>
      </c>
      <c r="C27" s="15">
        <v>45635.557</v>
      </c>
      <c r="D27" s="15" t="s">
        <v>33</v>
      </c>
      <c r="E27">
        <f t="shared" si="0"/>
        <v>-3538.055715008572</v>
      </c>
      <c r="F27">
        <f t="shared" si="1"/>
        <v>-3538</v>
      </c>
      <c r="G27">
        <f t="shared" si="2"/>
        <v>-0.09255862000281923</v>
      </c>
      <c r="I27">
        <f t="shared" si="3"/>
        <v>-0.09255862000281923</v>
      </c>
      <c r="Q27" s="2">
        <f t="shared" si="4"/>
        <v>30617.057</v>
      </c>
    </row>
    <row r="28" spans="1:17" ht="12.75">
      <c r="A28" t="s">
        <v>32</v>
      </c>
      <c r="C28" s="15">
        <v>45645.573</v>
      </c>
      <c r="D28" s="15" t="s">
        <v>33</v>
      </c>
      <c r="E28">
        <f t="shared" si="0"/>
        <v>-3532.0266544430556</v>
      </c>
      <c r="F28">
        <f t="shared" si="1"/>
        <v>-3532</v>
      </c>
      <c r="G28">
        <f t="shared" si="2"/>
        <v>-0.04428068000561325</v>
      </c>
      <c r="I28">
        <f t="shared" si="3"/>
        <v>-0.04428068000561325</v>
      </c>
      <c r="Q28" s="2">
        <f t="shared" si="4"/>
        <v>30627.072999999997</v>
      </c>
    </row>
    <row r="29" spans="1:17" ht="12.75">
      <c r="A29" t="s">
        <v>32</v>
      </c>
      <c r="C29" s="15">
        <v>45695.453</v>
      </c>
      <c r="D29" s="15" t="s">
        <v>33</v>
      </c>
      <c r="E29">
        <f t="shared" si="0"/>
        <v>-3502.001740205025</v>
      </c>
      <c r="F29">
        <f t="shared" si="1"/>
        <v>-3502</v>
      </c>
      <c r="G29">
        <f t="shared" si="2"/>
        <v>-0.0028909800021210685</v>
      </c>
      <c r="I29">
        <f t="shared" si="3"/>
        <v>-0.0028909800021210685</v>
      </c>
      <c r="Q29" s="2">
        <f t="shared" si="4"/>
        <v>30676.953</v>
      </c>
    </row>
    <row r="30" spans="1:17" ht="12.75">
      <c r="A30" t="s">
        <v>32</v>
      </c>
      <c r="C30" s="15">
        <v>45939.641</v>
      </c>
      <c r="D30" s="15" t="s">
        <v>33</v>
      </c>
      <c r="E30">
        <f t="shared" si="0"/>
        <v>-3355.014495659001</v>
      </c>
      <c r="F30">
        <f t="shared" si="1"/>
        <v>-3355</v>
      </c>
      <c r="G30">
        <f t="shared" si="2"/>
        <v>-0.024081449999357574</v>
      </c>
      <c r="I30">
        <f t="shared" si="3"/>
        <v>-0.024081449999357574</v>
      </c>
      <c r="Q30" s="2">
        <f t="shared" si="4"/>
        <v>30921.141000000003</v>
      </c>
    </row>
    <row r="31" spans="1:17" ht="12.75">
      <c r="A31" t="s">
        <v>32</v>
      </c>
      <c r="C31" s="15">
        <v>51513.283</v>
      </c>
      <c r="D31" s="15">
        <v>0.003</v>
      </c>
      <c r="E31">
        <f t="shared" si="0"/>
        <v>0</v>
      </c>
      <c r="F31">
        <f t="shared" si="1"/>
        <v>0</v>
      </c>
      <c r="G31">
        <f t="shared" si="2"/>
        <v>0</v>
      </c>
      <c r="I31">
        <f t="shared" si="3"/>
        <v>0</v>
      </c>
      <c r="O31">
        <f aca="true" t="shared" si="5" ref="O31:O41">+C$11+C$12*$F31</f>
        <v>-0.0010336595588252536</v>
      </c>
      <c r="Q31" s="2">
        <f t="shared" si="4"/>
        <v>36494.783</v>
      </c>
    </row>
    <row r="32" spans="1:17" ht="12.75">
      <c r="A32" t="s">
        <v>32</v>
      </c>
      <c r="C32" s="15">
        <v>51757.49</v>
      </c>
      <c r="D32" s="15">
        <v>0.003</v>
      </c>
      <c r="E32">
        <f t="shared" si="0"/>
        <v>146.99868146202797</v>
      </c>
      <c r="F32">
        <f t="shared" si="1"/>
        <v>147</v>
      </c>
      <c r="G32">
        <f t="shared" si="2"/>
        <v>-0.002190470004279632</v>
      </c>
      <c r="I32">
        <f t="shared" si="3"/>
        <v>-0.002190470004279632</v>
      </c>
      <c r="O32">
        <f t="shared" si="5"/>
        <v>0.0001404214226685093</v>
      </c>
      <c r="Q32" s="2">
        <f t="shared" si="4"/>
        <v>36738.99</v>
      </c>
    </row>
    <row r="33" spans="1:17" ht="12.75">
      <c r="A33" t="s">
        <v>32</v>
      </c>
      <c r="C33" s="15">
        <v>51767.457</v>
      </c>
      <c r="D33" s="15">
        <v>0.003</v>
      </c>
      <c r="E33">
        <f t="shared" si="0"/>
        <v>152.9982468231056</v>
      </c>
      <c r="F33">
        <f t="shared" si="1"/>
        <v>153</v>
      </c>
      <c r="G33">
        <f t="shared" si="2"/>
        <v>-0.0029125299988663755</v>
      </c>
      <c r="I33">
        <f t="shared" si="3"/>
        <v>-0.0029125299988663755</v>
      </c>
      <c r="O33">
        <f t="shared" si="5"/>
        <v>0.0001883430953825403</v>
      </c>
      <c r="Q33" s="2">
        <f t="shared" si="4"/>
        <v>36748.957</v>
      </c>
    </row>
    <row r="34" spans="1:17" ht="12.75">
      <c r="A34" t="s">
        <v>32</v>
      </c>
      <c r="C34" s="15">
        <v>51797.3607</v>
      </c>
      <c r="D34" s="15">
        <v>0.001</v>
      </c>
      <c r="E34">
        <f t="shared" si="0"/>
        <v>170.99856815228716</v>
      </c>
      <c r="F34">
        <f t="shared" si="1"/>
        <v>171</v>
      </c>
      <c r="G34">
        <f t="shared" si="2"/>
        <v>-0.002378710007178597</v>
      </c>
      <c r="I34">
        <f t="shared" si="3"/>
        <v>-0.002378710007178597</v>
      </c>
      <c r="O34">
        <f t="shared" si="5"/>
        <v>0.0003321081135246337</v>
      </c>
      <c r="Q34" s="2">
        <f t="shared" si="4"/>
        <v>36778.8607</v>
      </c>
    </row>
    <row r="35" spans="1:17" ht="12.75">
      <c r="A35" s="46" t="s">
        <v>77</v>
      </c>
      <c r="B35" s="47" t="s">
        <v>109</v>
      </c>
      <c r="C35" s="46">
        <v>52144.575</v>
      </c>
      <c r="D35" s="14"/>
      <c r="E35">
        <f t="shared" si="0"/>
        <v>380.00176742487986</v>
      </c>
      <c r="F35">
        <f t="shared" si="1"/>
        <v>380</v>
      </c>
      <c r="G35">
        <f t="shared" si="2"/>
        <v>0.002936199991381727</v>
      </c>
      <c r="K35">
        <f>+G35</f>
        <v>0.002936199991381727</v>
      </c>
      <c r="O35">
        <f t="shared" si="5"/>
        <v>0.002001379713063385</v>
      </c>
      <c r="Q35" s="2">
        <f t="shared" si="4"/>
        <v>37126.075</v>
      </c>
    </row>
    <row r="36" spans="1:17" ht="12.75">
      <c r="A36" s="46" t="s">
        <v>77</v>
      </c>
      <c r="B36" s="47" t="s">
        <v>109</v>
      </c>
      <c r="C36" s="46">
        <v>52194.413</v>
      </c>
      <c r="D36" s="14"/>
      <c r="E36">
        <f t="shared" si="0"/>
        <v>410.00140005910083</v>
      </c>
      <c r="F36">
        <f t="shared" si="1"/>
        <v>410</v>
      </c>
      <c r="G36">
        <f t="shared" si="2"/>
        <v>0.0023259000008692965</v>
      </c>
      <c r="K36">
        <f>+G36</f>
        <v>0.0023259000008692965</v>
      </c>
      <c r="O36">
        <f t="shared" si="5"/>
        <v>0.002240988076633541</v>
      </c>
      <c r="Q36" s="2">
        <f t="shared" si="4"/>
        <v>37175.913</v>
      </c>
    </row>
    <row r="37" spans="1:17" ht="12.75">
      <c r="A37" s="46" t="s">
        <v>84</v>
      </c>
      <c r="B37" s="47" t="s">
        <v>109</v>
      </c>
      <c r="C37" s="46">
        <v>52209.36</v>
      </c>
      <c r="D37" s="14"/>
      <c r="E37">
        <f t="shared" si="0"/>
        <v>418.9986413003961</v>
      </c>
      <c r="F37">
        <f t="shared" si="1"/>
        <v>419</v>
      </c>
      <c r="G37">
        <f t="shared" si="2"/>
        <v>-0.0022571900044567883</v>
      </c>
      <c r="K37">
        <f>+G37</f>
        <v>-0.0022571900044567883</v>
      </c>
      <c r="O37">
        <f t="shared" si="5"/>
        <v>0.0023128705857045876</v>
      </c>
      <c r="Q37" s="2">
        <f t="shared" si="4"/>
        <v>37190.86</v>
      </c>
    </row>
    <row r="38" spans="1:17" ht="12.75">
      <c r="A38" s="12" t="s">
        <v>34</v>
      </c>
      <c r="C38" s="16">
        <v>52867.2415</v>
      </c>
      <c r="D38" s="16">
        <v>0.0001</v>
      </c>
      <c r="E38">
        <f t="shared" si="0"/>
        <v>815.0057707367455</v>
      </c>
      <c r="F38">
        <f t="shared" si="1"/>
        <v>815</v>
      </c>
      <c r="G38">
        <f t="shared" si="2"/>
        <v>0.009586849992047064</v>
      </c>
      <c r="I38">
        <f>+G38</f>
        <v>0.009586849992047064</v>
      </c>
      <c r="O38">
        <f t="shared" si="5"/>
        <v>0.005475700984830642</v>
      </c>
      <c r="Q38" s="2">
        <f t="shared" si="4"/>
        <v>37848.7415</v>
      </c>
    </row>
    <row r="39" spans="1:17" ht="12.75">
      <c r="A39" s="11" t="s">
        <v>38</v>
      </c>
      <c r="B39" s="13"/>
      <c r="C39" s="14">
        <v>53636.4243</v>
      </c>
      <c r="D39" s="14">
        <v>0.0004</v>
      </c>
      <c r="E39">
        <f t="shared" si="0"/>
        <v>1278.0099327930072</v>
      </c>
      <c r="F39">
        <f t="shared" si="1"/>
        <v>1278</v>
      </c>
      <c r="G39">
        <f t="shared" si="2"/>
        <v>0.016501219994097482</v>
      </c>
      <c r="I39">
        <f>+G39</f>
        <v>0.016501219994097482</v>
      </c>
      <c r="O39">
        <f t="shared" si="5"/>
        <v>0.009173656729263378</v>
      </c>
      <c r="Q39" s="2">
        <f t="shared" si="4"/>
        <v>38617.9243</v>
      </c>
    </row>
    <row r="40" spans="1:17" ht="12.75">
      <c r="A40" s="46" t="s">
        <v>102</v>
      </c>
      <c r="B40" s="47" t="s">
        <v>109</v>
      </c>
      <c r="C40" s="46">
        <v>54367.3956</v>
      </c>
      <c r="D40" s="14"/>
      <c r="E40">
        <f t="shared" si="0"/>
        <v>1718.012951898059</v>
      </c>
      <c r="F40">
        <f t="shared" si="1"/>
        <v>1718</v>
      </c>
      <c r="G40">
        <f t="shared" si="2"/>
        <v>0.02151682000112487</v>
      </c>
      <c r="K40">
        <f>+G40</f>
        <v>0.02151682000112487</v>
      </c>
      <c r="O40">
        <f t="shared" si="5"/>
        <v>0.012687912728292328</v>
      </c>
      <c r="Q40" s="2">
        <f t="shared" si="4"/>
        <v>39348.8956</v>
      </c>
    </row>
    <row r="41" spans="1:17" ht="12.75">
      <c r="A41" s="46" t="s">
        <v>108</v>
      </c>
      <c r="B41" s="47" t="s">
        <v>109</v>
      </c>
      <c r="C41" s="46">
        <v>55849.2523</v>
      </c>
      <c r="D41" s="3"/>
      <c r="E41">
        <f t="shared" si="0"/>
        <v>2610.0061421656437</v>
      </c>
      <c r="F41">
        <f t="shared" si="1"/>
        <v>2610</v>
      </c>
      <c r="G41">
        <f t="shared" si="2"/>
        <v>0.010203899997577537</v>
      </c>
      <c r="K41">
        <f>+G41</f>
        <v>0.010203899997577537</v>
      </c>
      <c r="O41">
        <f t="shared" si="5"/>
        <v>0.019812268071778293</v>
      </c>
      <c r="Q41" s="2">
        <f t="shared" si="4"/>
        <v>40830.7523</v>
      </c>
    </row>
    <row r="42" spans="2:4" ht="12.75">
      <c r="B42" s="3"/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3"/>
  <sheetViews>
    <sheetView zoomScalePageLayoutView="0" workbookViewId="0" topLeftCell="A1">
      <selection activeCell="A17" sqref="A17:C21"/>
    </sheetView>
  </sheetViews>
  <sheetFormatPr defaultColWidth="9.140625" defaultRowHeight="12.75"/>
  <cols>
    <col min="1" max="1" width="19.7109375" style="14" customWidth="1"/>
    <col min="2" max="2" width="4.421875" style="11" customWidth="1"/>
    <col min="3" max="3" width="12.7109375" style="14" customWidth="1"/>
    <col min="4" max="4" width="5.421875" style="11" customWidth="1"/>
    <col min="5" max="5" width="14.8515625" style="11" customWidth="1"/>
    <col min="6" max="6" width="9.140625" style="11" customWidth="1"/>
    <col min="7" max="7" width="12.00390625" style="11" customWidth="1"/>
    <col min="8" max="8" width="14.140625" style="14" customWidth="1"/>
    <col min="9" max="9" width="22.5742187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421875" style="11" customWidth="1"/>
    <col min="14" max="14" width="14.140625" style="11" customWidth="1"/>
    <col min="15" max="15" width="23.421875" style="11" customWidth="1"/>
    <col min="16" max="16" width="16.57421875" style="11" customWidth="1"/>
    <col min="17" max="17" width="41.00390625" style="11" customWidth="1"/>
    <col min="18" max="16384" width="9.140625" style="11" customWidth="1"/>
  </cols>
  <sheetData>
    <row r="1" spans="1:10" ht="15.75">
      <c r="A1" s="33" t="s">
        <v>47</v>
      </c>
      <c r="I1" s="34" t="s">
        <v>48</v>
      </c>
      <c r="J1" s="35" t="s">
        <v>49</v>
      </c>
    </row>
    <row r="2" spans="9:10" ht="12.75">
      <c r="I2" s="36" t="s">
        <v>30</v>
      </c>
      <c r="J2" s="37" t="s">
        <v>50</v>
      </c>
    </row>
    <row r="3" spans="1:10" ht="12.75">
      <c r="A3" s="38" t="s">
        <v>51</v>
      </c>
      <c r="I3" s="36" t="s">
        <v>52</v>
      </c>
      <c r="J3" s="37" t="s">
        <v>53</v>
      </c>
    </row>
    <row r="4" spans="9:10" ht="12.75">
      <c r="I4" s="36" t="s">
        <v>54</v>
      </c>
      <c r="J4" s="37" t="s">
        <v>53</v>
      </c>
    </row>
    <row r="5" spans="9:10" ht="13.5" thickBot="1">
      <c r="I5" s="39" t="s">
        <v>55</v>
      </c>
      <c r="J5" s="40" t="s">
        <v>56</v>
      </c>
    </row>
    <row r="10" ht="13.5" thickBot="1"/>
    <row r="11" spans="1:16" ht="12.75" customHeight="1" thickBot="1">
      <c r="A11" s="14" t="str">
        <f aca="true" t="shared" si="0" ref="A11:A21">P11</f>
        <v> BBS 121 </v>
      </c>
      <c r="B11" s="3" t="str">
        <f aca="true" t="shared" si="1" ref="B11:B21">IF(H11=INT(H11),"I","II")</f>
        <v>I</v>
      </c>
      <c r="C11" s="14">
        <f aca="true" t="shared" si="2" ref="C11:C21">1*G11</f>
        <v>51513.283</v>
      </c>
      <c r="D11" s="11" t="str">
        <f aca="true" t="shared" si="3" ref="D11:D21">VLOOKUP(F11,I$1:J$5,2,FALSE)</f>
        <v>vis</v>
      </c>
      <c r="E11" s="41">
        <f>VLOOKUP(C11,A!C$21:E$973,3,FALSE)</f>
        <v>0</v>
      </c>
      <c r="F11" s="3" t="s">
        <v>55</v>
      </c>
      <c r="G11" s="11" t="str">
        <f aca="true" t="shared" si="4" ref="G11:G21">MID(I11,3,LEN(I11)-3)</f>
        <v>51513.283</v>
      </c>
      <c r="H11" s="14">
        <f aca="true" t="shared" si="5" ref="H11:H21">1*K11</f>
        <v>-595</v>
      </c>
      <c r="I11" s="42" t="s">
        <v>57</v>
      </c>
      <c r="J11" s="43" t="s">
        <v>58</v>
      </c>
      <c r="K11" s="42">
        <v>-595</v>
      </c>
      <c r="L11" s="42" t="s">
        <v>59</v>
      </c>
      <c r="M11" s="43" t="s">
        <v>60</v>
      </c>
      <c r="N11" s="43" t="s">
        <v>61</v>
      </c>
      <c r="O11" s="44" t="s">
        <v>62</v>
      </c>
      <c r="P11" s="44" t="s">
        <v>63</v>
      </c>
    </row>
    <row r="12" spans="1:16" ht="12.75" customHeight="1" thickBot="1">
      <c r="A12" s="14" t="str">
        <f t="shared" si="0"/>
        <v> BBS 123 </v>
      </c>
      <c r="B12" s="3" t="str">
        <f t="shared" si="1"/>
        <v>I</v>
      </c>
      <c r="C12" s="14">
        <f t="shared" si="2"/>
        <v>51757.49</v>
      </c>
      <c r="D12" s="11" t="str">
        <f t="shared" si="3"/>
        <v>vis</v>
      </c>
      <c r="E12" s="41">
        <f>VLOOKUP(C12,A!C$21:E$973,3,FALSE)</f>
        <v>146.99868146202797</v>
      </c>
      <c r="F12" s="3" t="s">
        <v>55</v>
      </c>
      <c r="G12" s="11" t="str">
        <f t="shared" si="4"/>
        <v>51757.490</v>
      </c>
      <c r="H12" s="14">
        <f t="shared" si="5"/>
        <v>-448</v>
      </c>
      <c r="I12" s="42" t="s">
        <v>64</v>
      </c>
      <c r="J12" s="43" t="s">
        <v>65</v>
      </c>
      <c r="K12" s="42">
        <v>-448</v>
      </c>
      <c r="L12" s="42" t="s">
        <v>66</v>
      </c>
      <c r="M12" s="43" t="s">
        <v>60</v>
      </c>
      <c r="N12" s="43" t="s">
        <v>61</v>
      </c>
      <c r="O12" s="44" t="s">
        <v>62</v>
      </c>
      <c r="P12" s="44" t="s">
        <v>67</v>
      </c>
    </row>
    <row r="13" spans="1:16" ht="12.75" customHeight="1" thickBot="1">
      <c r="A13" s="14" t="str">
        <f t="shared" si="0"/>
        <v> BBS 123 </v>
      </c>
      <c r="B13" s="3" t="str">
        <f t="shared" si="1"/>
        <v>I</v>
      </c>
      <c r="C13" s="14">
        <f t="shared" si="2"/>
        <v>51767.457</v>
      </c>
      <c r="D13" s="11" t="str">
        <f t="shared" si="3"/>
        <v>vis</v>
      </c>
      <c r="E13" s="41">
        <f>VLOOKUP(C13,A!C$21:E$973,3,FALSE)</f>
        <v>152.9982468231056</v>
      </c>
      <c r="F13" s="3" t="s">
        <v>55</v>
      </c>
      <c r="G13" s="11" t="str">
        <f t="shared" si="4"/>
        <v>51767.457</v>
      </c>
      <c r="H13" s="14">
        <f t="shared" si="5"/>
        <v>-442</v>
      </c>
      <c r="I13" s="42" t="s">
        <v>68</v>
      </c>
      <c r="J13" s="43" t="s">
        <v>69</v>
      </c>
      <c r="K13" s="42">
        <v>-442</v>
      </c>
      <c r="L13" s="42" t="s">
        <v>66</v>
      </c>
      <c r="M13" s="43" t="s">
        <v>60</v>
      </c>
      <c r="N13" s="43" t="s">
        <v>61</v>
      </c>
      <c r="O13" s="44" t="s">
        <v>62</v>
      </c>
      <c r="P13" s="44" t="s">
        <v>67</v>
      </c>
    </row>
    <row r="14" spans="1:16" ht="12.75" customHeight="1" thickBot="1">
      <c r="A14" s="14" t="str">
        <f t="shared" si="0"/>
        <v> BBS 123 </v>
      </c>
      <c r="B14" s="3" t="str">
        <f t="shared" si="1"/>
        <v>I</v>
      </c>
      <c r="C14" s="14">
        <f t="shared" si="2"/>
        <v>51797.3607</v>
      </c>
      <c r="D14" s="11" t="str">
        <f t="shared" si="3"/>
        <v>vis</v>
      </c>
      <c r="E14" s="41">
        <f>VLOOKUP(C14,A!C$21:E$973,3,FALSE)</f>
        <v>170.99856815228716</v>
      </c>
      <c r="F14" s="3" t="s">
        <v>55</v>
      </c>
      <c r="G14" s="11" t="str">
        <f t="shared" si="4"/>
        <v>51797.3607</v>
      </c>
      <c r="H14" s="14">
        <f t="shared" si="5"/>
        <v>-424</v>
      </c>
      <c r="I14" s="42" t="s">
        <v>70</v>
      </c>
      <c r="J14" s="43" t="s">
        <v>71</v>
      </c>
      <c r="K14" s="42">
        <v>-424</v>
      </c>
      <c r="L14" s="42" t="s">
        <v>72</v>
      </c>
      <c r="M14" s="43" t="s">
        <v>60</v>
      </c>
      <c r="N14" s="43" t="s">
        <v>61</v>
      </c>
      <c r="O14" s="44" t="s">
        <v>73</v>
      </c>
      <c r="P14" s="44" t="s">
        <v>67</v>
      </c>
    </row>
    <row r="15" spans="1:16" ht="12.75" customHeight="1" thickBot="1">
      <c r="A15" s="14" t="str">
        <f t="shared" si="0"/>
        <v>IBVS 5592 </v>
      </c>
      <c r="B15" s="3" t="str">
        <f t="shared" si="1"/>
        <v>I</v>
      </c>
      <c r="C15" s="14">
        <f t="shared" si="2"/>
        <v>52867.2415</v>
      </c>
      <c r="D15" s="11" t="str">
        <f t="shared" si="3"/>
        <v>vis</v>
      </c>
      <c r="E15" s="41">
        <f>VLOOKUP(C15,A!C$21:E$973,3,FALSE)</f>
        <v>815.0057707367455</v>
      </c>
      <c r="F15" s="3" t="s">
        <v>55</v>
      </c>
      <c r="G15" s="11" t="str">
        <f t="shared" si="4"/>
        <v>52867.2415</v>
      </c>
      <c r="H15" s="14">
        <f t="shared" si="5"/>
        <v>220</v>
      </c>
      <c r="I15" s="42" t="s">
        <v>85</v>
      </c>
      <c r="J15" s="43" t="s">
        <v>86</v>
      </c>
      <c r="K15" s="42">
        <v>220</v>
      </c>
      <c r="L15" s="42" t="s">
        <v>87</v>
      </c>
      <c r="M15" s="43" t="s">
        <v>60</v>
      </c>
      <c r="N15" s="43" t="s">
        <v>61</v>
      </c>
      <c r="O15" s="44" t="s">
        <v>88</v>
      </c>
      <c r="P15" s="45" t="s">
        <v>89</v>
      </c>
    </row>
    <row r="16" spans="1:16" ht="12.75" customHeight="1" thickBot="1">
      <c r="A16" s="14" t="str">
        <f t="shared" si="0"/>
        <v>BAVM 178 </v>
      </c>
      <c r="B16" s="3" t="str">
        <f t="shared" si="1"/>
        <v>I</v>
      </c>
      <c r="C16" s="14">
        <f t="shared" si="2"/>
        <v>53636.4243</v>
      </c>
      <c r="D16" s="11" t="str">
        <f t="shared" si="3"/>
        <v>vis</v>
      </c>
      <c r="E16" s="41">
        <f>VLOOKUP(C16,A!C$21:E$973,3,FALSE)</f>
        <v>1278.0099327930072</v>
      </c>
      <c r="F16" s="3" t="s">
        <v>55</v>
      </c>
      <c r="G16" s="11" t="str">
        <f t="shared" si="4"/>
        <v>53636.4243</v>
      </c>
      <c r="H16" s="14">
        <f t="shared" si="5"/>
        <v>683</v>
      </c>
      <c r="I16" s="42" t="s">
        <v>90</v>
      </c>
      <c r="J16" s="43" t="s">
        <v>91</v>
      </c>
      <c r="K16" s="42">
        <v>683</v>
      </c>
      <c r="L16" s="42" t="s">
        <v>92</v>
      </c>
      <c r="M16" s="43" t="s">
        <v>93</v>
      </c>
      <c r="N16" s="43" t="s">
        <v>94</v>
      </c>
      <c r="O16" s="44" t="s">
        <v>95</v>
      </c>
      <c r="P16" s="45" t="s">
        <v>96</v>
      </c>
    </row>
    <row r="17" spans="1:16" ht="12.75" customHeight="1" thickBot="1">
      <c r="A17" s="14" t="str">
        <f t="shared" si="0"/>
        <v> BBS 126 </v>
      </c>
      <c r="B17" s="3" t="str">
        <f t="shared" si="1"/>
        <v>I</v>
      </c>
      <c r="C17" s="14">
        <f t="shared" si="2"/>
        <v>52144.575</v>
      </c>
      <c r="D17" s="11" t="str">
        <f t="shared" si="3"/>
        <v>vis</v>
      </c>
      <c r="E17" s="41">
        <f>VLOOKUP(C17,A!C$21:E$973,3,FALSE)</f>
        <v>380.00176742487986</v>
      </c>
      <c r="F17" s="3" t="s">
        <v>55</v>
      </c>
      <c r="G17" s="11" t="str">
        <f t="shared" si="4"/>
        <v>52144.575</v>
      </c>
      <c r="H17" s="14">
        <f t="shared" si="5"/>
        <v>-215</v>
      </c>
      <c r="I17" s="42" t="s">
        <v>74</v>
      </c>
      <c r="J17" s="43" t="s">
        <v>75</v>
      </c>
      <c r="K17" s="42">
        <v>-215</v>
      </c>
      <c r="L17" s="42" t="s">
        <v>76</v>
      </c>
      <c r="M17" s="43" t="s">
        <v>60</v>
      </c>
      <c r="N17" s="43" t="s">
        <v>61</v>
      </c>
      <c r="O17" s="44" t="s">
        <v>62</v>
      </c>
      <c r="P17" s="44" t="s">
        <v>77</v>
      </c>
    </row>
    <row r="18" spans="1:16" ht="12.75" customHeight="1" thickBot="1">
      <c r="A18" s="14" t="str">
        <f t="shared" si="0"/>
        <v> BBS 126 </v>
      </c>
      <c r="B18" s="3" t="str">
        <f t="shared" si="1"/>
        <v>I</v>
      </c>
      <c r="C18" s="14">
        <f t="shared" si="2"/>
        <v>52194.413</v>
      </c>
      <c r="D18" s="11" t="str">
        <f t="shared" si="3"/>
        <v>vis</v>
      </c>
      <c r="E18" s="41">
        <f>VLOOKUP(C18,A!C$21:E$973,3,FALSE)</f>
        <v>410.00140005910083</v>
      </c>
      <c r="F18" s="3" t="s">
        <v>55</v>
      </c>
      <c r="G18" s="11" t="str">
        <f t="shared" si="4"/>
        <v>52194.413</v>
      </c>
      <c r="H18" s="14">
        <f t="shared" si="5"/>
        <v>-185</v>
      </c>
      <c r="I18" s="42" t="s">
        <v>78</v>
      </c>
      <c r="J18" s="43" t="s">
        <v>79</v>
      </c>
      <c r="K18" s="42">
        <v>-185</v>
      </c>
      <c r="L18" s="42" t="s">
        <v>80</v>
      </c>
      <c r="M18" s="43" t="s">
        <v>60</v>
      </c>
      <c r="N18" s="43" t="s">
        <v>61</v>
      </c>
      <c r="O18" s="44" t="s">
        <v>73</v>
      </c>
      <c r="P18" s="44" t="s">
        <v>77</v>
      </c>
    </row>
    <row r="19" spans="1:16" ht="12.75" customHeight="1" thickBot="1">
      <c r="A19" s="14" t="str">
        <f t="shared" si="0"/>
        <v> BBS 127 </v>
      </c>
      <c r="B19" s="3" t="str">
        <f t="shared" si="1"/>
        <v>I</v>
      </c>
      <c r="C19" s="14">
        <f t="shared" si="2"/>
        <v>52209.36</v>
      </c>
      <c r="D19" s="11" t="str">
        <f t="shared" si="3"/>
        <v>vis</v>
      </c>
      <c r="E19" s="41">
        <f>VLOOKUP(C19,A!C$21:E$973,3,FALSE)</f>
        <v>418.9986413003961</v>
      </c>
      <c r="F19" s="3" t="s">
        <v>55</v>
      </c>
      <c r="G19" s="11" t="str">
        <f t="shared" si="4"/>
        <v>52209.360</v>
      </c>
      <c r="H19" s="14">
        <f t="shared" si="5"/>
        <v>-176</v>
      </c>
      <c r="I19" s="42" t="s">
        <v>81</v>
      </c>
      <c r="J19" s="43" t="s">
        <v>82</v>
      </c>
      <c r="K19" s="42">
        <v>-176</v>
      </c>
      <c r="L19" s="42" t="s">
        <v>83</v>
      </c>
      <c r="M19" s="43" t="s">
        <v>60</v>
      </c>
      <c r="N19" s="43" t="s">
        <v>61</v>
      </c>
      <c r="O19" s="44" t="s">
        <v>73</v>
      </c>
      <c r="P19" s="44" t="s">
        <v>84</v>
      </c>
    </row>
    <row r="20" spans="1:16" ht="12.75" customHeight="1" thickBot="1">
      <c r="A20" s="14" t="str">
        <f t="shared" si="0"/>
        <v>BAVM 193 </v>
      </c>
      <c r="B20" s="3" t="str">
        <f t="shared" si="1"/>
        <v>I</v>
      </c>
      <c r="C20" s="14">
        <f t="shared" si="2"/>
        <v>54367.3956</v>
      </c>
      <c r="D20" s="11" t="str">
        <f t="shared" si="3"/>
        <v>vis</v>
      </c>
      <c r="E20" s="41">
        <f>VLOOKUP(C20,A!C$21:E$973,3,FALSE)</f>
        <v>1718.012951898059</v>
      </c>
      <c r="F20" s="3" t="s">
        <v>55</v>
      </c>
      <c r="G20" s="11" t="str">
        <f t="shared" si="4"/>
        <v>54367.3956</v>
      </c>
      <c r="H20" s="14">
        <f t="shared" si="5"/>
        <v>1123</v>
      </c>
      <c r="I20" s="42" t="s">
        <v>97</v>
      </c>
      <c r="J20" s="43" t="s">
        <v>98</v>
      </c>
      <c r="K20" s="42" t="s">
        <v>99</v>
      </c>
      <c r="L20" s="42" t="s">
        <v>100</v>
      </c>
      <c r="M20" s="43" t="s">
        <v>93</v>
      </c>
      <c r="N20" s="43" t="s">
        <v>94</v>
      </c>
      <c r="O20" s="44" t="s">
        <v>101</v>
      </c>
      <c r="P20" s="45" t="s">
        <v>102</v>
      </c>
    </row>
    <row r="21" spans="1:16" ht="12.75" customHeight="1" thickBot="1">
      <c r="A21" s="14" t="str">
        <f t="shared" si="0"/>
        <v>BAVM 225 </v>
      </c>
      <c r="B21" s="3" t="str">
        <f t="shared" si="1"/>
        <v>I</v>
      </c>
      <c r="C21" s="14">
        <f t="shared" si="2"/>
        <v>55849.2523</v>
      </c>
      <c r="D21" s="11" t="str">
        <f t="shared" si="3"/>
        <v>vis</v>
      </c>
      <c r="E21" s="41">
        <f>VLOOKUP(C21,A!C$21:E$973,3,FALSE)</f>
        <v>2610.0061421656437</v>
      </c>
      <c r="F21" s="3" t="s">
        <v>55</v>
      </c>
      <c r="G21" s="11" t="str">
        <f t="shared" si="4"/>
        <v>55849.2523</v>
      </c>
      <c r="H21" s="14">
        <f t="shared" si="5"/>
        <v>2015</v>
      </c>
      <c r="I21" s="42" t="s">
        <v>103</v>
      </c>
      <c r="J21" s="43" t="s">
        <v>104</v>
      </c>
      <c r="K21" s="42" t="s">
        <v>105</v>
      </c>
      <c r="L21" s="42" t="s">
        <v>106</v>
      </c>
      <c r="M21" s="43" t="s">
        <v>93</v>
      </c>
      <c r="N21" s="43" t="s">
        <v>94</v>
      </c>
      <c r="O21" s="44" t="s">
        <v>107</v>
      </c>
      <c r="P21" s="45" t="s">
        <v>108</v>
      </c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</sheetData>
  <sheetProtection/>
  <hyperlinks>
    <hyperlink ref="P15" r:id="rId1" display="http://www.konkoly.hu/cgi-bin/IBVS?5592"/>
    <hyperlink ref="P16" r:id="rId2" display="http://www.bav-astro.de/sfs/BAVM_link.php?BAVMnr=178"/>
    <hyperlink ref="P20" r:id="rId3" display="http://www.bav-astro.de/sfs/BAVM_link.php?BAVMnr=193"/>
    <hyperlink ref="P21" r:id="rId4" display="http://www.bav-astro.de/sfs/BAVM_link.php?BAVMnr=225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2022-11-22T01:21:59Z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