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<sst xmlns="http://schemas.openxmlformats.org/spreadsheetml/2006/main" count="187" uniqueCount="114">
  <si>
    <t xml:space="preserve">KP Peg / GSC 1118-1950               </t>
  </si>
  <si>
    <t xml:space="preserve">EB/KE     </t>
  </si>
  <si>
    <t>System Type:</t>
  </si>
  <si>
    <t>Kreiner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</si>
  <si>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</si>
  <si>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</si>
  <si>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</si>
  <si>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</si>
  <si>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</si>
  <si>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</si>
  <si>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</si>
  <si>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</si>
  <si>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</si>
  <si>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</si>
  <si>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</si>
  <si>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</si>
  <si>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</si>
  <si>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</si>
  <si>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</si>
  <si>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</si>
  <si>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</si>
  <si>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</si>
  <si>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</si>
  <si>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</si>
  <si>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</si>
  <si>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</si>
  <si>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</si>
  <si>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</si>
  <si>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</si>
  <si>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</si>
  <si>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</si>
  <si>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</si>
  <si>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</si>
  <si>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</si>
  <si>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</si>
  <si>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</si>
  <si>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</si>
  <si>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</si>
  <si>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</si>
  <si>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</si>
  <si>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</si>
  <si>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</si>
  <si>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BAD?</t>
  </si>
  <si>
    <t>IBVS 3160 </t>
  </si>
  <si>
    <t>I</t>
  </si>
  <si>
    <t>IBVS 3355 </t>
  </si>
  <si>
    <t>IBVS 4855</t>
  </si>
  <si>
    <t>Kreiner</t>
  </si>
  <si>
    <t>IBVS 5897</t>
  </si>
  <si>
    <t>II</t>
  </si>
  <si>
    <t>IBVS 6007</t>
  </si>
  <si>
    <t>IBVS 6114</t>
  </si>
  <si>
    <t>OEJV 0179</t>
  </si>
  <si>
    <t>OEJV 0191</t>
  </si>
  <si>
    <t>VSB 069</t>
  </si>
  <si>
    <t>cB</t>
  </si>
  <si>
    <t>cG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</si>
  <si>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</si>
  <si>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</si>
  <si>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</si>
  <si>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</si>
  <si>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</si>
  <si>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</si>
  <si>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</si>
  <si>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2451421.3872 </t>
  </si>
  <si>
    <t> 30.08.1999 21:17 </t>
  </si>
  <si>
    <t> -0.0004 </t>
  </si>
  <si>
    <t>E </t>
  </si>
  <si>
    <t>B</t>
  </si>
  <si>
    <t> V.Keskin et al. </t>
  </si>
  <si>
    <t>IBVS 4855 </t>
  </si>
  <si>
    <t>2451421.3873 </t>
  </si>
  <si>
    <t> -0.0003 </t>
  </si>
  <si>
    <t>G</t>
  </si>
  <si>
    <t>2451421.3874 </t>
  </si>
  <si>
    <t> -0.0002 </t>
  </si>
  <si>
    <t>R</t>
  </si>
  <si>
    <t>2454344.3843 </t>
  </si>
  <si>
    <t> 31.08.2007 21:13 </t>
  </si>
  <si>
    <t> 0.0003 </t>
  </si>
  <si>
    <t>C </t>
  </si>
  <si>
    <t>m</t>
  </si>
  <si>
    <t> A.Liakos &amp; P.Niarchos </t>
  </si>
  <si>
    <t>IBVS 5897 </t>
  </si>
  <si>
    <t>2454345.4728 </t>
  </si>
  <si>
    <t> 01.09.2007 23:20 </t>
  </si>
  <si>
    <t> -0.0020 </t>
  </si>
  <si>
    <t>2455033.40866 </t>
  </si>
  <si>
    <t> 20.07.2009 21:48 </t>
  </si>
  <si>
    <t> -0.00117 </t>
  </si>
  <si>
    <t> R.Uhlar </t>
  </si>
  <si>
    <t>IBVS 6007 </t>
  </si>
  <si>
    <t>2455446.46482 </t>
  </si>
  <si>
    <t> 06.09.2010 23:09 </t>
  </si>
  <si>
    <t> 0.00312 </t>
  </si>
  <si>
    <t>2455806.42826 </t>
  </si>
  <si>
    <t> 01.09.2011 22:16 </t>
  </si>
  <si>
    <t> 0.00058 </t>
  </si>
  <si>
    <t>2456499.45219 </t>
  </si>
  <si>
    <t> 25.07.2013 22:51 </t>
  </si>
  <si>
    <t> -0.00091 </t>
  </si>
  <si>
    <t>IBVS 6114 </t>
  </si>
  <si>
    <t>2446731.6339 </t>
  </si>
  <si>
    <t> 28.10.1986 03:12 </t>
  </si>
  <si>
    <t> -4036.7245 </t>
  </si>
  <si>
    <t>?</t>
  </si>
  <si>
    <t> R.L.Walker </t>
  </si>
  <si>
    <t>2447064.6953 </t>
  </si>
  <si>
    <t> 26.09.1987 04:41 </t>
  </si>
  <si>
    <t> -4036.7225 </t>
  </si>
  <si>
    <t>2447385.3954 </t>
  </si>
  <si>
    <t> 11.08.1988 21:29 </t>
  </si>
  <si>
    <t> -4036.7194 </t>
  </si>
  <si>
    <t> Akan &amp; Keskin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</si>
</sst>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50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8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6" fillId="0" borderId="0" xfId="0" applyNumberFormat="1" applyFont="1" applyAlignment="1">
      <alignment vertical="top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left"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2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4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9" fillId="33" borderId="19" xfId="0" applyFont="1" applyFill="1" applyBorder="1" applyAlignment="1">
      <alignment horizontal="left" vertical="top" wrapText="1" inden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right" vertical="top" wrapText="1"/>
    </xf>
    <xf numFmtId="0" fontId="14" fillId="33" borderId="19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 Peg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A!$H$21:$H$37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A!$I$21:$I$37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A!$J$21:$J$37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A!$K$21:$K$37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A!$L$21:$L$37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A!$M$21:$M$37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A!$N$21:$N$37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A!$F$21:$F$37</c:f>
              <c:numCache/>
            </c:numRef>
          </c:xVal>
          <c:yVal>
            <c:numRef>
              <c:f>A!$O$21:$O$37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A!$F$21:$F$37</c:f>
              <c:numCache/>
            </c:numRef>
          </c:xVal>
          <c:yVal>
            <c:numRef>
              <c:f>A!$U$21:$U$37</c:f>
              <c:numCache/>
            </c:numRef>
          </c:yVal>
          <c:smooth val="0"/>
        </c:ser>
        <c:axId val="31772216"/>
        <c:axId val="66185849"/>
      </c:scatterChart>
      <c:valAx>
        <c:axId val="3177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5849"/>
        <c:crossesAt val="0"/>
        <c:crossBetween val="midCat"/>
        <c:dispUnits/>
      </c:valAx>
      <c:valAx>
        <c:axId val="66185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221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92275"/>
          <c:w val="0.733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55" TargetMode="External" /><Relationship Id="rId2" Type="http://schemas.openxmlformats.org/officeDocument/2006/relationships/hyperlink" Target="http://www.konkoly.hu/cgi-bin/IBVS?4855" TargetMode="External" /><Relationship Id="rId3" Type="http://schemas.openxmlformats.org/officeDocument/2006/relationships/hyperlink" Target="http://www.konkoly.hu/cgi-bin/IBVS?4855" TargetMode="External" /><Relationship Id="rId4" Type="http://schemas.openxmlformats.org/officeDocument/2006/relationships/hyperlink" Target="http://www.konkoly.hu/cgi-bin/IBVS?5897" TargetMode="External" /><Relationship Id="rId5" Type="http://schemas.openxmlformats.org/officeDocument/2006/relationships/hyperlink" Target="http://www.konkoly.hu/cgi-bin/IBVS?5897" TargetMode="External" /><Relationship Id="rId6" Type="http://schemas.openxmlformats.org/officeDocument/2006/relationships/hyperlink" Target="http://www.konkoly.hu/cgi-bin/IBVS?6007" TargetMode="External" /><Relationship Id="rId7" Type="http://schemas.openxmlformats.org/officeDocument/2006/relationships/hyperlink" Target="http://www.konkoly.hu/cgi-bin/IBVS?6007" TargetMode="External" /><Relationship Id="rId8" Type="http://schemas.openxmlformats.org/officeDocument/2006/relationships/hyperlink" Target="http://www.konkoly.hu/cgi-bin/IBVS?6007" TargetMode="External" /><Relationship Id="rId9" Type="http://schemas.openxmlformats.org/officeDocument/2006/relationships/hyperlink" Target="http://www.konkoly.hu/cgi-bin/IBVS?6114" TargetMode="External" /><Relationship Id="rId10" Type="http://schemas.openxmlformats.org/officeDocument/2006/relationships/hyperlink" Target="http://www.konkoly.hu/cgi-bin/IBVS?3160" TargetMode="External" /><Relationship Id="rId11" Type="http://schemas.openxmlformats.org/officeDocument/2006/relationships/hyperlink" Target="http://www.konkoly.hu/cgi-bin/IBVS?3160" TargetMode="External" /><Relationship Id="rId12" Type="http://schemas.openxmlformats.org/officeDocument/2006/relationships/hyperlink" Target="http://www.konkoly.hu/cgi-bin/IBVS?335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E11" sqref="E11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8" ht="20.25">
      <c r="A1" s="2" t="s">
        <v>0</v>
      </c>
      <c r="F1" s="3">
        <v>52500.559</v>
      </c>
      <c r="G1" s="3">
        <v>0.7272057</v>
      </c>
      <c r="H1" s="3" t="s">
        <v>1</v>
      </c>
    </row>
    <row r="2" spans="1:4" ht="12.75">
      <c r="A2" s="1" t="s">
        <v>2</v>
      </c>
      <c r="B2" s="1" t="str">
        <f>H1</f>
        <v>EB/KE     </v>
      </c>
      <c r="C2" s="3"/>
      <c r="D2" s="3"/>
    </row>
    <row r="4" spans="1:4" ht="12.75">
      <c r="A4" s="4" t="s">
        <v>3</v>
      </c>
      <c r="C4" s="5">
        <f>F1</f>
        <v>52500.559</v>
      </c>
      <c r="D4" s="6">
        <f>G1</f>
        <v>0.7272057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C4</f>
        <v>52500.559</v>
      </c>
    </row>
    <row r="8" spans="1:4" ht="12.75">
      <c r="A8" s="1" t="s">
        <v>8</v>
      </c>
      <c r="C8" s="1">
        <f>D4</f>
        <v>0.7272057</v>
      </c>
      <c r="D8" s="9"/>
    </row>
    <row r="9" spans="1:4" ht="12.75">
      <c r="A9" s="10" t="s">
        <v>9</v>
      </c>
      <c r="B9" s="11">
        <v>24</v>
      </c>
      <c r="C9" s="12" t="str">
        <f>"F"&amp;B9</f>
        <v>F24</v>
      </c>
      <c r="D9" s="13" t="str">
        <f>"G"&amp;B9</f>
        <v>G24</v>
      </c>
    </row>
    <row r="10" spans="1:5" ht="12.75">
      <c r="A10"/>
      <c r="B10"/>
      <c r="C10" s="14" t="s">
        <v>10</v>
      </c>
      <c r="D10" s="14" t="s">
        <v>11</v>
      </c>
      <c r="E10"/>
    </row>
    <row r="11" spans="1:5" ht="12.75">
      <c r="A11" t="s">
        <v>12</v>
      </c>
      <c r="B11"/>
      <c r="C11" s="15">
        <f ca="1">INTERCEPT(INDIRECT($D$9):G991,INDIRECT($C$9):F991)</f>
        <v>0.00023747777139835648</v>
      </c>
      <c r="D11" s="3"/>
      <c r="E11"/>
    </row>
    <row r="12" spans="1:5" ht="12.75">
      <c r="A12" t="s">
        <v>13</v>
      </c>
      <c r="B12"/>
      <c r="C12" s="15">
        <f ca="1">SLOPE(INDIRECT($D$9):G991,INDIRECT($C$9):F991)</f>
        <v>-2.1288654180991653E-06</v>
      </c>
      <c r="D12" s="3"/>
      <c r="E12"/>
    </row>
    <row r="13" spans="1:3" ht="12.75">
      <c r="A13" t="s">
        <v>14</v>
      </c>
      <c r="B13"/>
      <c r="C13" s="3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(C7+C11)+(C8+C12)*INT(MAX(F21:F3532))</f>
        <v>59147.92708121898</v>
      </c>
      <c r="E15" s="18" t="s">
        <v>17</v>
      </c>
      <c r="F15" s="8">
        <v>1</v>
      </c>
    </row>
    <row r="16" spans="1:6" ht="12.75">
      <c r="A16" s="16" t="s">
        <v>18</v>
      </c>
      <c r="B16"/>
      <c r="C16" s="17">
        <f>+C8+C12</f>
        <v>0.7272035711345819</v>
      </c>
      <c r="E16" s="18" t="s">
        <v>19</v>
      </c>
      <c r="F16" s="15">
        <f ca="1">NOW()+15018.5+$C$5/24</f>
        <v>59905.60499560185</v>
      </c>
    </row>
    <row r="17" spans="1:6" ht="12.75">
      <c r="A17" s="18" t="s">
        <v>20</v>
      </c>
      <c r="B17"/>
      <c r="C17">
        <f>COUNT(C21:C2190)</f>
        <v>17</v>
      </c>
      <c r="E17" s="18" t="s">
        <v>21</v>
      </c>
      <c r="F17" s="15">
        <f>ROUND(2*(F16-$C$7)/$C$8,0)/2+F15</f>
        <v>10184</v>
      </c>
    </row>
    <row r="18" spans="1:6" ht="12.75">
      <c r="A18" s="16" t="s">
        <v>22</v>
      </c>
      <c r="B18"/>
      <c r="C18" s="19">
        <f>+C15</f>
        <v>59147.92708121898</v>
      </c>
      <c r="D18" s="20">
        <f>+C16</f>
        <v>0.7272035711345819</v>
      </c>
      <c r="E18" s="18" t="s">
        <v>23</v>
      </c>
      <c r="F18" s="13">
        <f>ROUND(2*(F16-$C$15)/$C$16,0)/2+F15</f>
        <v>1043</v>
      </c>
    </row>
    <row r="19" spans="5:6" ht="12.75">
      <c r="E19" s="18" t="s">
        <v>24</v>
      </c>
      <c r="F19" s="21">
        <f>+$C$15+$C$16*F18-15018.5-$C$5/24</f>
        <v>44888.29623924568</v>
      </c>
    </row>
    <row r="20" spans="1:21" ht="12.75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4" t="s">
        <v>41</v>
      </c>
      <c r="U20" s="23" t="s">
        <v>42</v>
      </c>
    </row>
    <row r="21" spans="1:17" ht="12.75">
      <c r="A21" s="24" t="s">
        <v>43</v>
      </c>
      <c r="B21" s="25" t="s">
        <v>44</v>
      </c>
      <c r="C21" s="26">
        <v>46731.6339</v>
      </c>
      <c r="D21" s="27"/>
      <c r="E21" s="1">
        <f aca="true" t="shared" si="0" ref="E21:E33">+(C21-C$7)/C$8</f>
        <v>-7933.003137901698</v>
      </c>
      <c r="F21" s="1">
        <f aca="true" t="shared" si="1" ref="F21:F35">ROUND(2*E21,0)/2</f>
        <v>-7933</v>
      </c>
      <c r="G21" s="1">
        <f aca="true" t="shared" si="2" ref="G21:G33">+C21-(C$7+F21*C$8)</f>
        <v>-0.0022819000005256385</v>
      </c>
      <c r="J21" s="1">
        <f aca="true" t="shared" si="3" ref="J21:J26">+G21</f>
        <v>-0.0022819000005256385</v>
      </c>
      <c r="O21" s="1">
        <f aca="true" t="shared" si="4" ref="O21:O33">+C$11+C$12*$F21</f>
        <v>0.017125767133179037</v>
      </c>
      <c r="Q21" s="56">
        <f aca="true" t="shared" si="5" ref="Q21:Q33">+C21-15018.5</f>
        <v>31713.1339</v>
      </c>
    </row>
    <row r="22" spans="1:17" ht="12.75">
      <c r="A22" s="24" t="s">
        <v>43</v>
      </c>
      <c r="B22" s="25" t="s">
        <v>44</v>
      </c>
      <c r="C22" s="26">
        <v>47064.6953</v>
      </c>
      <c r="D22" s="28"/>
      <c r="E22" s="1">
        <f t="shared" si="0"/>
        <v>-7475.001502325961</v>
      </c>
      <c r="F22" s="1">
        <f t="shared" si="1"/>
        <v>-7475</v>
      </c>
      <c r="G22" s="1">
        <f t="shared" si="2"/>
        <v>-0.0010925000024144538</v>
      </c>
      <c r="J22" s="1">
        <f t="shared" si="3"/>
        <v>-0.0010925000024144538</v>
      </c>
      <c r="O22" s="1">
        <f t="shared" si="4"/>
        <v>0.016150746771689616</v>
      </c>
      <c r="Q22" s="56">
        <f t="shared" si="5"/>
        <v>32046.1953</v>
      </c>
    </row>
    <row r="23" spans="1:17" ht="12.75">
      <c r="A23" s="24" t="s">
        <v>45</v>
      </c>
      <c r="B23" s="25" t="s">
        <v>44</v>
      </c>
      <c r="C23" s="26">
        <v>47385.3954</v>
      </c>
      <c r="D23" s="28"/>
      <c r="E23" s="1">
        <f t="shared" si="0"/>
        <v>-7033.99822086103</v>
      </c>
      <c r="F23" s="1">
        <f t="shared" si="1"/>
        <v>-7034</v>
      </c>
      <c r="G23" s="1">
        <f t="shared" si="2"/>
        <v>0.0012937999999849126</v>
      </c>
      <c r="J23" s="1">
        <f t="shared" si="3"/>
        <v>0.0012937999999849126</v>
      </c>
      <c r="O23" s="1">
        <f t="shared" si="4"/>
        <v>0.015211917122307884</v>
      </c>
      <c r="Q23" s="56">
        <f t="shared" si="5"/>
        <v>32366.8954</v>
      </c>
    </row>
    <row r="24" spans="1:17" ht="12.75">
      <c r="A24" s="29" t="s">
        <v>46</v>
      </c>
      <c r="B24" s="30" t="s">
        <v>44</v>
      </c>
      <c r="C24" s="29">
        <v>51421.3872</v>
      </c>
      <c r="D24" s="29">
        <v>0.0046</v>
      </c>
      <c r="E24" s="1">
        <f t="shared" si="0"/>
        <v>-1483.997993965124</v>
      </c>
      <c r="F24" s="1">
        <f t="shared" si="1"/>
        <v>-1484</v>
      </c>
      <c r="G24" s="1">
        <f t="shared" si="2"/>
        <v>0.0014587999976356514</v>
      </c>
      <c r="J24" s="1">
        <f t="shared" si="3"/>
        <v>0.0014587999976356514</v>
      </c>
      <c r="O24" s="1">
        <f t="shared" si="4"/>
        <v>0.0033967140518575177</v>
      </c>
      <c r="Q24" s="56">
        <f t="shared" si="5"/>
        <v>36402.8872</v>
      </c>
    </row>
    <row r="25" spans="1:17" ht="12.75">
      <c r="A25" s="29" t="s">
        <v>46</v>
      </c>
      <c r="B25" s="30" t="s">
        <v>44</v>
      </c>
      <c r="C25" s="29">
        <v>51421.3873</v>
      </c>
      <c r="D25" s="29">
        <v>0.001</v>
      </c>
      <c r="E25" s="1">
        <f t="shared" si="0"/>
        <v>-1483.997856452444</v>
      </c>
      <c r="F25" s="1">
        <f t="shared" si="1"/>
        <v>-1484</v>
      </c>
      <c r="G25" s="1">
        <f t="shared" si="2"/>
        <v>0.0015588000023853965</v>
      </c>
      <c r="J25" s="1">
        <f t="shared" si="3"/>
        <v>0.0015588000023853965</v>
      </c>
      <c r="O25" s="1">
        <f t="shared" si="4"/>
        <v>0.0033967140518575177</v>
      </c>
      <c r="Q25" s="56">
        <f t="shared" si="5"/>
        <v>36402.8873</v>
      </c>
    </row>
    <row r="26" spans="1:17" ht="12.75">
      <c r="A26" s="29" t="s">
        <v>46</v>
      </c>
      <c r="B26" s="30" t="s">
        <v>44</v>
      </c>
      <c r="C26" s="29">
        <v>51421.3874</v>
      </c>
      <c r="D26" s="29">
        <v>0.002</v>
      </c>
      <c r="E26" s="1">
        <f t="shared" si="0"/>
        <v>-1483.997718939774</v>
      </c>
      <c r="F26" s="1">
        <f t="shared" si="1"/>
        <v>-1484</v>
      </c>
      <c r="G26" s="1">
        <f t="shared" si="2"/>
        <v>0.001658799999859184</v>
      </c>
      <c r="J26" s="1">
        <f t="shared" si="3"/>
        <v>0.001658799999859184</v>
      </c>
      <c r="O26" s="1">
        <f t="shared" si="4"/>
        <v>0.0033967140518575177</v>
      </c>
      <c r="Q26" s="56">
        <f t="shared" si="5"/>
        <v>36402.8874</v>
      </c>
    </row>
    <row r="27" spans="1:17" ht="12.75">
      <c r="A27" s="27" t="s">
        <v>47</v>
      </c>
      <c r="B27" s="31" t="s">
        <v>44</v>
      </c>
      <c r="C27" s="27">
        <v>52500.559</v>
      </c>
      <c r="D27" s="32"/>
      <c r="E27" s="1">
        <f t="shared" si="0"/>
        <v>0</v>
      </c>
      <c r="F27" s="1">
        <f t="shared" si="1"/>
        <v>0</v>
      </c>
      <c r="G27" s="1">
        <f t="shared" si="2"/>
        <v>0</v>
      </c>
      <c r="I27" s="1">
        <f>+G27</f>
        <v>0</v>
      </c>
      <c r="O27" s="1">
        <f t="shared" si="4"/>
        <v>0.00023747777139835648</v>
      </c>
      <c r="Q27" s="56">
        <f t="shared" si="5"/>
        <v>37482.059</v>
      </c>
    </row>
    <row r="28" spans="1:17" ht="12.75">
      <c r="A28" s="33" t="s">
        <v>48</v>
      </c>
      <c r="B28" s="34" t="s">
        <v>49</v>
      </c>
      <c r="C28" s="33">
        <v>54344.3843</v>
      </c>
      <c r="D28" s="33">
        <v>0.0002</v>
      </c>
      <c r="E28" s="1">
        <f t="shared" si="0"/>
        <v>2535.493464916456</v>
      </c>
      <c r="F28" s="1">
        <f t="shared" si="1"/>
        <v>2535.5</v>
      </c>
      <c r="G28" s="1">
        <f t="shared" si="2"/>
        <v>-0.004752350003400352</v>
      </c>
      <c r="K28" s="1">
        <f aca="true" t="shared" si="6" ref="K28:K33">+G28</f>
        <v>-0.004752350003400352</v>
      </c>
      <c r="O28" s="1">
        <f t="shared" si="4"/>
        <v>-0.005160260496192077</v>
      </c>
      <c r="Q28" s="56">
        <f t="shared" si="5"/>
        <v>39325.8843</v>
      </c>
    </row>
    <row r="29" spans="1:17" ht="12.75">
      <c r="A29" s="33" t="s">
        <v>48</v>
      </c>
      <c r="B29" s="34" t="s">
        <v>44</v>
      </c>
      <c r="C29" s="33">
        <v>54345.4728</v>
      </c>
      <c r="D29" s="33">
        <v>0.0002</v>
      </c>
      <c r="E29" s="1">
        <f t="shared" si="0"/>
        <v>2536.990290367639</v>
      </c>
      <c r="F29" s="1">
        <f t="shared" si="1"/>
        <v>2537</v>
      </c>
      <c r="G29" s="1">
        <f t="shared" si="2"/>
        <v>-0.007060899995849468</v>
      </c>
      <c r="K29" s="1">
        <f t="shared" si="6"/>
        <v>-0.007060899995849468</v>
      </c>
      <c r="O29" s="1">
        <f t="shared" si="4"/>
        <v>-0.005163453794319226</v>
      </c>
      <c r="Q29" s="56">
        <f t="shared" si="5"/>
        <v>39326.9728</v>
      </c>
    </row>
    <row r="30" spans="1:17" ht="12.75">
      <c r="A30" s="29" t="s">
        <v>50</v>
      </c>
      <c r="B30" s="30" t="s">
        <v>44</v>
      </c>
      <c r="C30" s="29">
        <v>55033.40866</v>
      </c>
      <c r="D30" s="29">
        <v>0.0003</v>
      </c>
      <c r="E30" s="1">
        <f t="shared" si="0"/>
        <v>3482.9892834998404</v>
      </c>
      <c r="F30" s="1">
        <f t="shared" si="1"/>
        <v>3483</v>
      </c>
      <c r="G30" s="1">
        <f t="shared" si="2"/>
        <v>-0.007793099997797981</v>
      </c>
      <c r="K30" s="1">
        <f t="shared" si="6"/>
        <v>-0.007793099997797981</v>
      </c>
      <c r="O30" s="1">
        <f t="shared" si="4"/>
        <v>-0.0071773604798410365</v>
      </c>
      <c r="Q30" s="56">
        <f t="shared" si="5"/>
        <v>40014.90866</v>
      </c>
    </row>
    <row r="31" spans="1:17" ht="12.75">
      <c r="A31" s="29" t="s">
        <v>50</v>
      </c>
      <c r="B31" s="30" t="s">
        <v>44</v>
      </c>
      <c r="C31" s="29">
        <v>55446.46482</v>
      </c>
      <c r="D31" s="29">
        <v>0.00022</v>
      </c>
      <c r="E31" s="1">
        <f t="shared" si="0"/>
        <v>4050.9938522209054</v>
      </c>
      <c r="F31" s="1">
        <f t="shared" si="1"/>
        <v>4051</v>
      </c>
      <c r="G31" s="1">
        <f t="shared" si="2"/>
        <v>-0.004470699997909833</v>
      </c>
      <c r="K31" s="1">
        <f t="shared" si="6"/>
        <v>-0.004470699997909833</v>
      </c>
      <c r="O31" s="1">
        <f t="shared" si="4"/>
        <v>-0.008386556037321363</v>
      </c>
      <c r="Q31" s="56">
        <f t="shared" si="5"/>
        <v>40427.96482</v>
      </c>
    </row>
    <row r="32" spans="1:17" ht="12.75">
      <c r="A32" s="29" t="s">
        <v>50</v>
      </c>
      <c r="B32" s="30" t="s">
        <v>44</v>
      </c>
      <c r="C32" s="29">
        <v>55806.42826</v>
      </c>
      <c r="D32" s="29">
        <v>0.00069</v>
      </c>
      <c r="E32" s="1">
        <f t="shared" si="0"/>
        <v>4545.98920222985</v>
      </c>
      <c r="F32" s="1">
        <f t="shared" si="1"/>
        <v>4546</v>
      </c>
      <c r="G32" s="1">
        <f t="shared" si="2"/>
        <v>-0.007852199996705167</v>
      </c>
      <c r="K32" s="1">
        <f t="shared" si="6"/>
        <v>-0.007852199996705167</v>
      </c>
      <c r="O32" s="1">
        <f t="shared" si="4"/>
        <v>-0.009440344419280449</v>
      </c>
      <c r="Q32" s="56">
        <f t="shared" si="5"/>
        <v>40787.92826</v>
      </c>
    </row>
    <row r="33" spans="1:17" ht="12.75">
      <c r="A33" s="27" t="s">
        <v>51</v>
      </c>
      <c r="B33" s="31" t="s">
        <v>44</v>
      </c>
      <c r="C33" s="27">
        <v>56499.45219</v>
      </c>
      <c r="D33" s="27">
        <v>0.0023</v>
      </c>
      <c r="E33" s="1">
        <f t="shared" si="0"/>
        <v>5498.984936449209</v>
      </c>
      <c r="F33" s="1">
        <f t="shared" si="1"/>
        <v>5499</v>
      </c>
      <c r="G33" s="1">
        <f t="shared" si="2"/>
        <v>-0.010954299999866635</v>
      </c>
      <c r="K33" s="1">
        <f t="shared" si="6"/>
        <v>-0.010954299999866635</v>
      </c>
      <c r="O33" s="1">
        <f t="shared" si="4"/>
        <v>-0.011469153162728953</v>
      </c>
      <c r="Q33" s="56">
        <f t="shared" si="5"/>
        <v>41480.95219</v>
      </c>
    </row>
    <row r="34" spans="1:21" ht="12.75">
      <c r="A34" s="35" t="s">
        <v>52</v>
      </c>
      <c r="B34" s="36" t="s">
        <v>44</v>
      </c>
      <c r="C34" s="37">
        <v>57624.44836</v>
      </c>
      <c r="D34" s="37">
        <v>0.0019</v>
      </c>
      <c r="E34" s="1">
        <f>+(C34-C$7)/C$8</f>
        <v>7045.997246721253</v>
      </c>
      <c r="F34" s="1">
        <f t="shared" si="1"/>
        <v>7046</v>
      </c>
      <c r="G34" s="1">
        <f>+C34-(C$7+F34*C$8)</f>
        <v>-0.002002200002607424</v>
      </c>
      <c r="K34" s="1">
        <f>+G34</f>
        <v>-0.002002200002607424</v>
      </c>
      <c r="O34" s="1">
        <f>+C$11+C$12*$F34</f>
        <v>-0.014762507964528363</v>
      </c>
      <c r="Q34" s="56">
        <f>+C34-15018.5</f>
        <v>42605.94836</v>
      </c>
      <c r="U34" s="1">
        <f>+C34-(C$7+F34*C$8)</f>
        <v>-0.002002200002607424</v>
      </c>
    </row>
    <row r="35" spans="1:17" ht="12.75">
      <c r="A35" s="38" t="s">
        <v>53</v>
      </c>
      <c r="B35" s="39" t="s">
        <v>44</v>
      </c>
      <c r="C35" s="40">
        <v>58064.406</v>
      </c>
      <c r="D35" s="40">
        <v>0.007</v>
      </c>
      <c r="E35" s="1">
        <f>+(C35-C$7)/C$8</f>
        <v>7650.994759804553</v>
      </c>
      <c r="F35" s="1">
        <f t="shared" si="1"/>
        <v>7651</v>
      </c>
      <c r="G35" s="1">
        <f>+C35-(C$7+F35*C$8)</f>
        <v>-0.00381070000003092</v>
      </c>
      <c r="K35" s="1">
        <f>+G35</f>
        <v>-0.00381070000003092</v>
      </c>
      <c r="O35" s="1">
        <f>+C$11+C$12*$F35</f>
        <v>-0.016050471542478358</v>
      </c>
      <c r="Q35" s="56">
        <f>+C35-15018.5</f>
        <v>43045.906</v>
      </c>
    </row>
    <row r="36" spans="1:17" ht="12.75">
      <c r="A36" s="41" t="s">
        <v>54</v>
      </c>
      <c r="B36" s="42" t="s">
        <v>44</v>
      </c>
      <c r="C36" s="43">
        <v>59147.911</v>
      </c>
      <c r="D36" s="43" t="s">
        <v>55</v>
      </c>
      <c r="E36" s="1">
        <f>+(C36-C$7)/C$8</f>
        <v>9140.951452938281</v>
      </c>
      <c r="F36" s="1">
        <f>ROUND(2*E36,0)/2</f>
        <v>9141</v>
      </c>
      <c r="G36" s="1">
        <f>+C36-(C$7+F36*C$8)</f>
        <v>-0.035303700002259575</v>
      </c>
      <c r="K36" s="1">
        <f>+G36</f>
        <v>-0.035303700002259575</v>
      </c>
      <c r="O36" s="1">
        <f>+C$11+C$12*$F36</f>
        <v>-0.019222481015446116</v>
      </c>
      <c r="Q36" s="56">
        <f>+C36-15018.5</f>
        <v>44129.411</v>
      </c>
    </row>
    <row r="37" spans="1:17" ht="12.75">
      <c r="A37" s="41" t="s">
        <v>54</v>
      </c>
      <c r="B37" s="42" t="s">
        <v>44</v>
      </c>
      <c r="C37" s="43">
        <v>59147.92</v>
      </c>
      <c r="D37" s="43" t="s">
        <v>56</v>
      </c>
      <c r="E37" s="1">
        <f>+(C37-C$7)/C$8</f>
        <v>9140.963829078893</v>
      </c>
      <c r="F37" s="1">
        <f>ROUND(2*E37,0)/2</f>
        <v>9141</v>
      </c>
      <c r="G37" s="1">
        <f>+C37-(C$7+F37*C$8)</f>
        <v>-0.026303700004064012</v>
      </c>
      <c r="K37" s="1">
        <f>+G37</f>
        <v>-0.026303700004064012</v>
      </c>
      <c r="O37" s="1">
        <f>+C$11+C$12*$F37</f>
        <v>-0.019222481015446116</v>
      </c>
      <c r="Q37" s="56">
        <f>+C37-15018.5</f>
        <v>44129.42</v>
      </c>
    </row>
    <row r="38" ht="12.75">
      <c r="Q38" s="5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9.7109375" style="28" customWidth="1"/>
    <col min="2" max="2" width="4.421875" style="0" customWidth="1"/>
    <col min="3" max="3" width="12.7109375" style="28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8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4" t="s">
        <v>57</v>
      </c>
      <c r="I1" s="45" t="s">
        <v>58</v>
      </c>
      <c r="J1" s="46" t="s">
        <v>35</v>
      </c>
    </row>
    <row r="2" spans="9:10" ht="12.75">
      <c r="I2" s="47" t="s">
        <v>59</v>
      </c>
      <c r="J2" s="48" t="s">
        <v>34</v>
      </c>
    </row>
    <row r="3" spans="1:10" ht="12.75">
      <c r="A3" s="49" t="s">
        <v>60</v>
      </c>
      <c r="I3" s="47" t="s">
        <v>61</v>
      </c>
      <c r="J3" s="48" t="s">
        <v>32</v>
      </c>
    </row>
    <row r="4" spans="9:10" ht="12.75">
      <c r="I4" s="47" t="s">
        <v>62</v>
      </c>
      <c r="J4" s="48" t="s">
        <v>32</v>
      </c>
    </row>
    <row r="5" spans="9:10" ht="12.75">
      <c r="I5" s="50" t="s">
        <v>63</v>
      </c>
      <c r="J5" s="51" t="s">
        <v>33</v>
      </c>
    </row>
    <row r="11" spans="1:16" ht="12.75" customHeight="1">
      <c r="A11" s="28" t="str">
        <f aca="true" t="shared" si="0" ref="A11:A22">P11</f>
        <v>IBVS 4855 </v>
      </c>
      <c r="B11" s="3" t="str">
        <f aca="true" t="shared" si="1" ref="B11:B22">IF(H11=INT(H11),"I","II")</f>
        <v>I</v>
      </c>
      <c r="C11" s="28">
        <f aca="true" t="shared" si="2" ref="C11:C22">1*G11</f>
        <v>51421.3872</v>
      </c>
      <c r="D11" t="str">
        <f aca="true" t="shared" si="3" ref="D11:D22">VLOOKUP(F11,I$1:J$5,2,FALSE)</f>
        <v>vis</v>
      </c>
      <c r="E11">
        <f>VLOOKUP(C11,A!C$21:E$973,3,FALSE)</f>
        <v>-1483.997993965124</v>
      </c>
      <c r="F11" s="3" t="s">
        <v>63</v>
      </c>
      <c r="G11" t="str">
        <f aca="true" t="shared" si="4" ref="G11:G22">MID(I11,3,LEN(I11)-3)</f>
        <v>51421.3872</v>
      </c>
      <c r="H11" s="28">
        <f aca="true" t="shared" si="5" ref="H11:H22">1*K11</f>
        <v>-1484</v>
      </c>
      <c r="I11" s="52" t="s">
        <v>64</v>
      </c>
      <c r="J11" s="53" t="s">
        <v>65</v>
      </c>
      <c r="K11" s="52">
        <v>-1484</v>
      </c>
      <c r="L11" s="52" t="s">
        <v>66</v>
      </c>
      <c r="M11" s="53" t="s">
        <v>67</v>
      </c>
      <c r="N11" s="53" t="s">
        <v>68</v>
      </c>
      <c r="O11" s="54" t="s">
        <v>69</v>
      </c>
      <c r="P11" s="55" t="s">
        <v>70</v>
      </c>
    </row>
    <row r="12" spans="1:16" ht="12.75" customHeight="1">
      <c r="A12" s="28" t="str">
        <f t="shared" si="0"/>
        <v>IBVS 4855 </v>
      </c>
      <c r="B12" s="3" t="str">
        <f t="shared" si="1"/>
        <v>I</v>
      </c>
      <c r="C12" s="28">
        <f t="shared" si="2"/>
        <v>51421.3873</v>
      </c>
      <c r="D12" t="str">
        <f t="shared" si="3"/>
        <v>vis</v>
      </c>
      <c r="E12">
        <f>VLOOKUP(C12,A!C$21:E$973,3,FALSE)</f>
        <v>-1483.997856452444</v>
      </c>
      <c r="F12" s="3" t="s">
        <v>63</v>
      </c>
      <c r="G12" t="str">
        <f t="shared" si="4"/>
        <v>51421.3873</v>
      </c>
      <c r="H12" s="28">
        <f t="shared" si="5"/>
        <v>-1484</v>
      </c>
      <c r="I12" s="52" t="s">
        <v>71</v>
      </c>
      <c r="J12" s="53" t="s">
        <v>65</v>
      </c>
      <c r="K12" s="52">
        <v>-1484</v>
      </c>
      <c r="L12" s="52" t="s">
        <v>72</v>
      </c>
      <c r="M12" s="53" t="s">
        <v>67</v>
      </c>
      <c r="N12" s="53" t="s">
        <v>73</v>
      </c>
      <c r="O12" s="54" t="s">
        <v>69</v>
      </c>
      <c r="P12" s="55" t="s">
        <v>70</v>
      </c>
    </row>
    <row r="13" spans="1:16" ht="12.75" customHeight="1">
      <c r="A13" s="28" t="str">
        <f t="shared" si="0"/>
        <v>IBVS 4855 </v>
      </c>
      <c r="B13" s="3" t="str">
        <f t="shared" si="1"/>
        <v>I</v>
      </c>
      <c r="C13" s="28">
        <f t="shared" si="2"/>
        <v>51421.3874</v>
      </c>
      <c r="D13" t="str">
        <f t="shared" si="3"/>
        <v>vis</v>
      </c>
      <c r="E13">
        <f>VLOOKUP(C13,A!C$21:E$973,3,FALSE)</f>
        <v>-1483.997718939774</v>
      </c>
      <c r="F13" s="3" t="s">
        <v>63</v>
      </c>
      <c r="G13" t="str">
        <f t="shared" si="4"/>
        <v>51421.3874</v>
      </c>
      <c r="H13" s="28">
        <f t="shared" si="5"/>
        <v>-1484</v>
      </c>
      <c r="I13" s="52" t="s">
        <v>74</v>
      </c>
      <c r="J13" s="53" t="s">
        <v>65</v>
      </c>
      <c r="K13" s="52">
        <v>-1484</v>
      </c>
      <c r="L13" s="52" t="s">
        <v>75</v>
      </c>
      <c r="M13" s="53" t="s">
        <v>67</v>
      </c>
      <c r="N13" s="53" t="s">
        <v>76</v>
      </c>
      <c r="O13" s="54" t="s">
        <v>69</v>
      </c>
      <c r="P13" s="55" t="s">
        <v>70</v>
      </c>
    </row>
    <row r="14" spans="1:16" ht="12.75" customHeight="1">
      <c r="A14" s="28" t="str">
        <f t="shared" si="0"/>
        <v>IBVS 5897 </v>
      </c>
      <c r="B14" s="3" t="str">
        <f t="shared" si="1"/>
        <v>II</v>
      </c>
      <c r="C14" s="28">
        <f t="shared" si="2"/>
        <v>54344.3843</v>
      </c>
      <c r="D14" t="str">
        <f t="shared" si="3"/>
        <v>vis</v>
      </c>
      <c r="E14">
        <f>VLOOKUP(C14,A!C$21:E$973,3,FALSE)</f>
        <v>2535.493464916456</v>
      </c>
      <c r="F14" s="3" t="s">
        <v>63</v>
      </c>
      <c r="G14" t="str">
        <f t="shared" si="4"/>
        <v>54344.3843</v>
      </c>
      <c r="H14" s="28">
        <f t="shared" si="5"/>
        <v>2535.5</v>
      </c>
      <c r="I14" s="52" t="s">
        <v>77</v>
      </c>
      <c r="J14" s="53" t="s">
        <v>78</v>
      </c>
      <c r="K14" s="52">
        <v>2535.5</v>
      </c>
      <c r="L14" s="52" t="s">
        <v>79</v>
      </c>
      <c r="M14" s="53" t="s">
        <v>80</v>
      </c>
      <c r="N14" s="53" t="s">
        <v>81</v>
      </c>
      <c r="O14" s="54" t="s">
        <v>82</v>
      </c>
      <c r="P14" s="55" t="s">
        <v>83</v>
      </c>
    </row>
    <row r="15" spans="1:16" ht="12.75" customHeight="1">
      <c r="A15" s="28" t="str">
        <f t="shared" si="0"/>
        <v>IBVS 5897 </v>
      </c>
      <c r="B15" s="3" t="str">
        <f t="shared" si="1"/>
        <v>I</v>
      </c>
      <c r="C15" s="28">
        <f t="shared" si="2"/>
        <v>54345.4728</v>
      </c>
      <c r="D15" t="str">
        <f t="shared" si="3"/>
        <v>vis</v>
      </c>
      <c r="E15">
        <f>VLOOKUP(C15,A!C$21:E$973,3,FALSE)</f>
        <v>2536.990290367639</v>
      </c>
      <c r="F15" s="3" t="s">
        <v>63</v>
      </c>
      <c r="G15" t="str">
        <f t="shared" si="4"/>
        <v>54345.4728</v>
      </c>
      <c r="H15" s="28">
        <f t="shared" si="5"/>
        <v>2537</v>
      </c>
      <c r="I15" s="52" t="s">
        <v>84</v>
      </c>
      <c r="J15" s="53" t="s">
        <v>85</v>
      </c>
      <c r="K15" s="52">
        <v>2537</v>
      </c>
      <c r="L15" s="52" t="s">
        <v>86</v>
      </c>
      <c r="M15" s="53" t="s">
        <v>80</v>
      </c>
      <c r="N15" s="53" t="s">
        <v>81</v>
      </c>
      <c r="O15" s="54" t="s">
        <v>82</v>
      </c>
      <c r="P15" s="55" t="s">
        <v>83</v>
      </c>
    </row>
    <row r="16" spans="1:16" ht="12.75" customHeight="1">
      <c r="A16" s="28" t="str">
        <f t="shared" si="0"/>
        <v>IBVS 6007 </v>
      </c>
      <c r="B16" s="3" t="str">
        <f t="shared" si="1"/>
        <v>I</v>
      </c>
      <c r="C16" s="28">
        <f t="shared" si="2"/>
        <v>55033.40866</v>
      </c>
      <c r="D16" t="str">
        <f t="shared" si="3"/>
        <v>vis</v>
      </c>
      <c r="E16">
        <f>VLOOKUP(C16,A!C$21:E$973,3,FALSE)</f>
        <v>3482.9892834998404</v>
      </c>
      <c r="F16" s="3" t="s">
        <v>63</v>
      </c>
      <c r="G16" t="str">
        <f t="shared" si="4"/>
        <v>55033.40866</v>
      </c>
      <c r="H16" s="28">
        <f t="shared" si="5"/>
        <v>3483</v>
      </c>
      <c r="I16" s="52" t="s">
        <v>87</v>
      </c>
      <c r="J16" s="53" t="s">
        <v>88</v>
      </c>
      <c r="K16" s="52">
        <v>3483</v>
      </c>
      <c r="L16" s="52" t="s">
        <v>89</v>
      </c>
      <c r="M16" s="53" t="s">
        <v>80</v>
      </c>
      <c r="N16" s="53" t="s">
        <v>76</v>
      </c>
      <c r="O16" s="54" t="s">
        <v>90</v>
      </c>
      <c r="P16" s="55" t="s">
        <v>91</v>
      </c>
    </row>
    <row r="17" spans="1:16" ht="12.75" customHeight="1">
      <c r="A17" s="28" t="str">
        <f t="shared" si="0"/>
        <v>IBVS 6007 </v>
      </c>
      <c r="B17" s="3" t="str">
        <f t="shared" si="1"/>
        <v>I</v>
      </c>
      <c r="C17" s="28">
        <f t="shared" si="2"/>
        <v>55446.46482</v>
      </c>
      <c r="D17" t="str">
        <f t="shared" si="3"/>
        <v>vis</v>
      </c>
      <c r="E17">
        <f>VLOOKUP(C17,A!C$21:E$973,3,FALSE)</f>
        <v>4050.9938522209054</v>
      </c>
      <c r="F17" s="3" t="s">
        <v>63</v>
      </c>
      <c r="G17" t="str">
        <f t="shared" si="4"/>
        <v>55446.46482</v>
      </c>
      <c r="H17" s="28">
        <f t="shared" si="5"/>
        <v>4051</v>
      </c>
      <c r="I17" s="52" t="s">
        <v>92</v>
      </c>
      <c r="J17" s="53" t="s">
        <v>93</v>
      </c>
      <c r="K17" s="52">
        <v>4051</v>
      </c>
      <c r="L17" s="52" t="s">
        <v>94</v>
      </c>
      <c r="M17" s="53" t="s">
        <v>80</v>
      </c>
      <c r="N17" s="53" t="s">
        <v>58</v>
      </c>
      <c r="O17" s="54" t="s">
        <v>90</v>
      </c>
      <c r="P17" s="55" t="s">
        <v>91</v>
      </c>
    </row>
    <row r="18" spans="1:16" ht="12.75" customHeight="1">
      <c r="A18" s="28" t="str">
        <f t="shared" si="0"/>
        <v>IBVS 6007 </v>
      </c>
      <c r="B18" s="3" t="str">
        <f t="shared" si="1"/>
        <v>I</v>
      </c>
      <c r="C18" s="28">
        <f t="shared" si="2"/>
        <v>55806.42826</v>
      </c>
      <c r="D18" t="str">
        <f t="shared" si="3"/>
        <v>vis</v>
      </c>
      <c r="E18">
        <f>VLOOKUP(C18,A!C$21:E$973,3,FALSE)</f>
        <v>4545.98920222985</v>
      </c>
      <c r="F18" s="3" t="s">
        <v>63</v>
      </c>
      <c r="G18" t="str">
        <f t="shared" si="4"/>
        <v>55806.42826</v>
      </c>
      <c r="H18" s="28">
        <f t="shared" si="5"/>
        <v>4546</v>
      </c>
      <c r="I18" s="52" t="s">
        <v>95</v>
      </c>
      <c r="J18" s="53" t="s">
        <v>96</v>
      </c>
      <c r="K18" s="52">
        <v>4546</v>
      </c>
      <c r="L18" s="52" t="s">
        <v>97</v>
      </c>
      <c r="M18" s="53" t="s">
        <v>80</v>
      </c>
      <c r="N18" s="53" t="s">
        <v>58</v>
      </c>
      <c r="O18" s="54" t="s">
        <v>90</v>
      </c>
      <c r="P18" s="55" t="s">
        <v>91</v>
      </c>
    </row>
    <row r="19" spans="1:16" ht="12.75" customHeight="1">
      <c r="A19" s="28" t="str">
        <f t="shared" si="0"/>
        <v>IBVS 6114 </v>
      </c>
      <c r="B19" s="3" t="str">
        <f t="shared" si="1"/>
        <v>I</v>
      </c>
      <c r="C19" s="28">
        <f t="shared" si="2"/>
        <v>56499.45219</v>
      </c>
      <c r="D19" t="str">
        <f t="shared" si="3"/>
        <v>vis</v>
      </c>
      <c r="E19">
        <f>VLOOKUP(C19,A!C$21:E$973,3,FALSE)</f>
        <v>5498.984936449209</v>
      </c>
      <c r="F19" s="3" t="s">
        <v>63</v>
      </c>
      <c r="G19" t="str">
        <f t="shared" si="4"/>
        <v>56499.45219</v>
      </c>
      <c r="H19" s="28">
        <f t="shared" si="5"/>
        <v>5499</v>
      </c>
      <c r="I19" s="52" t="s">
        <v>98</v>
      </c>
      <c r="J19" s="53" t="s">
        <v>99</v>
      </c>
      <c r="K19" s="52">
        <v>5499</v>
      </c>
      <c r="L19" s="52" t="s">
        <v>100</v>
      </c>
      <c r="M19" s="53" t="s">
        <v>80</v>
      </c>
      <c r="N19" s="53" t="s">
        <v>58</v>
      </c>
      <c r="O19" s="54" t="s">
        <v>90</v>
      </c>
      <c r="P19" s="55" t="s">
        <v>101</v>
      </c>
    </row>
    <row r="20" spans="1:16" ht="12.75" customHeight="1">
      <c r="A20" s="28" t="str">
        <f t="shared" si="0"/>
        <v>IBVS 3160 </v>
      </c>
      <c r="B20" s="3" t="str">
        <f t="shared" si="1"/>
        <v>I</v>
      </c>
      <c r="C20" s="28">
        <f t="shared" si="2"/>
        <v>46731.6339</v>
      </c>
      <c r="D20" t="str">
        <f t="shared" si="3"/>
        <v>vis</v>
      </c>
      <c r="E20">
        <f>VLOOKUP(C20,A!C$21:E$973,3,FALSE)</f>
        <v>-7933.003137901698</v>
      </c>
      <c r="F20" s="3" t="s">
        <v>63</v>
      </c>
      <c r="G20" t="str">
        <f t="shared" si="4"/>
        <v>46731.6339</v>
      </c>
      <c r="H20" s="28">
        <f t="shared" si="5"/>
        <v>-2382</v>
      </c>
      <c r="I20" s="52" t="s">
        <v>102</v>
      </c>
      <c r="J20" s="53" t="s">
        <v>103</v>
      </c>
      <c r="K20" s="52">
        <v>-2382</v>
      </c>
      <c r="L20" s="52" t="s">
        <v>104</v>
      </c>
      <c r="M20" s="53" t="s">
        <v>67</v>
      </c>
      <c r="N20" s="53" t="s">
        <v>105</v>
      </c>
      <c r="O20" s="54" t="s">
        <v>106</v>
      </c>
      <c r="P20" s="55" t="s">
        <v>43</v>
      </c>
    </row>
    <row r="21" spans="1:16" ht="12.75" customHeight="1">
      <c r="A21" s="28" t="str">
        <f t="shared" si="0"/>
        <v>IBVS 3160 </v>
      </c>
      <c r="B21" s="3" t="str">
        <f t="shared" si="1"/>
        <v>I</v>
      </c>
      <c r="C21" s="28">
        <f t="shared" si="2"/>
        <v>47064.6953</v>
      </c>
      <c r="D21" t="str">
        <f t="shared" si="3"/>
        <v>vis</v>
      </c>
      <c r="E21">
        <f>VLOOKUP(C21,A!C$21:E$973,3,FALSE)</f>
        <v>-7475.001502325961</v>
      </c>
      <c r="F21" s="3" t="s">
        <v>63</v>
      </c>
      <c r="G21" t="str">
        <f t="shared" si="4"/>
        <v>47064.6953</v>
      </c>
      <c r="H21" s="28">
        <f t="shared" si="5"/>
        <v>-1924</v>
      </c>
      <c r="I21" s="52" t="s">
        <v>107</v>
      </c>
      <c r="J21" s="53" t="s">
        <v>108</v>
      </c>
      <c r="K21" s="52">
        <v>-1924</v>
      </c>
      <c r="L21" s="52" t="s">
        <v>109</v>
      </c>
      <c r="M21" s="53" t="s">
        <v>67</v>
      </c>
      <c r="N21" s="53" t="s">
        <v>105</v>
      </c>
      <c r="O21" s="54" t="s">
        <v>106</v>
      </c>
      <c r="P21" s="55" t="s">
        <v>43</v>
      </c>
    </row>
    <row r="22" spans="1:16" ht="12.75" customHeight="1">
      <c r="A22" s="28" t="str">
        <f t="shared" si="0"/>
        <v>IBVS 3355 </v>
      </c>
      <c r="B22" s="3" t="str">
        <f t="shared" si="1"/>
        <v>I</v>
      </c>
      <c r="C22" s="28">
        <f t="shared" si="2"/>
        <v>47385.3954</v>
      </c>
      <c r="D22" t="str">
        <f t="shared" si="3"/>
        <v>vis</v>
      </c>
      <c r="E22">
        <f>VLOOKUP(C22,A!C$21:E$973,3,FALSE)</f>
        <v>-7033.99822086103</v>
      </c>
      <c r="F22" s="3" t="s">
        <v>63</v>
      </c>
      <c r="G22" t="str">
        <f t="shared" si="4"/>
        <v>47385.3954</v>
      </c>
      <c r="H22" s="28">
        <f t="shared" si="5"/>
        <v>-1483</v>
      </c>
      <c r="I22" s="52" t="s">
        <v>110</v>
      </c>
      <c r="J22" s="53" t="s">
        <v>111</v>
      </c>
      <c r="K22" s="52">
        <v>-1483</v>
      </c>
      <c r="L22" s="52" t="s">
        <v>112</v>
      </c>
      <c r="M22" s="53" t="s">
        <v>67</v>
      </c>
      <c r="N22" s="53" t="s">
        <v>105</v>
      </c>
      <c r="O22" s="54" t="s">
        <v>113</v>
      </c>
      <c r="P22" s="55" t="s">
        <v>45</v>
      </c>
    </row>
  </sheetData>
  <sheetProtection selectLockedCells="1" selectUnlockedCells="1"/>
  <hyperlinks>
    <hyperlink ref="P11" r:id="rId1" display="IBVS 4855 "/>
    <hyperlink ref="P12" r:id="rId2" display="IBVS 4855 "/>
    <hyperlink ref="P13" r:id="rId3" display="IBVS 4855 "/>
    <hyperlink ref="P14" r:id="rId4" display="IBVS 5897 "/>
    <hyperlink ref="P15" r:id="rId5" display="IBVS 5897 "/>
    <hyperlink ref="P16" r:id="rId6" display="IBVS 6007 "/>
    <hyperlink ref="P17" r:id="rId7" display="IBVS 6007 "/>
    <hyperlink ref="P18" r:id="rId8" display="IBVS 6007 "/>
    <hyperlink ref="P19" r:id="rId9" display="IBVS 6114 "/>
    <hyperlink ref="P20" r:id="rId10" display="IBVS 3160 "/>
    <hyperlink ref="P21" r:id="rId11" display="IBVS 3160 "/>
    <hyperlink ref="P22" r:id="rId12" display="IBVS 3355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2022-11-22T01:31:11Z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