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743EA356-A0E4-493A-BFFE-215F81016132}" xr6:coauthVersionLast="47" xr6:coauthVersionMax="47" xr10:uidLastSave="{00000000-0000-0000-0000-000000000000}"/>
  <bookViews>
    <workbookView xWindow="13530" yWindow="465" windowWidth="12735" windowHeight="14580"/>
  </bookViews>
  <sheets>
    <sheet name="Active1" sheetId="1" r:id="rId1"/>
    <sheet name="Active 2" sheetId="2" r:id="rId2"/>
    <sheet name="Active 3" sheetId="3" r:id="rId3"/>
  </sheets>
  <calcPr calcId="181029"/>
</workbook>
</file>

<file path=xl/calcChain.xml><?xml version="1.0" encoding="utf-8"?>
<calcChain xmlns="http://schemas.openxmlformats.org/spreadsheetml/2006/main">
  <c r="E31" i="3" l="1"/>
  <c r="F31" i="3" s="1"/>
  <c r="Q31" i="3"/>
  <c r="E32" i="3"/>
  <c r="F32" i="3" s="1"/>
  <c r="G32" i="3" s="1"/>
  <c r="K32" i="3" s="1"/>
  <c r="Q32" i="3"/>
  <c r="E33" i="3"/>
  <c r="F33" i="3" s="1"/>
  <c r="G33" i="3" s="1"/>
  <c r="K33" i="3" s="1"/>
  <c r="Q33" i="3"/>
  <c r="E34" i="3"/>
  <c r="F34" i="3"/>
  <c r="G34" i="3" s="1"/>
  <c r="K34" i="3" s="1"/>
  <c r="Q34" i="3"/>
  <c r="E35" i="3"/>
  <c r="F35" i="3" s="1"/>
  <c r="G35" i="3" s="1"/>
  <c r="K35" i="3" s="1"/>
  <c r="Q35" i="3"/>
  <c r="E36" i="3"/>
  <c r="F36" i="3"/>
  <c r="G36" i="3" s="1"/>
  <c r="K36" i="3" s="1"/>
  <c r="Q36" i="3"/>
  <c r="E32" i="2"/>
  <c r="F32" i="2" s="1"/>
  <c r="G32" i="2" s="1"/>
  <c r="K32" i="2" s="1"/>
  <c r="Q32" i="2"/>
  <c r="E33" i="2"/>
  <c r="F33" i="2" s="1"/>
  <c r="G33" i="2" s="1"/>
  <c r="K33" i="2" s="1"/>
  <c r="Q33" i="2"/>
  <c r="E34" i="2"/>
  <c r="F34" i="2" s="1"/>
  <c r="G34" i="2" s="1"/>
  <c r="K34" i="2" s="1"/>
  <c r="Q34" i="2"/>
  <c r="E35" i="2"/>
  <c r="F35" i="2"/>
  <c r="G35" i="2" s="1"/>
  <c r="K35" i="2" s="1"/>
  <c r="Q35" i="2"/>
  <c r="E36" i="2"/>
  <c r="F36" i="2"/>
  <c r="G36" i="2"/>
  <c r="K36" i="2" s="1"/>
  <c r="Q36" i="2"/>
  <c r="E32" i="1"/>
  <c r="F32" i="1" s="1"/>
  <c r="G32" i="1" s="1"/>
  <c r="K32" i="1" s="1"/>
  <c r="Q32" i="1"/>
  <c r="E33" i="1"/>
  <c r="F33" i="1" s="1"/>
  <c r="G33" i="1" s="1"/>
  <c r="K33" i="1" s="1"/>
  <c r="Q33" i="1"/>
  <c r="E34" i="1"/>
  <c r="F34" i="1"/>
  <c r="G34" i="1" s="1"/>
  <c r="K34" i="1" s="1"/>
  <c r="Q34" i="1"/>
  <c r="E35" i="1"/>
  <c r="F35" i="1"/>
  <c r="G35" i="1" s="1"/>
  <c r="K35" i="1" s="1"/>
  <c r="Q35" i="1"/>
  <c r="E36" i="1"/>
  <c r="F36" i="1" s="1"/>
  <c r="G36" i="1" s="1"/>
  <c r="K36" i="1" s="1"/>
  <c r="Q36" i="1"/>
  <c r="C9" i="3"/>
  <c r="D9" i="3"/>
  <c r="E22" i="3"/>
  <c r="F22" i="3"/>
  <c r="G22" i="3"/>
  <c r="K22" i="3"/>
  <c r="E23" i="3"/>
  <c r="F23" i="3"/>
  <c r="G23" i="3"/>
  <c r="K23" i="3"/>
  <c r="E24" i="3"/>
  <c r="F24" i="3"/>
  <c r="G24" i="3"/>
  <c r="K24" i="3"/>
  <c r="E25" i="3"/>
  <c r="F25" i="3"/>
  <c r="G25" i="3"/>
  <c r="K25" i="3"/>
  <c r="E26" i="3"/>
  <c r="F26" i="3"/>
  <c r="G26" i="3"/>
  <c r="K26" i="3"/>
  <c r="E27" i="3"/>
  <c r="F27" i="3"/>
  <c r="G27" i="3"/>
  <c r="K27" i="3"/>
  <c r="E28" i="3"/>
  <c r="F28" i="3"/>
  <c r="G28" i="3"/>
  <c r="K28" i="3"/>
  <c r="E29" i="3"/>
  <c r="F29" i="3"/>
  <c r="G29" i="3"/>
  <c r="K29" i="3"/>
  <c r="E30" i="3"/>
  <c r="F30" i="3"/>
  <c r="G30" i="3"/>
  <c r="K30" i="3"/>
  <c r="F16" i="3"/>
  <c r="F17" i="3" s="1"/>
  <c r="A21" i="3"/>
  <c r="C21" i="3"/>
  <c r="C17" i="3"/>
  <c r="Q21" i="3"/>
  <c r="Q22" i="3"/>
  <c r="Q23" i="3"/>
  <c r="Q24" i="3"/>
  <c r="Q25" i="3"/>
  <c r="Q26" i="3"/>
  <c r="Q27" i="3"/>
  <c r="Q28" i="3"/>
  <c r="Q29" i="3"/>
  <c r="Q30" i="3"/>
  <c r="C9" i="2"/>
  <c r="D9" i="2"/>
  <c r="E21" i="2"/>
  <c r="F21" i="2"/>
  <c r="E22" i="2"/>
  <c r="F22" i="2"/>
  <c r="G22" i="2"/>
  <c r="K22" i="2"/>
  <c r="E23" i="2"/>
  <c r="F23" i="2"/>
  <c r="G23" i="2"/>
  <c r="E24" i="2"/>
  <c r="F24" i="2"/>
  <c r="G24" i="2"/>
  <c r="K24" i="2"/>
  <c r="E25" i="2"/>
  <c r="F25" i="2"/>
  <c r="G25" i="2"/>
  <c r="K25" i="2"/>
  <c r="E26" i="2"/>
  <c r="F26" i="2"/>
  <c r="G26" i="2"/>
  <c r="K26" i="2"/>
  <c r="E27" i="2"/>
  <c r="F27" i="2"/>
  <c r="G27" i="2"/>
  <c r="K27" i="2"/>
  <c r="E28" i="2"/>
  <c r="F28" i="2"/>
  <c r="G28" i="2"/>
  <c r="E29" i="2"/>
  <c r="F29" i="2"/>
  <c r="G29" i="2"/>
  <c r="K29" i="2"/>
  <c r="E30" i="2"/>
  <c r="F30" i="2"/>
  <c r="G30" i="2"/>
  <c r="K30" i="2"/>
  <c r="E31" i="2"/>
  <c r="F31" i="2"/>
  <c r="G31" i="2"/>
  <c r="F16" i="2"/>
  <c r="F17" i="2" s="1"/>
  <c r="A21" i="2"/>
  <c r="C21" i="2"/>
  <c r="Q22" i="2"/>
  <c r="K23" i="2"/>
  <c r="Q23" i="2"/>
  <c r="Q24" i="2"/>
  <c r="Q25" i="2"/>
  <c r="Q26" i="2"/>
  <c r="Q27" i="2"/>
  <c r="K28" i="2"/>
  <c r="Q28" i="2"/>
  <c r="Q29" i="2"/>
  <c r="Q30" i="2"/>
  <c r="K31" i="2"/>
  <c r="Q31" i="2"/>
  <c r="E31" i="1"/>
  <c r="F31" i="1"/>
  <c r="G31" i="1"/>
  <c r="K31" i="1"/>
  <c r="Q31" i="1"/>
  <c r="E29" i="1"/>
  <c r="F29" i="1"/>
  <c r="G29" i="1"/>
  <c r="K29" i="1"/>
  <c r="E30" i="1"/>
  <c r="F30" i="1"/>
  <c r="G30" i="1"/>
  <c r="K30" i="1"/>
  <c r="Q29" i="1"/>
  <c r="Q30" i="1"/>
  <c r="E28" i="1"/>
  <c r="F28" i="1"/>
  <c r="G28" i="1"/>
  <c r="K28" i="1"/>
  <c r="D9" i="1"/>
  <c r="C9" i="1"/>
  <c r="C21" i="1"/>
  <c r="E21" i="1"/>
  <c r="F21" i="1"/>
  <c r="E22" i="1"/>
  <c r="F22" i="1"/>
  <c r="G22" i="1"/>
  <c r="K22" i="1"/>
  <c r="E23" i="1"/>
  <c r="F23" i="1"/>
  <c r="G23" i="1"/>
  <c r="K23" i="1"/>
  <c r="E24" i="1"/>
  <c r="F24" i="1"/>
  <c r="G24" i="1"/>
  <c r="K24" i="1"/>
  <c r="E25" i="1"/>
  <c r="F25" i="1"/>
  <c r="G25" i="1"/>
  <c r="K25" i="1"/>
  <c r="E26" i="1"/>
  <c r="F26" i="1"/>
  <c r="G26" i="1"/>
  <c r="K26" i="1"/>
  <c r="E27" i="1"/>
  <c r="F27" i="1"/>
  <c r="G27" i="1"/>
  <c r="K27" i="1"/>
  <c r="Q28" i="1"/>
  <c r="Q22" i="1"/>
  <c r="Q23" i="1"/>
  <c r="Q24" i="1"/>
  <c r="Q25" i="1"/>
  <c r="Q26" i="1"/>
  <c r="Q27" i="1"/>
  <c r="A21" i="1"/>
  <c r="F16" i="1"/>
  <c r="F17" i="1" s="1"/>
  <c r="C17" i="1"/>
  <c r="G21" i="1"/>
  <c r="G21" i="2"/>
  <c r="Q21" i="2"/>
  <c r="Q21" i="1"/>
  <c r="C17" i="2"/>
  <c r="E21" i="3"/>
  <c r="F21" i="3"/>
  <c r="G21" i="3"/>
  <c r="I21" i="3"/>
  <c r="I21" i="2"/>
  <c r="I21" i="1"/>
  <c r="C12" i="2"/>
  <c r="C12" i="1"/>
  <c r="C11" i="1"/>
  <c r="C11" i="2"/>
  <c r="U31" i="3" l="1"/>
  <c r="G31" i="3"/>
  <c r="O36" i="2"/>
  <c r="R36" i="2" s="1"/>
  <c r="O35" i="2"/>
  <c r="R35" i="2" s="1"/>
  <c r="O34" i="2"/>
  <c r="R34" i="2" s="1"/>
  <c r="O33" i="2"/>
  <c r="R33" i="2" s="1"/>
  <c r="O32" i="2"/>
  <c r="R32" i="2" s="1"/>
  <c r="O36" i="1"/>
  <c r="R36" i="1" s="1"/>
  <c r="O35" i="1"/>
  <c r="R35" i="1" s="1"/>
  <c r="O34" i="1"/>
  <c r="R34" i="1" s="1"/>
  <c r="O33" i="1"/>
  <c r="R33" i="1" s="1"/>
  <c r="O32" i="1"/>
  <c r="R32" i="1" s="1"/>
  <c r="O22" i="2"/>
  <c r="R22" i="2" s="1"/>
  <c r="O27" i="2"/>
  <c r="R27" i="2" s="1"/>
  <c r="O30" i="2"/>
  <c r="R30" i="2" s="1"/>
  <c r="O24" i="2"/>
  <c r="R24" i="2" s="1"/>
  <c r="O29" i="2"/>
  <c r="R29" i="2" s="1"/>
  <c r="O21" i="2"/>
  <c r="R21" i="2" s="1"/>
  <c r="O26" i="2"/>
  <c r="R26" i="2" s="1"/>
  <c r="O31" i="2"/>
  <c r="R31" i="2" s="1"/>
  <c r="O25" i="2"/>
  <c r="R25" i="2" s="1"/>
  <c r="C15" i="2"/>
  <c r="O23" i="2"/>
  <c r="R23" i="2" s="1"/>
  <c r="O28" i="2"/>
  <c r="R28" i="2" s="1"/>
  <c r="O27" i="1"/>
  <c r="R27" i="1" s="1"/>
  <c r="O25" i="1"/>
  <c r="R25" i="1" s="1"/>
  <c r="O22" i="1"/>
  <c r="R22" i="1" s="1"/>
  <c r="O26" i="1"/>
  <c r="R26" i="1" s="1"/>
  <c r="C15" i="1"/>
  <c r="O23" i="1"/>
  <c r="R23" i="1" s="1"/>
  <c r="O21" i="1"/>
  <c r="R21" i="1" s="1"/>
  <c r="O28" i="1"/>
  <c r="R28" i="1" s="1"/>
  <c r="O31" i="1"/>
  <c r="R31" i="1" s="1"/>
  <c r="O29" i="1"/>
  <c r="R29" i="1" s="1"/>
  <c r="O24" i="1"/>
  <c r="R24" i="1" s="1"/>
  <c r="O30" i="1"/>
  <c r="R30" i="1" s="1"/>
  <c r="C16" i="1"/>
  <c r="D18" i="1" s="1"/>
  <c r="C16" i="2"/>
  <c r="D18" i="2" s="1"/>
  <c r="C11" i="3"/>
  <c r="C12" i="3"/>
  <c r="C16" i="3" l="1"/>
  <c r="D18" i="3" s="1"/>
  <c r="O35" i="3"/>
  <c r="R35" i="3" s="1"/>
  <c r="O34" i="3"/>
  <c r="R34" i="3" s="1"/>
  <c r="O33" i="3"/>
  <c r="R33" i="3" s="1"/>
  <c r="O32" i="3"/>
  <c r="R32" i="3" s="1"/>
  <c r="O31" i="3"/>
  <c r="R31" i="3" s="1"/>
  <c r="O36" i="3"/>
  <c r="R36" i="3" s="1"/>
  <c r="O29" i="3"/>
  <c r="R29" i="3" s="1"/>
  <c r="O23" i="3"/>
  <c r="R23" i="3" s="1"/>
  <c r="C15" i="3"/>
  <c r="C18" i="3" s="1"/>
  <c r="O24" i="3"/>
  <c r="R24" i="3" s="1"/>
  <c r="O28" i="3"/>
  <c r="R28" i="3" s="1"/>
  <c r="O21" i="3"/>
  <c r="R21" i="3" s="1"/>
  <c r="O22" i="3"/>
  <c r="R22" i="3" s="1"/>
  <c r="O26" i="3"/>
  <c r="R26" i="3" s="1"/>
  <c r="O27" i="3"/>
  <c r="R27" i="3" s="1"/>
  <c r="O25" i="3"/>
  <c r="R25" i="3" s="1"/>
  <c r="O30" i="3"/>
  <c r="R30" i="3" s="1"/>
  <c r="K31" i="3"/>
  <c r="R17" i="2"/>
  <c r="R17" i="1"/>
  <c r="F18" i="2"/>
  <c r="F19" i="2" s="1"/>
  <c r="C18" i="2"/>
  <c r="C18" i="1"/>
  <c r="F18" i="1"/>
  <c r="F19" i="1" s="1"/>
  <c r="F18" i="3" l="1"/>
  <c r="F19" i="3" s="1"/>
  <c r="R17" i="3"/>
</calcChain>
</file>

<file path=xl/sharedStrings.xml><?xml version="1.0" encoding="utf-8"?>
<sst xmlns="http://schemas.openxmlformats.org/spreadsheetml/2006/main" count="235" uniqueCount="59">
  <si>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</si>
  <si>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</si>
  <si>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</si>
  <si>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</si>
  <si>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</si>
  <si>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</si>
  <si>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</si>
  <si>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</si>
  <si>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</si>
  <si>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</si>
  <si>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</si>
  <si>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</si>
  <si>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</si>
  <si>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</si>
  <si>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</si>
  <si>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</si>
  <si>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</si>
  <si>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</si>
  <si>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</si>
  <si>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</si>
  <si>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</si>
  <si>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</si>
  <si>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</si>
  <si>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</si>
  <si>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</si>
  <si>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</si>
  <si>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</si>
  <si>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</si>
  <si>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</si>
  <si>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</si>
  <si>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</si>
  <si>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</si>
  <si>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</si>
  <si>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</si>
  <si>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</si>
  <si>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</si>
  <si>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</si>
  <si>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</si>
  <si>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</si>
  <si>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V0576 Peg</t>
  </si>
  <si>
    <t>V0576 Peg / GSC 1718-1664</t>
  </si>
  <si>
    <t>EW</t>
  </si>
  <si>
    <t>VSX</t>
  </si>
  <si>
    <t>IBVS 5920</t>
  </si>
  <si>
    <t>I</t>
  </si>
  <si>
    <t>II</t>
  </si>
  <si>
    <t>IBVS 5960</t>
  </si>
  <si>
    <t>IBVS 6011</t>
  </si>
  <si>
    <t>IBVS 6042</t>
  </si>
  <si>
    <t>pg</t>
  </si>
  <si>
    <t>vis</t>
  </si>
  <si>
    <t>PE</t>
  </si>
  <si>
    <t>CCD</t>
  </si>
  <si>
    <t>G1718-1664</t>
  </si>
  <si>
    <t>IBVS 6195</t>
  </si>
  <si>
    <t>RHN 2019</t>
  </si>
  <si>
    <t>BAD?</t>
  </si>
  <si>
    <t>Checked by ToMcat 2019-08-29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</si>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</sst>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3" formatCode="0.00000"/>
  </numFmts>
  <fonts count="35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23" fillId="0" borderId="0"/>
    <xf numFmtId="0" fontId="23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45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41" applyFont="1"/>
    <xf numFmtId="0" fontId="16" fillId="0" borderId="0" xfId="41" applyFont="1" applyAlignment="1">
      <alignment horizontal="center" wrapText="1"/>
    </xf>
    <xf numFmtId="0" fontId="16" fillId="0" borderId="0" xfId="41" applyFont="1" applyAlignment="1">
      <alignment horizontal="left" wrapText="1"/>
    </xf>
    <xf numFmtId="0" fontId="0" fillId="0" borderId="0" xfId="0" applyNumberFormat="1" applyAlignment="1"/>
    <xf numFmtId="0" fontId="33" fillId="0" borderId="0" xfId="0" applyFont="1" applyAlignment="1"/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V0576 Peg - O-C Diagr.</a:t>
            </a:r>
          </a:p>
        </c:rich>
      </c:tx>
      <c:layout>
        <c:manualLayout>
          <c:xMode val="edge"/>
          <c:yMode val="edge"/>
          <c:x val="0.3466208145125706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1786459280948"/>
          <c:y val="0.14035127795846455"/>
          <c:w val="0.7850959850045908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Active1!$H$20:$H$20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Active1!$D$21:$D$239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Active1!$D$21:$D$239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2A-4604-9590-E4CA65591668}"/>
            </c:ext>
          </c:extLst>
        </c:ser>
        <c:ser>
          <c:idx val="1"/>
          <c:order val="1"/>
          <c:tx>
            <c:strRef>
              <c:f>Active1!$I$20:$I$20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2A-4604-9590-E4CA65591668}"/>
            </c:ext>
          </c:extLst>
        </c:ser>
        <c:ser>
          <c:idx val="3"/>
          <c:order val="2"/>
          <c:tx>
            <c:strRef>
              <c:f>Active1!$J$20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2A-4604-9590-E4CA65591668}"/>
            </c:ext>
          </c:extLst>
        </c:ser>
        <c:ser>
          <c:idx val="4"/>
          <c:order val="3"/>
          <c:tx>
            <c:strRef>
              <c:f>Active1!$K$20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Active1!$K$21:$K$999</c:f>
              <c:numCache>
                <c:formatCode>General</c:formatCode>
                <c:ptCount val="979"/>
                <c:pt idx="1">
                  <c:v>-2.7249999911873601E-3</c:v>
                </c:pt>
                <c:pt idx="2">
                  <c:v>2.2874999995110556E-3</c:v>
                </c:pt>
                <c:pt idx="3">
                  <c:v>2.4500000072293915E-3</c:v>
                </c:pt>
                <c:pt idx="4">
                  <c:v>-1.6249999971478246E-3</c:v>
                </c:pt>
                <c:pt idx="5">
                  <c:v>-8.8874999928520992E-3</c:v>
                </c:pt>
                <c:pt idx="6">
                  <c:v>-1.0074999998323619E-2</c:v>
                </c:pt>
                <c:pt idx="7">
                  <c:v>-1.7149999992398079E-2</c:v>
                </c:pt>
                <c:pt idx="8">
                  <c:v>-8.7500000008731149E-3</c:v>
                </c:pt>
                <c:pt idx="9">
                  <c:v>-5.0374999991618097E-3</c:v>
                </c:pt>
                <c:pt idx="10">
                  <c:v>-2.7625000002444722E-3</c:v>
                </c:pt>
                <c:pt idx="11">
                  <c:v>-4.2124999963562004E-3</c:v>
                </c:pt>
                <c:pt idx="12">
                  <c:v>-2.3999999975785613E-3</c:v>
                </c:pt>
                <c:pt idx="13">
                  <c:v>-3.6999999938416295E-3</c:v>
                </c:pt>
                <c:pt idx="14">
                  <c:v>-1.7874999975902028E-3</c:v>
                </c:pt>
                <c:pt idx="15">
                  <c:v>-3.4749999977066182E-3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2A-4604-9590-E4CA65591668}"/>
            </c:ext>
          </c:extLst>
        </c:ser>
        <c:ser>
          <c:idx val="2"/>
          <c:order val="4"/>
          <c:tx>
            <c:strRef>
              <c:f>Active1!$L$20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2A-4604-9590-E4CA65591668}"/>
            </c:ext>
          </c:extLst>
        </c:ser>
        <c:ser>
          <c:idx val="5"/>
          <c:order val="5"/>
          <c:tx>
            <c:strRef>
              <c:f>Active1!$M$20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2A-4604-9590-E4CA65591668}"/>
            </c:ext>
          </c:extLst>
        </c:ser>
        <c:ser>
          <c:idx val="6"/>
          <c:order val="6"/>
          <c:tx>
            <c:strRef>
              <c:f>Active1!$N$20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Active1!$D$21:$D$999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2A-4604-9590-E4CA65591668}"/>
            </c:ext>
          </c:extLst>
        </c:ser>
        <c:ser>
          <c:idx val="7"/>
          <c:order val="7"/>
          <c:tx>
            <c:strRef>
              <c:f>Active1!$O$20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Active1!$O$21:$O$999</c:f>
              <c:numCache>
                <c:formatCode>General</c:formatCode>
                <c:ptCount val="979"/>
                <c:pt idx="0">
                  <c:v>-2.521903197988019E-3</c:v>
                </c:pt>
                <c:pt idx="1">
                  <c:v>-2.9654828371978277E-3</c:v>
                </c:pt>
                <c:pt idx="2">
                  <c:v>-2.9655574887695563E-3</c:v>
                </c:pt>
                <c:pt idx="3">
                  <c:v>-3.172566297172249E-3</c:v>
                </c:pt>
                <c:pt idx="4">
                  <c:v>-3.3871149143195039E-3</c:v>
                </c:pt>
                <c:pt idx="5">
                  <c:v>-3.5981549075955275E-3</c:v>
                </c:pt>
                <c:pt idx="6">
                  <c:v>-3.5982295591672556E-3</c:v>
                </c:pt>
                <c:pt idx="7">
                  <c:v>-4.3974492860908865E-3</c:v>
                </c:pt>
                <c:pt idx="8">
                  <c:v>-4.6261817018665267E-3</c:v>
                </c:pt>
                <c:pt idx="9">
                  <c:v>-4.6262563534382548E-3</c:v>
                </c:pt>
                <c:pt idx="10">
                  <c:v>-5.0387809388090735E-3</c:v>
                </c:pt>
                <c:pt idx="11">
                  <c:v>-5.2606454099857064E-3</c:v>
                </c:pt>
                <c:pt idx="12">
                  <c:v>-5.2607200615574345E-3</c:v>
                </c:pt>
                <c:pt idx="13">
                  <c:v>-5.4769110132827127E-3</c:v>
                </c:pt>
                <c:pt idx="14">
                  <c:v>-5.4769856648544417E-3</c:v>
                </c:pt>
                <c:pt idx="15">
                  <c:v>-5.4770603164261706E-3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2A-4604-9590-E4CA65591668}"/>
            </c:ext>
          </c:extLst>
        </c:ser>
        <c:ser>
          <c:idx val="8"/>
          <c:order val="8"/>
          <c:tx>
            <c:strRef>
              <c:f>Active1!$U$20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Active1!$F$21:$F$999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2971</c:v>
                </c:pt>
                <c:pt idx="2">
                  <c:v>2971.5</c:v>
                </c:pt>
                <c:pt idx="3">
                  <c:v>4358</c:v>
                </c:pt>
                <c:pt idx="4">
                  <c:v>5795</c:v>
                </c:pt>
                <c:pt idx="5">
                  <c:v>7208.5</c:v>
                </c:pt>
                <c:pt idx="6">
                  <c:v>7209</c:v>
                </c:pt>
                <c:pt idx="7">
                  <c:v>12562</c:v>
                </c:pt>
                <c:pt idx="8">
                  <c:v>14094</c:v>
                </c:pt>
                <c:pt idx="9">
                  <c:v>14094.5</c:v>
                </c:pt>
                <c:pt idx="10">
                  <c:v>16857.5</c:v>
                </c:pt>
                <c:pt idx="11">
                  <c:v>18343.5</c:v>
                </c:pt>
                <c:pt idx="12">
                  <c:v>18344</c:v>
                </c:pt>
                <c:pt idx="13">
                  <c:v>19792</c:v>
                </c:pt>
                <c:pt idx="14">
                  <c:v>19792.5</c:v>
                </c:pt>
                <c:pt idx="15">
                  <c:v>19793</c:v>
                </c:pt>
              </c:numCache>
            </c:numRef>
          </c:xVal>
          <c:yVal>
            <c:numRef>
              <c:f>Active1!$U$21:$U$999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B2A-4604-9590-E4CA65591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09664"/>
        <c:axId val="1"/>
      </c:scatterChart>
      <c:valAx>
        <c:axId val="75010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3296533340611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726169844020795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096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11110049718656"/>
          <c:y val="0.92397937099967764"/>
          <c:w val="0.82322429800261099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V0576 Peg - O-C Diagr.</a:t>
            </a:r>
          </a:p>
        </c:rich>
      </c:tx>
      <c:layout>
        <c:manualLayout>
          <c:xMode val="edge"/>
          <c:yMode val="edge"/>
          <c:x val="0.34707957897015446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79408255826247"/>
          <c:y val="0.14035127795846455"/>
          <c:w val="0.7869429012009053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E7-48B3-A3DF-D7371129DC29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E7-48B3-A3DF-D7371129DC29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E7-48B3-A3DF-D7371129DC29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2'!$K$21:$K$999</c:f>
              <c:numCache>
                <c:formatCode>General</c:formatCode>
                <c:ptCount val="979"/>
                <c:pt idx="1">
                  <c:v>-3.4239999949932098E-3</c:v>
                </c:pt>
                <c:pt idx="2">
                  <c:v>6.6399999996065162E-3</c:v>
                </c:pt>
                <c:pt idx="3">
                  <c:v>-1.4559999908669852E-3</c:v>
                </c:pt>
                <c:pt idx="4">
                  <c:v>2.680000034160912E-4</c:v>
                </c:pt>
                <c:pt idx="5">
                  <c:v>9.4560000070487149E-3</c:v>
                </c:pt>
                <c:pt idx="6">
                  <c:v>1.3320000005478505E-2</c:v>
                </c:pt>
                <c:pt idx="7">
                  <c:v>7.908000006864313E-3</c:v>
                </c:pt>
                <c:pt idx="8">
                  <c:v>-1.0395999997854233E-2</c:v>
                </c:pt>
                <c:pt idx="9">
                  <c:v>-1.6319999995175749E-3</c:v>
                </c:pt>
                <c:pt idx="10">
                  <c:v>7.131999998819083E-3</c:v>
                </c:pt>
                <c:pt idx="11">
                  <c:v>1.0384000001067761E-2</c:v>
                </c:pt>
                <c:pt idx="12">
                  <c:v>1.7248000003746711E-2</c:v>
                </c:pt>
                <c:pt idx="13">
                  <c:v>8.8440000035916455E-3</c:v>
                </c:pt>
                <c:pt idx="14">
                  <c:v>1.5808000003744382E-2</c:v>
                </c:pt>
                <c:pt idx="15">
                  <c:v>1.9172000007529277E-2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E7-48B3-A3DF-D7371129DC29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E7-48B3-A3DF-D7371129DC29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E7-48B3-A3DF-D7371129DC29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E7-48B3-A3DF-D7371129DC29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2'!$O$21:$O$999</c:f>
              <c:numCache>
                <c:formatCode>General</c:formatCode>
                <c:ptCount val="979"/>
                <c:pt idx="0">
                  <c:v>-7.9030830851217412E-4</c:v>
                </c:pt>
                <c:pt idx="1">
                  <c:v>1.0149683114744389E-3</c:v>
                </c:pt>
                <c:pt idx="2">
                  <c:v>1.0152602384828457E-3</c:v>
                </c:pt>
                <c:pt idx="3">
                  <c:v>1.857761584744386E-3</c:v>
                </c:pt>
                <c:pt idx="4">
                  <c:v>2.7309152668886227E-3</c:v>
                </c:pt>
                <c:pt idx="5">
                  <c:v>3.5897645256209344E-3</c:v>
                </c:pt>
                <c:pt idx="6">
                  <c:v>3.5900564526293414E-3</c:v>
                </c:pt>
                <c:pt idx="7">
                  <c:v>6.8427071802960367E-3</c:v>
                </c:pt>
                <c:pt idx="8">
                  <c:v>7.7736624101047858E-3</c:v>
                </c:pt>
                <c:pt idx="9">
                  <c:v>7.7739543371131929E-3</c:v>
                </c:pt>
                <c:pt idx="10">
                  <c:v>9.4528265624597343E-3</c:v>
                </c:pt>
                <c:pt idx="11">
                  <c:v>1.0355756799461447E-2</c:v>
                </c:pt>
                <c:pt idx="12">
                  <c:v>1.0356048726469854E-2</c:v>
                </c:pt>
                <c:pt idx="13">
                  <c:v>1.1235916729807444E-2</c:v>
                </c:pt>
                <c:pt idx="14">
                  <c:v>1.1236208656815849E-2</c:v>
                </c:pt>
                <c:pt idx="15">
                  <c:v>1.1236500583824256E-2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2E7-48B3-A3DF-D7371129DC29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3092</c:v>
                </c:pt>
                <c:pt idx="2">
                  <c:v>3092.5</c:v>
                </c:pt>
                <c:pt idx="3">
                  <c:v>4535.5</c:v>
                </c:pt>
                <c:pt idx="4">
                  <c:v>6031</c:v>
                </c:pt>
                <c:pt idx="5">
                  <c:v>7502</c:v>
                </c:pt>
                <c:pt idx="6">
                  <c:v>7502.5</c:v>
                </c:pt>
                <c:pt idx="7">
                  <c:v>13073.5</c:v>
                </c:pt>
                <c:pt idx="8">
                  <c:v>14668</c:v>
                </c:pt>
                <c:pt idx="9">
                  <c:v>14668.5</c:v>
                </c:pt>
                <c:pt idx="10">
                  <c:v>17544</c:v>
                </c:pt>
                <c:pt idx="11">
                  <c:v>19090.5</c:v>
                </c:pt>
                <c:pt idx="12">
                  <c:v>19091</c:v>
                </c:pt>
                <c:pt idx="13">
                  <c:v>20598</c:v>
                </c:pt>
                <c:pt idx="14">
                  <c:v>20598.5</c:v>
                </c:pt>
                <c:pt idx="15">
                  <c:v>20599</c:v>
                </c:pt>
              </c:numCache>
            </c:numRef>
          </c:xVal>
          <c:yVal>
            <c:numRef>
              <c:f>'Active 2'!$U$21:$U$999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2E7-48B3-A3DF-D7371129D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13928"/>
        <c:axId val="1"/>
      </c:scatterChart>
      <c:valAx>
        <c:axId val="750113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9287370006584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64604810996562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13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10345356314996"/>
          <c:y val="0.92397937099967764"/>
          <c:w val="0.81615264586772007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V0576 Peg - O-C Diagr.</a:t>
            </a:r>
          </a:p>
        </c:rich>
      </c:tx>
      <c:layout>
        <c:manualLayout>
          <c:xMode val="edge"/>
          <c:yMode val="edge"/>
          <c:x val="0.34707957897015446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4847869093423"/>
          <c:y val="0.14035127795846455"/>
          <c:w val="0.79725219684982562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3'!$H$20:$H$20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3'!$D$21:$D$239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D2-43F7-962D-74C5D228DACB}"/>
            </c:ext>
          </c:extLst>
        </c:ser>
        <c:ser>
          <c:idx val="1"/>
          <c:order val="1"/>
          <c:tx>
            <c:strRef>
              <c:f>'Active 3'!$I$20:$I$20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D2-43F7-962D-74C5D228DACB}"/>
            </c:ext>
          </c:extLst>
        </c:ser>
        <c:ser>
          <c:idx val="3"/>
          <c:order val="2"/>
          <c:tx>
            <c:strRef>
              <c:f>'Active 3'!$J$20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D2-43F7-962D-74C5D228DACB}"/>
            </c:ext>
          </c:extLst>
        </c:ser>
        <c:ser>
          <c:idx val="4"/>
          <c:order val="3"/>
          <c:tx>
            <c:strRef>
              <c:f>'Active 3'!$K$20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3'!$K$21:$K$999</c:f>
              <c:numCache>
                <c:formatCode>General</c:formatCode>
                <c:ptCount val="979"/>
                <c:pt idx="1">
                  <c:v>1.5523500005656388E-2</c:v>
                </c:pt>
                <c:pt idx="2">
                  <c:v>1.8306999998458195E-2</c:v>
                </c:pt>
                <c:pt idx="3">
                  <c:v>9.3280000073718838E-3</c:v>
                </c:pt>
                <c:pt idx="4">
                  <c:v>3.3615500004088972E-2</c:v>
                </c:pt>
                <c:pt idx="5">
                  <c:v>2.8162000002339482E-2</c:v>
                </c:pt>
                <c:pt idx="6">
                  <c:v>2.4745500006247312E-2</c:v>
                </c:pt>
                <c:pt idx="7">
                  <c:v>5.3599500002746936E-2</c:v>
                </c:pt>
                <c:pt idx="8">
                  <c:v>6.0801499996159691E-2</c:v>
                </c:pt>
                <c:pt idx="9">
                  <c:v>6.2284999999974389E-2</c:v>
                </c:pt>
                <c:pt idx="10">
                  <c:v>-4.0459499999997206E-2</c:v>
                </c:pt>
                <c:pt idx="11">
                  <c:v>3.0643999998574145E-2</c:v>
                </c:pt>
                <c:pt idx="12">
                  <c:v>3.0227500006731134E-2</c:v>
                </c:pt>
                <c:pt idx="13">
                  <c:v>8.2520000069052912E-3</c:v>
                </c:pt>
                <c:pt idx="14">
                  <c:v>7.9355000052601099E-3</c:v>
                </c:pt>
                <c:pt idx="15">
                  <c:v>4.0190000072470866E-3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D2-43F7-962D-74C5D228DACB}"/>
            </c:ext>
          </c:extLst>
        </c:ser>
        <c:ser>
          <c:idx val="2"/>
          <c:order val="4"/>
          <c:tx>
            <c:strRef>
              <c:f>'Active 3'!$L$20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D2-43F7-962D-74C5D228DACB}"/>
            </c:ext>
          </c:extLst>
        </c:ser>
        <c:ser>
          <c:idx val="5"/>
          <c:order val="5"/>
          <c:tx>
            <c:strRef>
              <c:f>'Active 3'!$M$20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DD2-43F7-962D-74C5D228DACB}"/>
            </c:ext>
          </c:extLst>
        </c:ser>
        <c:ser>
          <c:idx val="6"/>
          <c:order val="6"/>
          <c:tx>
            <c:strRef>
              <c:f>'Active 3'!$N$20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plus>
            <c:minus>
              <c:numRef>
                <c:f>'Active 3'!$D$21:$D$999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6.9999999999999999E-4</c:v>
                  </c:pt>
                  <c:pt idx="3">
                    <c:v>5.9999999999999995E-4</c:v>
                  </c:pt>
                  <c:pt idx="4">
                    <c:v>5.0000000000000001E-4</c:v>
                  </c:pt>
                  <c:pt idx="5">
                    <c:v>3.0000000000000003E-4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1E-4</c:v>
                  </c:pt>
                  <c:pt idx="9">
                    <c:v>2.5000000000000001E-3</c:v>
                  </c:pt>
                  <c:pt idx="10">
                    <c:v>2.9999999999999997E-4</c:v>
                  </c:pt>
                  <c:pt idx="11">
                    <c:v>1.5E-3</c:v>
                  </c:pt>
                  <c:pt idx="12">
                    <c:v>1.6000000000000001E-3</c:v>
                  </c:pt>
                  <c:pt idx="13">
                    <c:v>8.9999999999999998E-4</c:v>
                  </c:pt>
                  <c:pt idx="14">
                    <c:v>1.2999999999999999E-3</c:v>
                  </c:pt>
                  <c:pt idx="15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D2-43F7-962D-74C5D228DACB}"/>
            </c:ext>
          </c:extLst>
        </c:ser>
        <c:ser>
          <c:idx val="7"/>
          <c:order val="7"/>
          <c:tx>
            <c:strRef>
              <c:f>'Active 3'!$O$20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3'!$O$21:$O$999</c:f>
              <c:numCache>
                <c:formatCode>General</c:formatCode>
                <c:ptCount val="979"/>
                <c:pt idx="0">
                  <c:v>2.2221008397320854E-2</c:v>
                </c:pt>
                <c:pt idx="1">
                  <c:v>2.2083093103599977E-2</c:v>
                </c:pt>
                <c:pt idx="2">
                  <c:v>2.2083069492010571E-2</c:v>
                </c:pt>
                <c:pt idx="3">
                  <c:v>2.2018704299289614E-2</c:v>
                </c:pt>
                <c:pt idx="4">
                  <c:v>2.1952001559217456E-2</c:v>
                </c:pt>
                <c:pt idx="5">
                  <c:v>2.1886384952257976E-2</c:v>
                </c:pt>
                <c:pt idx="6">
                  <c:v>2.188636134066857E-2</c:v>
                </c:pt>
                <c:pt idx="7">
                  <c:v>2.1637872973759048E-2</c:v>
                </c:pt>
                <c:pt idx="8">
                  <c:v>2.1566754866467953E-2</c:v>
                </c:pt>
                <c:pt idx="9">
                  <c:v>2.1566731254878548E-2</c:v>
                </c:pt>
                <c:pt idx="10">
                  <c:v>2.1438449489635348E-2</c:v>
                </c:pt>
                <c:pt idx="11">
                  <c:v>2.1369480036980207E-2</c:v>
                </c:pt>
                <c:pt idx="12">
                  <c:v>2.1369456425390801E-2</c:v>
                </c:pt>
                <c:pt idx="13">
                  <c:v>2.130223423035171E-2</c:v>
                </c:pt>
                <c:pt idx="14">
                  <c:v>2.1302210618762304E-2</c:v>
                </c:pt>
                <c:pt idx="15">
                  <c:v>2.1302187007172894E-2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DD2-43F7-962D-74C5D228DACB}"/>
            </c:ext>
          </c:extLst>
        </c:ser>
        <c:ser>
          <c:idx val="8"/>
          <c:order val="8"/>
          <c:tx>
            <c:strRef>
              <c:f>'Active 3'!$U$20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3'!$F$21:$F$999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2920.5</c:v>
                </c:pt>
                <c:pt idx="2">
                  <c:v>2921</c:v>
                </c:pt>
                <c:pt idx="3">
                  <c:v>4284</c:v>
                </c:pt>
                <c:pt idx="4">
                  <c:v>5696.5</c:v>
                </c:pt>
                <c:pt idx="5">
                  <c:v>7086</c:v>
                </c:pt>
                <c:pt idx="6">
                  <c:v>7086.5</c:v>
                </c:pt>
                <c:pt idx="7">
                  <c:v>12348.5</c:v>
                </c:pt>
                <c:pt idx="8">
                  <c:v>13854.5</c:v>
                </c:pt>
                <c:pt idx="9">
                  <c:v>13855</c:v>
                </c:pt>
                <c:pt idx="10">
                  <c:v>16571.5</c:v>
                </c:pt>
                <c:pt idx="11">
                  <c:v>18032</c:v>
                </c:pt>
                <c:pt idx="12">
                  <c:v>18032.5</c:v>
                </c:pt>
                <c:pt idx="13">
                  <c:v>19456</c:v>
                </c:pt>
                <c:pt idx="14">
                  <c:v>19456.5</c:v>
                </c:pt>
                <c:pt idx="15">
                  <c:v>19457</c:v>
                </c:pt>
              </c:numCache>
            </c:numRef>
          </c:xVal>
          <c:yVal>
            <c:numRef>
              <c:f>'Active 3'!$U$21:$U$999</c:f>
              <c:numCache>
                <c:formatCode>General</c:formatCode>
                <c:ptCount val="979"/>
                <c:pt idx="10">
                  <c:v>-4.0459499999997206E-2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DD2-43F7-962D-74C5D228D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11960"/>
        <c:axId val="1"/>
      </c:scatterChart>
      <c:valAx>
        <c:axId val="750111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740978254007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3264604810996562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1119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979399482281209"/>
          <c:y val="0.92397937099967764"/>
          <c:w val="0.8264619242182355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15</xdr:col>
      <xdr:colOff>466725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33F3BC2-FA3E-02BD-D132-A9A706EE90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15</xdr:col>
      <xdr:colOff>495300</xdr:colOff>
      <xdr:row>19</xdr:row>
      <xdr:rowOff>0</xdr:rowOff>
    </xdr:to>
    <xdr:graphicFrame macro="">
      <xdr:nvGraphicFramePr>
        <xdr:cNvPr id="50178" name="Chart 1">
          <a:extLst>
            <a:ext uri="{FF2B5EF4-FFF2-40B4-BE49-F238E27FC236}">
              <a16:creationId xmlns:a16="http://schemas.microsoft.com/office/drawing/2014/main" id="{80FDAA54-FB3E-FD2E-FA0E-ABCE3EA70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15</xdr:col>
      <xdr:colOff>495300</xdr:colOff>
      <xdr:row>19</xdr:row>
      <xdr:rowOff>0</xdr:rowOff>
    </xdr:to>
    <xdr:graphicFrame macro="">
      <xdr:nvGraphicFramePr>
        <xdr:cNvPr id="52226" name="Chart 1">
          <a:extLst>
            <a:ext uri="{FF2B5EF4-FFF2-40B4-BE49-F238E27FC236}">
              <a16:creationId xmlns:a16="http://schemas.microsoft.com/office/drawing/2014/main" id="{1710D350-383C-4DA1-919D-7B0087C0E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</sheetPr>
  <dimension ref="A1:U6940"/>
  <sheetViews>
    <sheetView tabSelected="1" workbookViewId="0">
      <selection activeCell="F11" sqref="F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9.140625" customWidth="1"/>
  </cols>
  <sheetData>
    <row r="1" spans="1:6" ht="20.25" x14ac:dyDescent="0.3">
      <c r="A1" s="1" t="s">
        <v>40</v>
      </c>
    </row>
    <row r="2" spans="1:6" x14ac:dyDescent="0.2">
      <c r="A2" t="s">
        <v>24</v>
      </c>
      <c r="B2" t="s">
        <v>41</v>
      </c>
      <c r="C2" s="3"/>
      <c r="D2" s="3"/>
      <c r="E2" s="30" t="s">
        <v>39</v>
      </c>
      <c r="F2" t="s">
        <v>53</v>
      </c>
    </row>
    <row r="3" spans="1:6" ht="13.5" thickBot="1" x14ac:dyDescent="0.25"/>
    <row r="4" spans="1:6" ht="14.25" thickTop="1" thickBot="1" x14ac:dyDescent="0.25">
      <c r="A4" s="5" t="s">
        <v>1</v>
      </c>
      <c r="C4" s="27" t="s">
        <v>38</v>
      </c>
      <c r="D4" s="28" t="s">
        <v>38</v>
      </c>
    </row>
    <row r="5" spans="1:6" ht="13.5" thickTop="1" x14ac:dyDescent="0.2">
      <c r="A5" s="9" t="s">
        <v>29</v>
      </c>
      <c r="B5" s="10"/>
      <c r="C5" s="11">
        <v>-9.5</v>
      </c>
      <c r="D5" s="10" t="s">
        <v>30</v>
      </c>
    </row>
    <row r="6" spans="1:6" x14ac:dyDescent="0.2">
      <c r="A6" s="5" t="s">
        <v>2</v>
      </c>
    </row>
    <row r="7" spans="1:6" x14ac:dyDescent="0.2">
      <c r="A7" t="s">
        <v>3</v>
      </c>
      <c r="C7" s="8">
        <v>54372.595999999998</v>
      </c>
      <c r="D7" s="29" t="s">
        <v>42</v>
      </c>
    </row>
    <row r="8" spans="1:6" x14ac:dyDescent="0.2">
      <c r="A8" t="s">
        <v>4</v>
      </c>
      <c r="C8" s="8">
        <v>0.25817499999999999</v>
      </c>
      <c r="D8" s="29" t="s">
        <v>42</v>
      </c>
      <c r="E8" s="41" t="s">
        <v>57</v>
      </c>
    </row>
    <row r="9" spans="1:6" x14ac:dyDescent="0.2">
      <c r="A9" s="24" t="s">
        <v>33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6" x14ac:dyDescent="0.2">
      <c r="A11" s="10" t="s">
        <v>16</v>
      </c>
      <c r="B11" s="10"/>
      <c r="C11" s="21">
        <f ca="1">INTERCEPT(INDIRECT($D$9):G992,INDIRECT($C$9):F992)</f>
        <v>-2.521903197988019E-3</v>
      </c>
      <c r="D11" s="3"/>
      <c r="E11" s="10"/>
    </row>
    <row r="12" spans="1:6" x14ac:dyDescent="0.2">
      <c r="A12" s="10" t="s">
        <v>17</v>
      </c>
      <c r="B12" s="10"/>
      <c r="C12" s="21">
        <f ca="1">SLOPE(INDIRECT($D$9):G992,INDIRECT($C$9):F992)</f>
        <v>-1.4930314345668423E-7</v>
      </c>
      <c r="D12" s="3"/>
      <c r="E12" s="10"/>
    </row>
    <row r="13" spans="1:6" x14ac:dyDescent="0.2">
      <c r="A13" s="10" t="s">
        <v>19</v>
      </c>
      <c r="B13" s="10"/>
      <c r="C13" s="3" t="s">
        <v>14</v>
      </c>
    </row>
    <row r="14" spans="1:6" x14ac:dyDescent="0.2">
      <c r="A14" s="10"/>
      <c r="B14" s="10"/>
      <c r="C14" s="10"/>
    </row>
    <row r="15" spans="1:6" x14ac:dyDescent="0.2">
      <c r="A15" s="12" t="s">
        <v>18</v>
      </c>
      <c r="B15" s="10"/>
      <c r="C15" s="13">
        <f ca="1">(C7+C11)+(C8+C12)*INT(MAX(F21:F3533))</f>
        <v>59482.648297939682</v>
      </c>
      <c r="E15" s="14" t="s">
        <v>35</v>
      </c>
      <c r="F15" s="11">
        <v>1</v>
      </c>
    </row>
    <row r="16" spans="1:6" x14ac:dyDescent="0.2">
      <c r="A16" s="16" t="s">
        <v>5</v>
      </c>
      <c r="B16" s="10"/>
      <c r="C16" s="17">
        <f ca="1">+C8+C12</f>
        <v>0.25817485069685653</v>
      </c>
      <c r="E16" s="14" t="s">
        <v>31</v>
      </c>
      <c r="F16" s="15">
        <f ca="1">NOW()+15018.5+$C$5/24</f>
        <v>59965.791556828699</v>
      </c>
    </row>
    <row r="17" spans="1:21" ht="13.5" thickBot="1" x14ac:dyDescent="0.25">
      <c r="A17" s="14" t="s">
        <v>28</v>
      </c>
      <c r="B17" s="10"/>
      <c r="C17" s="10">
        <f>COUNT(C21:C2191)</f>
        <v>16</v>
      </c>
      <c r="E17" s="14" t="s">
        <v>36</v>
      </c>
      <c r="F17" s="15">
        <f ca="1">ROUND(2*(F16-$C$7)/$C$8,0)/2+F15</f>
        <v>21665.5</v>
      </c>
      <c r="R17">
        <f ca="1">SQRT(SUM(R21:R31)/COUNT(R21:R31))</f>
        <v>5.4241922014683936E-3</v>
      </c>
    </row>
    <row r="18" spans="1:21" ht="14.25" thickTop="1" thickBot="1" x14ac:dyDescent="0.25">
      <c r="A18" s="16" t="s">
        <v>6</v>
      </c>
      <c r="B18" s="10"/>
      <c r="C18" s="19">
        <f ca="1">+C15</f>
        <v>59482.648297939682</v>
      </c>
      <c r="D18" s="20">
        <f ca="1">+C16</f>
        <v>0.25817485069685653</v>
      </c>
      <c r="E18" s="14" t="s">
        <v>37</v>
      </c>
      <c r="F18" s="23">
        <f ca="1">ROUND(2*(F16-$C$15)/$C$16,0)/2+F15</f>
        <v>1872.5</v>
      </c>
    </row>
    <row r="19" spans="1:21" ht="13.5" thickTop="1" x14ac:dyDescent="0.2">
      <c r="E19" s="14" t="s">
        <v>32</v>
      </c>
      <c r="F19" s="18">
        <f ca="1">+$C$15+$C$16*F18-15018.5-$C$5/24</f>
        <v>44947.976539202878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49</v>
      </c>
      <c r="I20" s="7" t="s">
        <v>50</v>
      </c>
      <c r="J20" s="7" t="s">
        <v>51</v>
      </c>
      <c r="K20" s="7" t="s">
        <v>52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4"/>
      <c r="U20" s="26" t="s">
        <v>34</v>
      </c>
    </row>
    <row r="21" spans="1:21" x14ac:dyDescent="0.2">
      <c r="A21" t="str">
        <f>D$7</f>
        <v>VSX</v>
      </c>
      <c r="C21" s="8">
        <f>C$7</f>
        <v>54372.595999999998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-2.521903197988019E-3</v>
      </c>
      <c r="Q21" s="2">
        <f>+C21-15018.5</f>
        <v>39354.095999999998</v>
      </c>
      <c r="R21" s="40">
        <f ca="1">(O21-G21)^2</f>
        <v>6.3599957400221977E-6</v>
      </c>
    </row>
    <row r="22" spans="1:21" x14ac:dyDescent="0.2">
      <c r="A22" s="32" t="s">
        <v>43</v>
      </c>
      <c r="B22" s="33" t="s">
        <v>44</v>
      </c>
      <c r="C22" s="32">
        <v>55139.631200000003</v>
      </c>
      <c r="D22" s="32">
        <v>2.9999999999999997E-4</v>
      </c>
      <c r="E22">
        <f t="shared" ref="E22:E27" si="0">+(C22-C$7)/C$8</f>
        <v>2970.9894451438199</v>
      </c>
      <c r="F22">
        <f t="shared" ref="F22:F31" si="1">ROUND(2*E22,0)/2</f>
        <v>2971</v>
      </c>
      <c r="G22">
        <f t="shared" ref="G22:G27" si="2">+C22-(C$7+F22*C$8)</f>
        <v>-2.7249999911873601E-3</v>
      </c>
      <c r="K22">
        <f t="shared" ref="K22:K28" si="3">+G22</f>
        <v>-2.7249999911873601E-3</v>
      </c>
      <c r="O22">
        <f t="shared" ref="O22:O27" ca="1" si="4">+C$11+C$12*$F22</f>
        <v>-2.9654828371978277E-3</v>
      </c>
      <c r="Q22" s="2">
        <f t="shared" ref="Q22:Q27" si="5">+C22-15018.5</f>
        <v>40121.131200000003</v>
      </c>
      <c r="R22" s="40">
        <f t="shared" ref="R22:R31" ca="1" si="6">(O22-G22)^2</f>
        <v>5.7831999225294274E-8</v>
      </c>
    </row>
    <row r="23" spans="1:21" x14ac:dyDescent="0.2">
      <c r="A23" s="32" t="s">
        <v>43</v>
      </c>
      <c r="B23" s="33" t="s">
        <v>45</v>
      </c>
      <c r="C23" s="32">
        <v>55139.765299999999</v>
      </c>
      <c r="D23" s="32">
        <v>6.9999999999999999E-4</v>
      </c>
      <c r="E23">
        <f t="shared" si="0"/>
        <v>2971.5088602692026</v>
      </c>
      <c r="F23">
        <f t="shared" si="1"/>
        <v>2971.5</v>
      </c>
      <c r="G23">
        <f t="shared" si="2"/>
        <v>2.2874999995110556E-3</v>
      </c>
      <c r="K23">
        <f t="shared" si="3"/>
        <v>2.2874999995110556E-3</v>
      </c>
      <c r="O23">
        <f t="shared" ca="1" si="4"/>
        <v>-2.9655574887695563E-3</v>
      </c>
      <c r="Q23" s="2">
        <f t="shared" si="5"/>
        <v>40121.265299999999</v>
      </c>
      <c r="R23" s="40">
        <f t="shared" ca="1" si="6"/>
        <v>2.7594612975181017E-5</v>
      </c>
    </row>
    <row r="24" spans="1:21" x14ac:dyDescent="0.2">
      <c r="A24" s="32" t="s">
        <v>46</v>
      </c>
      <c r="B24" s="33" t="s">
        <v>44</v>
      </c>
      <c r="C24" s="32">
        <v>55497.725100000003</v>
      </c>
      <c r="D24" s="32">
        <v>5.9999999999999995E-4</v>
      </c>
      <c r="E24">
        <f t="shared" si="0"/>
        <v>4358.0094896872497</v>
      </c>
      <c r="F24">
        <f t="shared" si="1"/>
        <v>4358</v>
      </c>
      <c r="G24">
        <f t="shared" si="2"/>
        <v>2.4500000072293915E-3</v>
      </c>
      <c r="K24">
        <f t="shared" si="3"/>
        <v>2.4500000072293915E-3</v>
      </c>
      <c r="O24">
        <f t="shared" ca="1" si="4"/>
        <v>-3.172566297172249E-3</v>
      </c>
      <c r="Q24" s="2">
        <f t="shared" si="5"/>
        <v>40479.225100000003</v>
      </c>
      <c r="R24" s="40">
        <f t="shared" ca="1" si="6"/>
        <v>3.1613251847392716E-5</v>
      </c>
    </row>
    <row r="25" spans="1:21" x14ac:dyDescent="0.2">
      <c r="A25" s="32" t="s">
        <v>47</v>
      </c>
      <c r="B25" s="33" t="s">
        <v>44</v>
      </c>
      <c r="C25" s="32">
        <v>55868.718500000003</v>
      </c>
      <c r="D25" s="32">
        <v>5.0000000000000001E-4</v>
      </c>
      <c r="E25">
        <f t="shared" si="0"/>
        <v>5794.9937058197156</v>
      </c>
      <c r="F25">
        <f t="shared" si="1"/>
        <v>5795</v>
      </c>
      <c r="G25">
        <f t="shared" si="2"/>
        <v>-1.6249999971478246E-3</v>
      </c>
      <c r="K25">
        <f t="shared" si="3"/>
        <v>-1.6249999971478246E-3</v>
      </c>
      <c r="O25">
        <f t="shared" ca="1" si="4"/>
        <v>-3.3871149143195039E-3</v>
      </c>
      <c r="Q25" s="2">
        <f t="shared" si="5"/>
        <v>40850.218500000003</v>
      </c>
      <c r="R25" s="40">
        <f t="shared" ca="1" si="6"/>
        <v>3.1050489813189541E-6</v>
      </c>
    </row>
    <row r="26" spans="1:21" x14ac:dyDescent="0.2">
      <c r="A26" s="34" t="s">
        <v>48</v>
      </c>
      <c r="B26" s="35" t="s">
        <v>45</v>
      </c>
      <c r="C26" s="36">
        <v>56233.641600000003</v>
      </c>
      <c r="D26" s="36">
        <v>3.0000000000000003E-4</v>
      </c>
      <c r="E26">
        <f t="shared" si="0"/>
        <v>7208.4655756754337</v>
      </c>
      <c r="F26">
        <f t="shared" si="1"/>
        <v>7208.5</v>
      </c>
      <c r="G26">
        <f t="shared" si="2"/>
        <v>-8.8874999928520992E-3</v>
      </c>
      <c r="K26">
        <f t="shared" si="3"/>
        <v>-8.8874999928520992E-3</v>
      </c>
      <c r="O26">
        <f t="shared" ca="1" si="4"/>
        <v>-3.5981549075955275E-3</v>
      </c>
      <c r="Q26" s="2">
        <f t="shared" si="5"/>
        <v>41215.141600000003</v>
      </c>
      <c r="R26" s="40">
        <f t="shared" ca="1" si="6"/>
        <v>2.797717143092785E-5</v>
      </c>
    </row>
    <row r="27" spans="1:21" x14ac:dyDescent="0.2">
      <c r="A27" s="34" t="s">
        <v>48</v>
      </c>
      <c r="B27" s="35" t="s">
        <v>44</v>
      </c>
      <c r="C27" s="36">
        <v>56233.769500000002</v>
      </c>
      <c r="D27" s="36">
        <v>5.0000000000000001E-4</v>
      </c>
      <c r="E27">
        <f t="shared" si="0"/>
        <v>7208.9609760821322</v>
      </c>
      <c r="F27">
        <f t="shared" si="1"/>
        <v>7209</v>
      </c>
      <c r="G27">
        <f t="shared" si="2"/>
        <v>-1.0074999998323619E-2</v>
      </c>
      <c r="K27">
        <f t="shared" si="3"/>
        <v>-1.0074999998323619E-2</v>
      </c>
      <c r="O27">
        <f t="shared" ca="1" si="4"/>
        <v>-3.5982295591672556E-3</v>
      </c>
      <c r="Q27" s="2">
        <f t="shared" si="5"/>
        <v>41215.269500000002</v>
      </c>
      <c r="R27" s="40">
        <f t="shared" ca="1" si="6"/>
        <v>4.1948555321529719E-5</v>
      </c>
    </row>
    <row r="28" spans="1:21" x14ac:dyDescent="0.2">
      <c r="A28" s="31" t="s">
        <v>54</v>
      </c>
      <c r="C28" s="8">
        <v>57615.773200000003</v>
      </c>
      <c r="D28" s="8">
        <v>2.0000000000000001E-4</v>
      </c>
      <c r="E28">
        <f>+(C28-C$7)/C$8</f>
        <v>12561.933572189428</v>
      </c>
      <c r="F28">
        <f t="shared" si="1"/>
        <v>12562</v>
      </c>
      <c r="G28">
        <f>+C28-(C$7+F28*C$8)</f>
        <v>-1.7149999992398079E-2</v>
      </c>
      <c r="K28">
        <f t="shared" si="3"/>
        <v>-1.7149999992398079E-2</v>
      </c>
      <c r="O28">
        <f ca="1">+C$11+C$12*$F28</f>
        <v>-4.3974492860908865E-3</v>
      </c>
      <c r="Q28" s="2">
        <f>+C28-15018.5</f>
        <v>42597.273200000003</v>
      </c>
      <c r="R28" s="40">
        <f t="shared" ca="1" si="6"/>
        <v>1.6262754951693609E-4</v>
      </c>
    </row>
    <row r="29" spans="1:21" x14ac:dyDescent="0.2">
      <c r="A29" s="37" t="s">
        <v>0</v>
      </c>
      <c r="B29" s="38" t="s">
        <v>44</v>
      </c>
      <c r="C29" s="39">
        <v>58011.305699999997</v>
      </c>
      <c r="D29" s="39">
        <v>1E-4</v>
      </c>
      <c r="E29">
        <f>+(C29-C$7)/C$8</f>
        <v>14093.9661082599</v>
      </c>
      <c r="F29">
        <f t="shared" si="1"/>
        <v>14094</v>
      </c>
      <c r="G29">
        <f>+C29-(C$7+F29*C$8)</f>
        <v>-8.7500000008731149E-3</v>
      </c>
      <c r="K29">
        <f>+G29</f>
        <v>-8.7500000008731149E-3</v>
      </c>
      <c r="O29">
        <f ca="1">+C$11+C$12*$F29</f>
        <v>-4.6261817018665267E-3</v>
      </c>
      <c r="Q29" s="2">
        <f>+C29-15018.5</f>
        <v>42992.805699999997</v>
      </c>
      <c r="R29" s="40">
        <f t="shared" ca="1" si="6"/>
        <v>1.7005877363221592E-5</v>
      </c>
    </row>
    <row r="30" spans="1:21" x14ac:dyDescent="0.2">
      <c r="A30" s="37" t="s">
        <v>0</v>
      </c>
      <c r="B30" s="38" t="s">
        <v>44</v>
      </c>
      <c r="C30" s="39">
        <v>58011.438499999997</v>
      </c>
      <c r="D30" s="39">
        <v>2.5000000000000001E-3</v>
      </c>
      <c r="E30">
        <f>+(C30-C$7)/C$8</f>
        <v>14094.480488041054</v>
      </c>
      <c r="F30">
        <f t="shared" si="1"/>
        <v>14094.5</v>
      </c>
      <c r="G30">
        <f>+C30-(C$7+F30*C$8)</f>
        <v>-5.0374999991618097E-3</v>
      </c>
      <c r="K30">
        <f>+G30</f>
        <v>-5.0374999991618097E-3</v>
      </c>
      <c r="O30">
        <f ca="1">+C$11+C$12*$F30</f>
        <v>-4.6262563534382548E-3</v>
      </c>
      <c r="Q30" s="2">
        <f>+C30-15018.5</f>
        <v>42992.938499999997</v>
      </c>
      <c r="R30" s="40">
        <f t="shared" ca="1" si="6"/>
        <v>1.6912133614800071E-7</v>
      </c>
    </row>
    <row r="31" spans="1:21" x14ac:dyDescent="0.2">
      <c r="A31" s="5" t="s">
        <v>55</v>
      </c>
      <c r="C31" s="8">
        <v>58724.778299999998</v>
      </c>
      <c r="D31" s="8">
        <v>2.9999999999999997E-4</v>
      </c>
      <c r="E31">
        <f>+(C31-C$7)/C$8</f>
        <v>16857.489299893485</v>
      </c>
      <c r="F31">
        <f t="shared" si="1"/>
        <v>16857.5</v>
      </c>
      <c r="G31">
        <f>+C31-(C$7+F31*C$8)</f>
        <v>-2.7625000002444722E-3</v>
      </c>
      <c r="K31">
        <f>+G31</f>
        <v>-2.7625000002444722E-3</v>
      </c>
      <c r="O31">
        <f ca="1">+C$11+C$12*$F31</f>
        <v>-5.0387809388090735E-3</v>
      </c>
      <c r="Q31" s="2">
        <f>+C31-15018.5</f>
        <v>43706.278299999998</v>
      </c>
      <c r="R31" s="40">
        <f t="shared" ca="1" si="6"/>
        <v>5.181454911272542E-6</v>
      </c>
    </row>
    <row r="32" spans="1:21" x14ac:dyDescent="0.2">
      <c r="A32" s="42" t="s">
        <v>58</v>
      </c>
      <c r="B32" s="43" t="s">
        <v>44</v>
      </c>
      <c r="C32" s="44">
        <v>59108.424899999998</v>
      </c>
      <c r="D32" s="42">
        <v>1.5E-3</v>
      </c>
      <c r="E32">
        <f t="shared" ref="E32:E36" si="7">+(C32-C$7)/C$8</f>
        <v>18343.483683547984</v>
      </c>
      <c r="F32">
        <f t="shared" ref="F32:F36" si="8">ROUND(2*E32,0)/2</f>
        <v>18343.5</v>
      </c>
      <c r="G32">
        <f t="shared" ref="G32:G36" si="9">+C32-(C$7+F32*C$8)</f>
        <v>-4.2124999963562004E-3</v>
      </c>
      <c r="K32">
        <f t="shared" ref="K32:K36" si="10">+G32</f>
        <v>-4.2124999963562004E-3</v>
      </c>
      <c r="O32">
        <f t="shared" ref="O32:O36" ca="1" si="11">+C$11+C$12*$F32</f>
        <v>-5.2606454099857064E-3</v>
      </c>
      <c r="Q32" s="2">
        <f t="shared" ref="Q32:Q36" si="12">+C32-15018.5</f>
        <v>44089.924899999998</v>
      </c>
      <c r="R32" s="40">
        <f t="shared" ref="R32:R36" ca="1" si="13">(O32-G32)^2</f>
        <v>1.0986088081125681E-6</v>
      </c>
    </row>
    <row r="33" spans="1:18" x14ac:dyDescent="0.2">
      <c r="A33" s="42" t="s">
        <v>58</v>
      </c>
      <c r="B33" s="43" t="s">
        <v>44</v>
      </c>
      <c r="C33" s="44">
        <v>59108.555800000002</v>
      </c>
      <c r="D33" s="42">
        <v>1.6000000000000001E-3</v>
      </c>
      <c r="E33">
        <f t="shared" si="7"/>
        <v>18343.990703979875</v>
      </c>
      <c r="F33">
        <f t="shared" si="8"/>
        <v>18344</v>
      </c>
      <c r="G33">
        <f t="shared" si="9"/>
        <v>-2.3999999975785613E-3</v>
      </c>
      <c r="K33">
        <f t="shared" si="10"/>
        <v>-2.3999999975785613E-3</v>
      </c>
      <c r="O33">
        <f t="shared" ca="1" si="11"/>
        <v>-5.2607200615574345E-3</v>
      </c>
      <c r="Q33" s="2">
        <f t="shared" si="12"/>
        <v>44090.055800000002</v>
      </c>
      <c r="R33" s="40">
        <f t="shared" ca="1" si="13"/>
        <v>8.1837192844512883E-6</v>
      </c>
    </row>
    <row r="34" spans="1:18" x14ac:dyDescent="0.2">
      <c r="A34" s="42" t="s">
        <v>58</v>
      </c>
      <c r="B34" s="43" t="s">
        <v>44</v>
      </c>
      <c r="C34" s="44">
        <v>59482.391900000002</v>
      </c>
      <c r="D34" s="42">
        <v>8.9999999999999998E-4</v>
      </c>
      <c r="E34">
        <f t="shared" si="7"/>
        <v>19791.985668635632</v>
      </c>
      <c r="F34">
        <f t="shared" si="8"/>
        <v>19792</v>
      </c>
      <c r="G34">
        <f t="shared" si="9"/>
        <v>-3.6999999938416295E-3</v>
      </c>
      <c r="K34">
        <f t="shared" si="10"/>
        <v>-3.6999999938416295E-3</v>
      </c>
      <c r="O34">
        <f t="shared" ca="1" si="11"/>
        <v>-5.4769110132827127E-3</v>
      </c>
      <c r="Q34" s="2">
        <f t="shared" si="12"/>
        <v>44463.891900000002</v>
      </c>
      <c r="R34" s="40">
        <f t="shared" ca="1" si="13"/>
        <v>3.1574127710111498E-6</v>
      </c>
    </row>
    <row r="35" spans="1:18" x14ac:dyDescent="0.2">
      <c r="A35" s="42" t="s">
        <v>58</v>
      </c>
      <c r="B35" s="43" t="s">
        <v>44</v>
      </c>
      <c r="C35" s="44">
        <v>59482.522900000004</v>
      </c>
      <c r="D35" s="42">
        <v>1.2999999999999999E-3</v>
      </c>
      <c r="E35">
        <f t="shared" si="7"/>
        <v>19792.49307640169</v>
      </c>
      <c r="F35">
        <f t="shared" si="8"/>
        <v>19792.5</v>
      </c>
      <c r="G35">
        <f t="shared" si="9"/>
        <v>-1.7874999975902028E-3</v>
      </c>
      <c r="K35">
        <f t="shared" si="10"/>
        <v>-1.7874999975902028E-3</v>
      </c>
      <c r="O35">
        <f t="shared" ca="1" si="11"/>
        <v>-5.4769856648544417E-3</v>
      </c>
      <c r="Q35" s="2">
        <f t="shared" si="12"/>
        <v>44464.022900000004</v>
      </c>
      <c r="R35" s="40">
        <f t="shared" ca="1" si="13"/>
        <v>1.3612304488948245E-5</v>
      </c>
    </row>
    <row r="36" spans="1:18" x14ac:dyDescent="0.2">
      <c r="A36" s="42" t="s">
        <v>58</v>
      </c>
      <c r="B36" s="43" t="s">
        <v>44</v>
      </c>
      <c r="C36" s="44">
        <v>59482.650300000001</v>
      </c>
      <c r="D36" s="42">
        <v>4.0000000000000002E-4</v>
      </c>
      <c r="E36">
        <f t="shared" si="7"/>
        <v>19792.986540137517</v>
      </c>
      <c r="F36">
        <f t="shared" si="8"/>
        <v>19793</v>
      </c>
      <c r="G36">
        <f t="shared" si="9"/>
        <v>-3.4749999977066182E-3</v>
      </c>
      <c r="K36">
        <f t="shared" si="10"/>
        <v>-3.4749999977066182E-3</v>
      </c>
      <c r="O36">
        <f t="shared" ca="1" si="11"/>
        <v>-5.4770603164261706E-3</v>
      </c>
      <c r="Q36" s="2">
        <f t="shared" si="12"/>
        <v>44464.150300000001</v>
      </c>
      <c r="R36" s="40">
        <f t="shared" ca="1" si="13"/>
        <v>4.0082455197914359E-6</v>
      </c>
    </row>
    <row r="37" spans="1:18" x14ac:dyDescent="0.2">
      <c r="C37" s="8"/>
      <c r="D37" s="8"/>
    </row>
    <row r="38" spans="1:18" x14ac:dyDescent="0.2">
      <c r="C38" s="8"/>
      <c r="D38" s="8"/>
    </row>
    <row r="39" spans="1:18" x14ac:dyDescent="0.2">
      <c r="C39" s="8"/>
      <c r="D39" s="8"/>
    </row>
    <row r="40" spans="1:18" x14ac:dyDescent="0.2">
      <c r="C40" s="8"/>
      <c r="D40" s="8"/>
    </row>
    <row r="41" spans="1:18" x14ac:dyDescent="0.2">
      <c r="C41" s="8"/>
      <c r="D41" s="8"/>
    </row>
    <row r="42" spans="1:18" x14ac:dyDescent="0.2">
      <c r="C42" s="8"/>
      <c r="D42" s="8"/>
    </row>
    <row r="43" spans="1:18" x14ac:dyDescent="0.2">
      <c r="C43" s="8"/>
      <c r="D43" s="8"/>
    </row>
    <row r="44" spans="1:18" x14ac:dyDescent="0.2">
      <c r="C44" s="8"/>
      <c r="D44" s="8"/>
    </row>
    <row r="45" spans="1:18" x14ac:dyDescent="0.2">
      <c r="C45" s="8"/>
      <c r="D45" s="8"/>
    </row>
    <row r="46" spans="1:18" x14ac:dyDescent="0.2">
      <c r="C46" s="8"/>
      <c r="D46" s="8"/>
    </row>
    <row r="47" spans="1:18" x14ac:dyDescent="0.2">
      <c r="C47" s="8"/>
      <c r="D47" s="8"/>
    </row>
    <row r="48" spans="1:18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63355" r:id="rId1" display="http://vsolj.cetus-net.org/bulletin.html"/>
    <hyperlink ref="H63348" r:id="rId2" display="https://www.aavso.org/ejaavso"/>
    <hyperlink ref="AP206" r:id="rId3" display="http://cdsbib.u-strasbg.fr/cgi-bin/cdsbib?1990RMxAA..21..381G"/>
    <hyperlink ref="AP203" r:id="rId4" display="http://cdsbib.u-strasbg.fr/cgi-bin/cdsbib?1990RMxAA..21..381G"/>
    <hyperlink ref="AP205" r:id="rId5" display="http://cdsbib.u-strasbg.fr/cgi-bin/cdsbib?1990RMxAA..21..381G"/>
    <hyperlink ref="AP181" r:id="rId6" display="http://cdsbib.u-strasbg.fr/cgi-bin/cdsbib?1990RMxAA..21..381G"/>
    <hyperlink ref="I63355" r:id="rId7" display="http://vsolj.cetus-net.org/bulletin.html"/>
    <hyperlink ref="AQ342" r:id="rId8" display="http://cdsbib.u-strasbg.fr/cgi-bin/cdsbib?1990RMxAA..21..381G"/>
    <hyperlink ref="AQ1986" r:id="rId9" display="http://cdsbib.u-strasbg.fr/cgi-bin/cdsbib?1990RMxAA..21..381G"/>
    <hyperlink ref="AQ343" r:id="rId10" display="http://cdsbib.u-strasbg.fr/cgi-bin/cdsbib?1990RMxAA..21..381G"/>
    <hyperlink ref="H63352" r:id="rId11" display="https://www.aavso.org/ejaavso"/>
    <hyperlink ref="H1193" r:id="rId12" display="http://vsolj.cetus-net.org/bulletin.html"/>
    <hyperlink ref="AP4431" r:id="rId13" display="http://cdsbib.u-strasbg.fr/cgi-bin/cdsbib?1990RMxAA..21..381G"/>
    <hyperlink ref="AP4434" r:id="rId14" display="http://cdsbib.u-strasbg.fr/cgi-bin/cdsbib?1990RMxAA..21..381G"/>
    <hyperlink ref="AP4432" r:id="rId15" display="http://cdsbib.u-strasbg.fr/cgi-bin/cdsbib?1990RMxAA..21..381G"/>
    <hyperlink ref="AP4410" r:id="rId16" display="http://cdsbib.u-strasbg.fr/cgi-bin/cdsbib?1990RMxAA..21..381G"/>
    <hyperlink ref="I1193" r:id="rId17" display="http://vsolj.cetus-net.org/bulletin.html"/>
    <hyperlink ref="AQ4544" r:id="rId18" display="http://cdsbib.u-strasbg.fr/cgi-bin/cdsbib?1990RMxAA..21..381G"/>
    <hyperlink ref="AQ64632" r:id="rId19" display="http://cdsbib.u-strasbg.fr/cgi-bin/cdsbib?1990RMxAA..21..381G"/>
    <hyperlink ref="AQ4545" r:id="rId20" display="http://cdsbib.u-strasbg.fr/cgi-bin/cdsbib?1990RMxAA..21..381G"/>
  </hyperlinks>
  <pageMargins left="0.75" right="0.75" top="1" bottom="1" header="0.5" footer="0.5"/>
  <pageSetup orientation="portrait" verticalDpi="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workbookViewId="0">
      <selection activeCell="C18" sqref="C1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9.140625" customWidth="1"/>
  </cols>
  <sheetData>
    <row r="1" spans="1:6" ht="20.25" x14ac:dyDescent="0.3">
      <c r="A1" s="1" t="s">
        <v>40</v>
      </c>
    </row>
    <row r="2" spans="1:6" x14ac:dyDescent="0.2">
      <c r="A2" t="s">
        <v>24</v>
      </c>
      <c r="B2" t="s">
        <v>41</v>
      </c>
      <c r="C2" s="3"/>
      <c r="D2" s="3"/>
      <c r="E2" s="30" t="s">
        <v>39</v>
      </c>
      <c r="F2" t="s">
        <v>53</v>
      </c>
    </row>
    <row r="3" spans="1:6" ht="13.5" thickBot="1" x14ac:dyDescent="0.25"/>
    <row r="4" spans="1:6" ht="14.25" thickTop="1" thickBot="1" x14ac:dyDescent="0.25">
      <c r="A4" s="5" t="s">
        <v>1</v>
      </c>
      <c r="C4" s="27" t="s">
        <v>38</v>
      </c>
      <c r="D4" s="28" t="s">
        <v>38</v>
      </c>
    </row>
    <row r="5" spans="1:6" ht="13.5" thickTop="1" x14ac:dyDescent="0.2">
      <c r="A5" s="9" t="s">
        <v>29</v>
      </c>
      <c r="B5" s="10"/>
      <c r="C5" s="11">
        <v>-9.5</v>
      </c>
      <c r="D5" s="10" t="s">
        <v>30</v>
      </c>
    </row>
    <row r="6" spans="1:6" x14ac:dyDescent="0.2">
      <c r="A6" s="5" t="s">
        <v>2</v>
      </c>
    </row>
    <row r="7" spans="1:6" x14ac:dyDescent="0.2">
      <c r="A7" t="s">
        <v>3</v>
      </c>
      <c r="C7" s="8">
        <v>54372.595999999998</v>
      </c>
      <c r="D7" s="29" t="s">
        <v>42</v>
      </c>
    </row>
    <row r="8" spans="1:6" x14ac:dyDescent="0.2">
      <c r="A8" t="s">
        <v>4</v>
      </c>
      <c r="C8" s="8">
        <v>0.24807199999999999</v>
      </c>
      <c r="D8" s="29" t="s">
        <v>42</v>
      </c>
    </row>
    <row r="9" spans="1:6" x14ac:dyDescent="0.2">
      <c r="A9" s="24" t="s">
        <v>33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6" x14ac:dyDescent="0.2">
      <c r="A11" s="10" t="s">
        <v>16</v>
      </c>
      <c r="B11" s="10"/>
      <c r="C11" s="21">
        <f ca="1">INTERCEPT(INDIRECT($D$9):G992,INDIRECT($C$9):F992)</f>
        <v>-7.9030830851217412E-4</v>
      </c>
      <c r="D11" s="3"/>
      <c r="E11" s="10"/>
    </row>
    <row r="12" spans="1:6" x14ac:dyDescent="0.2">
      <c r="A12" s="10" t="s">
        <v>17</v>
      </c>
      <c r="B12" s="10"/>
      <c r="C12" s="21">
        <f ca="1">SLOPE(INDIRECT($D$9):G992,INDIRECT($C$9):F992)</f>
        <v>5.8385401681326427E-7</v>
      </c>
      <c r="D12" s="3"/>
      <c r="E12" s="10"/>
    </row>
    <row r="13" spans="1:6" x14ac:dyDescent="0.2">
      <c r="A13" s="10" t="s">
        <v>19</v>
      </c>
      <c r="B13" s="10"/>
      <c r="C13" s="3" t="s">
        <v>14</v>
      </c>
    </row>
    <row r="14" spans="1:6" x14ac:dyDescent="0.2">
      <c r="A14" s="10"/>
      <c r="B14" s="10"/>
      <c r="C14" s="10"/>
    </row>
    <row r="15" spans="1:6" x14ac:dyDescent="0.2">
      <c r="A15" s="12" t="s">
        <v>18</v>
      </c>
      <c r="B15" s="10"/>
      <c r="C15" s="13">
        <f ca="1">(C7+C11)+(C8+C12)*INT(MAX(F21:F3533))</f>
        <v>59482.642364500578</v>
      </c>
      <c r="E15" s="14" t="s">
        <v>35</v>
      </c>
      <c r="F15" s="11">
        <v>1</v>
      </c>
    </row>
    <row r="16" spans="1:6" x14ac:dyDescent="0.2">
      <c r="A16" s="16" t="s">
        <v>5</v>
      </c>
      <c r="B16" s="10"/>
      <c r="C16" s="17">
        <f ca="1">+C8+C12</f>
        <v>0.24807258385401679</v>
      </c>
      <c r="E16" s="14" t="s">
        <v>31</v>
      </c>
      <c r="F16" s="15">
        <f ca="1">NOW()+15018.5+$C$5/24</f>
        <v>59965.791556828699</v>
      </c>
    </row>
    <row r="17" spans="1:21" ht="13.5" thickBot="1" x14ac:dyDescent="0.25">
      <c r="A17" s="14" t="s">
        <v>28</v>
      </c>
      <c r="B17" s="10"/>
      <c r="C17" s="10">
        <f>COUNT(C21:C2191)</f>
        <v>16</v>
      </c>
      <c r="E17" s="14" t="s">
        <v>36</v>
      </c>
      <c r="F17" s="15">
        <f ca="1">ROUND(2*(F16-$C$7)/$C$8,0)/2+F15</f>
        <v>22547.5</v>
      </c>
      <c r="R17">
        <f ca="1">SQRT(SUM(R21:R31)/COUNT(R21:R31))</f>
        <v>7.5270898977429926E-3</v>
      </c>
    </row>
    <row r="18" spans="1:21" ht="14.25" thickTop="1" thickBot="1" x14ac:dyDescent="0.25">
      <c r="A18" s="16" t="s">
        <v>6</v>
      </c>
      <c r="B18" s="10"/>
      <c r="C18" s="19">
        <f ca="1">+C15</f>
        <v>59482.642364500578</v>
      </c>
      <c r="D18" s="20">
        <f ca="1">+C16</f>
        <v>0.24807258385401679</v>
      </c>
      <c r="E18" s="14" t="s">
        <v>37</v>
      </c>
      <c r="F18" s="23">
        <f ca="1">ROUND(2*(F16-$C$15)/$C$16,0)/2+F15</f>
        <v>1948.5</v>
      </c>
    </row>
    <row r="19" spans="1:21" ht="13.5" thickTop="1" x14ac:dyDescent="0.2">
      <c r="E19" s="14" t="s">
        <v>32</v>
      </c>
      <c r="F19" s="18">
        <f ca="1">+$C$15+$C$16*F18-15018.5-$C$5/24</f>
        <v>44947.907627473469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49</v>
      </c>
      <c r="I20" s="7" t="s">
        <v>50</v>
      </c>
      <c r="J20" s="7" t="s">
        <v>51</v>
      </c>
      <c r="K20" s="7" t="s">
        <v>52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4"/>
      <c r="U20" s="26" t="s">
        <v>34</v>
      </c>
    </row>
    <row r="21" spans="1:21" x14ac:dyDescent="0.2">
      <c r="A21" t="str">
        <f>D$7</f>
        <v>VSX</v>
      </c>
      <c r="C21" s="8">
        <f>C$7</f>
        <v>54372.595999999998</v>
      </c>
      <c r="D21" s="8" t="s">
        <v>14</v>
      </c>
      <c r="E21">
        <f t="shared" ref="E21:E31" si="0">+(C21-C$7)/C$8</f>
        <v>0</v>
      </c>
      <c r="F21">
        <f t="shared" ref="F21:F31" si="1">ROUND(2*E21,0)/2</f>
        <v>0</v>
      </c>
      <c r="G21">
        <f t="shared" ref="G21:G31" si="2">+C21-(C$7+F21*C$8)</f>
        <v>0</v>
      </c>
      <c r="I21">
        <f>+G21</f>
        <v>0</v>
      </c>
      <c r="O21">
        <f t="shared" ref="O21:O31" ca="1" si="3">+C$11+C$12*$F21</f>
        <v>-7.9030830851217412E-4</v>
      </c>
      <c r="Q21" s="2">
        <f t="shared" ref="Q21:Q31" si="4">+C21-15018.5</f>
        <v>39354.095999999998</v>
      </c>
      <c r="R21" s="40">
        <f ca="1">(O21-G21)^2</f>
        <v>6.2458722250337383E-7</v>
      </c>
    </row>
    <row r="22" spans="1:21" x14ac:dyDescent="0.2">
      <c r="A22" s="32" t="s">
        <v>43</v>
      </c>
      <c r="B22" s="33" t="s">
        <v>44</v>
      </c>
      <c r="C22" s="32">
        <v>55139.631200000003</v>
      </c>
      <c r="D22" s="32">
        <v>2.9999999999999997E-4</v>
      </c>
      <c r="E22">
        <f t="shared" si="0"/>
        <v>3091.9861975555714</v>
      </c>
      <c r="F22">
        <f t="shared" si="1"/>
        <v>3092</v>
      </c>
      <c r="G22">
        <f t="shared" si="2"/>
        <v>-3.4239999949932098E-3</v>
      </c>
      <c r="K22">
        <f t="shared" ref="K22:K31" si="5">+G22</f>
        <v>-3.4239999949932098E-3</v>
      </c>
      <c r="O22">
        <f t="shared" ca="1" si="3"/>
        <v>1.0149683114744389E-3</v>
      </c>
      <c r="Q22" s="2">
        <f t="shared" si="4"/>
        <v>40121.131200000003</v>
      </c>
      <c r="R22" s="40">
        <f t="shared" ref="R22:R31" ca="1" si="6">(O22-G22)^2</f>
        <v>1.9704439625824266E-5</v>
      </c>
    </row>
    <row r="23" spans="1:21" x14ac:dyDescent="0.2">
      <c r="A23" s="32" t="s">
        <v>43</v>
      </c>
      <c r="B23" s="33" t="s">
        <v>45</v>
      </c>
      <c r="C23" s="32">
        <v>55139.765299999999</v>
      </c>
      <c r="D23" s="32">
        <v>6.9999999999999999E-4</v>
      </c>
      <c r="E23">
        <f t="shared" si="0"/>
        <v>3092.5267664226571</v>
      </c>
      <c r="F23">
        <f t="shared" si="1"/>
        <v>3092.5</v>
      </c>
      <c r="G23">
        <f t="shared" si="2"/>
        <v>6.6399999996065162E-3</v>
      </c>
      <c r="K23">
        <f t="shared" si="5"/>
        <v>6.6399999996065162E-3</v>
      </c>
      <c r="O23">
        <f t="shared" ca="1" si="3"/>
        <v>1.0152602384828457E-3</v>
      </c>
      <c r="Q23" s="2">
        <f t="shared" si="4"/>
        <v>40121.265299999999</v>
      </c>
      <c r="R23" s="40">
        <f t="shared" ca="1" si="6"/>
        <v>3.1637697380365561E-5</v>
      </c>
    </row>
    <row r="24" spans="1:21" x14ac:dyDescent="0.2">
      <c r="A24" s="32" t="s">
        <v>46</v>
      </c>
      <c r="B24" s="33" t="s">
        <v>44</v>
      </c>
      <c r="C24" s="32">
        <v>55497.725100000003</v>
      </c>
      <c r="D24" s="32">
        <v>5.9999999999999995E-4</v>
      </c>
      <c r="E24">
        <f t="shared" si="0"/>
        <v>4535.4941307362606</v>
      </c>
      <c r="F24">
        <f t="shared" si="1"/>
        <v>4535.5</v>
      </c>
      <c r="G24">
        <f t="shared" si="2"/>
        <v>-1.4559999908669852E-3</v>
      </c>
      <c r="K24">
        <f t="shared" si="5"/>
        <v>-1.4559999908669852E-3</v>
      </c>
      <c r="O24">
        <f t="shared" ca="1" si="3"/>
        <v>1.857761584744386E-3</v>
      </c>
      <c r="Q24" s="2">
        <f t="shared" si="4"/>
        <v>40479.225100000003</v>
      </c>
      <c r="R24" s="40">
        <f t="shared" ca="1" si="6"/>
        <v>1.0981015779998358E-5</v>
      </c>
    </row>
    <row r="25" spans="1:21" x14ac:dyDescent="0.2">
      <c r="A25" s="32" t="s">
        <v>47</v>
      </c>
      <c r="B25" s="33" t="s">
        <v>44</v>
      </c>
      <c r="C25" s="32">
        <v>55868.718500000003</v>
      </c>
      <c r="D25" s="32">
        <v>5.0000000000000001E-4</v>
      </c>
      <c r="E25">
        <f t="shared" si="0"/>
        <v>6031.0010803315372</v>
      </c>
      <c r="F25">
        <f t="shared" si="1"/>
        <v>6031</v>
      </c>
      <c r="G25">
        <f t="shared" si="2"/>
        <v>2.680000034160912E-4</v>
      </c>
      <c r="K25">
        <f t="shared" si="5"/>
        <v>2.680000034160912E-4</v>
      </c>
      <c r="O25">
        <f t="shared" ca="1" si="3"/>
        <v>2.7309152668886227E-3</v>
      </c>
      <c r="Q25" s="2">
        <f t="shared" si="4"/>
        <v>40850.218500000003</v>
      </c>
      <c r="R25" s="40">
        <f t="shared" ca="1" si="6"/>
        <v>6.0659515950459692E-6</v>
      </c>
    </row>
    <row r="26" spans="1:21" x14ac:dyDescent="0.2">
      <c r="A26" s="34" t="s">
        <v>48</v>
      </c>
      <c r="B26" s="35" t="s">
        <v>45</v>
      </c>
      <c r="C26" s="36">
        <v>56233.641600000003</v>
      </c>
      <c r="D26" s="36">
        <v>3.0000000000000003E-4</v>
      </c>
      <c r="E26">
        <f t="shared" si="0"/>
        <v>7502.0381179657725</v>
      </c>
      <c r="F26">
        <f t="shared" si="1"/>
        <v>7502</v>
      </c>
      <c r="G26">
        <f t="shared" si="2"/>
        <v>9.4560000070487149E-3</v>
      </c>
      <c r="K26">
        <f t="shared" si="5"/>
        <v>9.4560000070487149E-3</v>
      </c>
      <c r="O26">
        <f t="shared" ca="1" si="3"/>
        <v>3.5897645256209344E-3</v>
      </c>
      <c r="Q26" s="2">
        <f t="shared" si="4"/>
        <v>41215.141600000003</v>
      </c>
      <c r="R26" s="40">
        <f t="shared" ca="1" si="6"/>
        <v>3.4412718723562221E-5</v>
      </c>
    </row>
    <row r="27" spans="1:21" x14ac:dyDescent="0.2">
      <c r="A27" s="34" t="s">
        <v>48</v>
      </c>
      <c r="B27" s="35" t="s">
        <v>44</v>
      </c>
      <c r="C27" s="36">
        <v>56233.769500000002</v>
      </c>
      <c r="D27" s="36">
        <v>5.0000000000000001E-4</v>
      </c>
      <c r="E27">
        <f t="shared" si="0"/>
        <v>7502.5536940888314</v>
      </c>
      <c r="F27">
        <f t="shared" si="1"/>
        <v>7502.5</v>
      </c>
      <c r="G27">
        <f t="shared" si="2"/>
        <v>1.3320000005478505E-2</v>
      </c>
      <c r="K27">
        <f t="shared" si="5"/>
        <v>1.3320000005478505E-2</v>
      </c>
      <c r="O27">
        <f t="shared" ca="1" si="3"/>
        <v>3.5900564526293414E-3</v>
      </c>
      <c r="Q27" s="2">
        <f t="shared" si="4"/>
        <v>41215.269500000002</v>
      </c>
      <c r="R27" s="40">
        <f t="shared" ca="1" si="6"/>
        <v>9.4671801541631003E-5</v>
      </c>
    </row>
    <row r="28" spans="1:21" x14ac:dyDescent="0.2">
      <c r="A28" s="31" t="s">
        <v>54</v>
      </c>
      <c r="C28" s="8">
        <v>57615.773200000003</v>
      </c>
      <c r="D28" s="8">
        <v>2.0000000000000001E-4</v>
      </c>
      <c r="E28">
        <f t="shared" si="0"/>
        <v>13073.531877841941</v>
      </c>
      <c r="F28">
        <f t="shared" si="1"/>
        <v>13073.5</v>
      </c>
      <c r="G28">
        <f t="shared" si="2"/>
        <v>7.908000006864313E-3</v>
      </c>
      <c r="K28">
        <f t="shared" si="5"/>
        <v>7.908000006864313E-3</v>
      </c>
      <c r="O28">
        <f t="shared" ca="1" si="3"/>
        <v>6.8427071802960367E-3</v>
      </c>
      <c r="Q28" s="2">
        <f t="shared" si="4"/>
        <v>42597.273200000003</v>
      </c>
      <c r="R28" s="40">
        <f t="shared" ca="1" si="6"/>
        <v>1.1348488063378276E-6</v>
      </c>
    </row>
    <row r="29" spans="1:21" x14ac:dyDescent="0.2">
      <c r="A29" s="37" t="s">
        <v>0</v>
      </c>
      <c r="B29" s="38" t="s">
        <v>44</v>
      </c>
      <c r="C29" s="39">
        <v>58011.305699999997</v>
      </c>
      <c r="D29" s="39">
        <v>1E-4</v>
      </c>
      <c r="E29">
        <f t="shared" si="0"/>
        <v>14667.958092811763</v>
      </c>
      <c r="F29">
        <f t="shared" si="1"/>
        <v>14668</v>
      </c>
      <c r="G29">
        <f t="shared" si="2"/>
        <v>-1.0395999997854233E-2</v>
      </c>
      <c r="K29">
        <f t="shared" si="5"/>
        <v>-1.0395999997854233E-2</v>
      </c>
      <c r="O29">
        <f t="shared" ca="1" si="3"/>
        <v>7.7736624101047858E-3</v>
      </c>
      <c r="Q29" s="2">
        <f t="shared" si="4"/>
        <v>42992.805699999997</v>
      </c>
      <c r="R29" s="40">
        <f t="shared" ca="1" si="6"/>
        <v>3.3013663201919905E-4</v>
      </c>
    </row>
    <row r="30" spans="1:21" x14ac:dyDescent="0.2">
      <c r="A30" s="37" t="s">
        <v>0</v>
      </c>
      <c r="B30" s="38" t="s">
        <v>44</v>
      </c>
      <c r="C30" s="39">
        <v>58011.438499999997</v>
      </c>
      <c r="D30" s="39">
        <v>2.5000000000000001E-3</v>
      </c>
      <c r="E30">
        <f t="shared" si="0"/>
        <v>14668.49342126479</v>
      </c>
      <c r="F30">
        <f t="shared" si="1"/>
        <v>14668.5</v>
      </c>
      <c r="G30">
        <f t="shared" si="2"/>
        <v>-1.6319999995175749E-3</v>
      </c>
      <c r="K30">
        <f t="shared" si="5"/>
        <v>-1.6319999995175749E-3</v>
      </c>
      <c r="O30">
        <f t="shared" ca="1" si="3"/>
        <v>7.7739543371131929E-3</v>
      </c>
      <c r="Q30" s="2">
        <f t="shared" si="4"/>
        <v>42992.938499999997</v>
      </c>
      <c r="R30" s="40">
        <f t="shared" ca="1" si="6"/>
        <v>8.847197698278314E-5</v>
      </c>
    </row>
    <row r="31" spans="1:21" x14ac:dyDescent="0.2">
      <c r="A31" s="5" t="s">
        <v>55</v>
      </c>
      <c r="C31" s="8">
        <v>58724.778299999998</v>
      </c>
      <c r="D31" s="8">
        <v>2.9999999999999997E-4</v>
      </c>
      <c r="E31">
        <f t="shared" si="0"/>
        <v>17544.028749717825</v>
      </c>
      <c r="F31">
        <f t="shared" si="1"/>
        <v>17544</v>
      </c>
      <c r="G31">
        <f t="shared" si="2"/>
        <v>7.131999998819083E-3</v>
      </c>
      <c r="K31">
        <f t="shared" si="5"/>
        <v>7.131999998819083E-3</v>
      </c>
      <c r="O31">
        <f t="shared" ca="1" si="3"/>
        <v>9.4528265624597343E-3</v>
      </c>
      <c r="Q31" s="2">
        <f t="shared" si="4"/>
        <v>43706.278299999998</v>
      </c>
      <c r="R31" s="40">
        <f t="shared" ca="1" si="6"/>
        <v>5.3862359385000738E-6</v>
      </c>
    </row>
    <row r="32" spans="1:21" x14ac:dyDescent="0.2">
      <c r="A32" s="42" t="s">
        <v>58</v>
      </c>
      <c r="B32" s="43" t="s">
        <v>44</v>
      </c>
      <c r="C32" s="44">
        <v>59108.424899999998</v>
      </c>
      <c r="D32" s="42">
        <v>1.5E-3</v>
      </c>
      <c r="E32">
        <f t="shared" ref="E32:E36" si="7">+(C32-C$7)/C$8</f>
        <v>19090.541858815184</v>
      </c>
      <c r="F32">
        <f t="shared" ref="F32:F36" si="8">ROUND(2*E32,0)/2</f>
        <v>19090.5</v>
      </c>
      <c r="G32">
        <f t="shared" ref="G32:G36" si="9">+C32-(C$7+F32*C$8)</f>
        <v>1.0384000001067761E-2</v>
      </c>
      <c r="K32">
        <f t="shared" ref="K32:K36" si="10">+G32</f>
        <v>1.0384000001067761E-2</v>
      </c>
      <c r="O32">
        <f t="shared" ref="O32:O36" ca="1" si="11">+C$11+C$12*$F32</f>
        <v>1.0355756799461447E-2</v>
      </c>
      <c r="Q32" s="2">
        <f t="shared" ref="Q32:Q36" si="12">+C32-15018.5</f>
        <v>44089.924899999998</v>
      </c>
      <c r="R32" s="40">
        <f t="shared" ref="R32:R36" ca="1" si="13">(O32-G32)^2</f>
        <v>7.976784369748951E-10</v>
      </c>
    </row>
    <row r="33" spans="1:18" x14ac:dyDescent="0.2">
      <c r="A33" s="42" t="s">
        <v>58</v>
      </c>
      <c r="B33" s="43" t="s">
        <v>44</v>
      </c>
      <c r="C33" s="44">
        <v>59108.555800000002</v>
      </c>
      <c r="D33" s="42">
        <v>1.6000000000000001E-3</v>
      </c>
      <c r="E33">
        <f t="shared" si="7"/>
        <v>19091.069528201508</v>
      </c>
      <c r="F33">
        <f t="shared" si="8"/>
        <v>19091</v>
      </c>
      <c r="G33">
        <f t="shared" si="9"/>
        <v>1.7248000003746711E-2</v>
      </c>
      <c r="K33">
        <f t="shared" si="10"/>
        <v>1.7248000003746711E-2</v>
      </c>
      <c r="O33">
        <f t="shared" ca="1" si="11"/>
        <v>1.0356048726469854E-2</v>
      </c>
      <c r="Q33" s="2">
        <f t="shared" si="12"/>
        <v>44090.055800000002</v>
      </c>
      <c r="R33" s="40">
        <f t="shared" ca="1" si="13"/>
        <v>4.7498992408358092E-5</v>
      </c>
    </row>
    <row r="34" spans="1:18" x14ac:dyDescent="0.2">
      <c r="A34" s="42" t="s">
        <v>58</v>
      </c>
      <c r="B34" s="43" t="s">
        <v>44</v>
      </c>
      <c r="C34" s="44">
        <v>59482.391900000002</v>
      </c>
      <c r="D34" s="42">
        <v>8.9999999999999998E-4</v>
      </c>
      <c r="E34">
        <f t="shared" si="7"/>
        <v>20598.03565094007</v>
      </c>
      <c r="F34">
        <f t="shared" si="8"/>
        <v>20598</v>
      </c>
      <c r="G34">
        <f t="shared" si="9"/>
        <v>8.8440000035916455E-3</v>
      </c>
      <c r="K34">
        <f t="shared" si="10"/>
        <v>8.8440000035916455E-3</v>
      </c>
      <c r="O34">
        <f t="shared" ca="1" si="11"/>
        <v>1.1235916729807444E-2</v>
      </c>
      <c r="Q34" s="2">
        <f t="shared" si="12"/>
        <v>44463.891900000002</v>
      </c>
      <c r="R34" s="40">
        <f t="shared" ca="1" si="13"/>
        <v>5.721265625150903E-6</v>
      </c>
    </row>
    <row r="35" spans="1:18" x14ac:dyDescent="0.2">
      <c r="A35" s="42" t="s">
        <v>58</v>
      </c>
      <c r="B35" s="43" t="s">
        <v>44</v>
      </c>
      <c r="C35" s="44">
        <v>59482.522900000004</v>
      </c>
      <c r="D35" s="42">
        <v>1.2999999999999999E-3</v>
      </c>
      <c r="E35">
        <f t="shared" si="7"/>
        <v>20598.563723435156</v>
      </c>
      <c r="F35">
        <f t="shared" si="8"/>
        <v>20598.5</v>
      </c>
      <c r="G35">
        <f t="shared" si="9"/>
        <v>1.5808000003744382E-2</v>
      </c>
      <c r="K35">
        <f t="shared" si="10"/>
        <v>1.5808000003744382E-2</v>
      </c>
      <c r="O35">
        <f t="shared" ca="1" si="11"/>
        <v>1.1236208656815849E-2</v>
      </c>
      <c r="Q35" s="2">
        <f t="shared" si="12"/>
        <v>44464.022900000004</v>
      </c>
      <c r="R35" s="40">
        <f t="shared" ca="1" si="13"/>
        <v>2.0901276119850612E-5</v>
      </c>
    </row>
    <row r="36" spans="1:18" x14ac:dyDescent="0.2">
      <c r="A36" s="42" t="s">
        <v>58</v>
      </c>
      <c r="B36" s="43" t="s">
        <v>44</v>
      </c>
      <c r="C36" s="44">
        <v>59482.650300000001</v>
      </c>
      <c r="D36" s="42">
        <v>4.0000000000000002E-4</v>
      </c>
      <c r="E36">
        <f t="shared" si="7"/>
        <v>20599.077284014333</v>
      </c>
      <c r="F36">
        <f t="shared" si="8"/>
        <v>20599</v>
      </c>
      <c r="G36">
        <f t="shared" si="9"/>
        <v>1.9172000007529277E-2</v>
      </c>
      <c r="K36">
        <f t="shared" si="10"/>
        <v>1.9172000007529277E-2</v>
      </c>
      <c r="O36">
        <f t="shared" ca="1" si="11"/>
        <v>1.1236500583824256E-2</v>
      </c>
      <c r="Q36" s="2">
        <f t="shared" si="12"/>
        <v>44464.150300000001</v>
      </c>
      <c r="R36" s="40">
        <f t="shared" ca="1" si="13"/>
        <v>6.2972151103622717E-5</v>
      </c>
    </row>
    <row r="37" spans="1:18" x14ac:dyDescent="0.2">
      <c r="C37" s="8"/>
      <c r="D37" s="8"/>
    </row>
    <row r="38" spans="1:18" x14ac:dyDescent="0.2">
      <c r="C38" s="8"/>
      <c r="D38" s="8"/>
    </row>
    <row r="39" spans="1:18" x14ac:dyDescent="0.2">
      <c r="C39" s="8"/>
      <c r="D39" s="8"/>
    </row>
    <row r="40" spans="1:18" x14ac:dyDescent="0.2">
      <c r="C40" s="8"/>
      <c r="D40" s="8"/>
    </row>
    <row r="41" spans="1:18" x14ac:dyDescent="0.2">
      <c r="C41" s="8"/>
      <c r="D41" s="8"/>
    </row>
    <row r="42" spans="1:18" x14ac:dyDescent="0.2">
      <c r="C42" s="8"/>
      <c r="D42" s="8"/>
    </row>
    <row r="43" spans="1:18" x14ac:dyDescent="0.2">
      <c r="C43" s="8"/>
      <c r="D43" s="8"/>
    </row>
    <row r="44" spans="1:18" x14ac:dyDescent="0.2">
      <c r="C44" s="8"/>
      <c r="D44" s="8"/>
    </row>
    <row r="45" spans="1:18" x14ac:dyDescent="0.2">
      <c r="C45" s="8"/>
      <c r="D45" s="8"/>
    </row>
    <row r="46" spans="1:18" x14ac:dyDescent="0.2">
      <c r="C46" s="8"/>
      <c r="D46" s="8"/>
    </row>
    <row r="47" spans="1:18" x14ac:dyDescent="0.2">
      <c r="C47" s="8"/>
      <c r="D47" s="8"/>
    </row>
    <row r="48" spans="1:18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63355" r:id="rId1" display="http://vsolj.cetus-net.org/bulletin.html"/>
    <hyperlink ref="H63348" r:id="rId2" display="https://www.aavso.org/ejaavso"/>
    <hyperlink ref="AP206" r:id="rId3" display="http://cdsbib.u-strasbg.fr/cgi-bin/cdsbib?1990RMxAA..21..381G"/>
    <hyperlink ref="AP203" r:id="rId4" display="http://cdsbib.u-strasbg.fr/cgi-bin/cdsbib?1990RMxAA..21..381G"/>
    <hyperlink ref="AP205" r:id="rId5" display="http://cdsbib.u-strasbg.fr/cgi-bin/cdsbib?1990RMxAA..21..381G"/>
    <hyperlink ref="AP181" r:id="rId6" display="http://cdsbib.u-strasbg.fr/cgi-bin/cdsbib?1990RMxAA..21..381G"/>
    <hyperlink ref="I63355" r:id="rId7" display="http://vsolj.cetus-net.org/bulletin.html"/>
    <hyperlink ref="AQ342" r:id="rId8" display="http://cdsbib.u-strasbg.fr/cgi-bin/cdsbib?1990RMxAA..21..381G"/>
    <hyperlink ref="AQ1986" r:id="rId9" display="http://cdsbib.u-strasbg.fr/cgi-bin/cdsbib?1990RMxAA..21..381G"/>
    <hyperlink ref="AQ343" r:id="rId10" display="http://cdsbib.u-strasbg.fr/cgi-bin/cdsbib?1990RMxAA..21..381G"/>
    <hyperlink ref="H63352" r:id="rId11" display="https://www.aavso.org/ejaavso"/>
    <hyperlink ref="H1193" r:id="rId12" display="http://vsolj.cetus-net.org/bulletin.html"/>
    <hyperlink ref="AP4431" r:id="rId13" display="http://cdsbib.u-strasbg.fr/cgi-bin/cdsbib?1990RMxAA..21..381G"/>
    <hyperlink ref="AP4434" r:id="rId14" display="http://cdsbib.u-strasbg.fr/cgi-bin/cdsbib?1990RMxAA..21..381G"/>
    <hyperlink ref="AP4432" r:id="rId15" display="http://cdsbib.u-strasbg.fr/cgi-bin/cdsbib?1990RMxAA..21..381G"/>
    <hyperlink ref="AP4410" r:id="rId16" display="http://cdsbib.u-strasbg.fr/cgi-bin/cdsbib?1990RMxAA..21..381G"/>
    <hyperlink ref="I1193" r:id="rId17" display="http://vsolj.cetus-net.org/bulletin.html"/>
    <hyperlink ref="AQ4544" r:id="rId18" display="http://cdsbib.u-strasbg.fr/cgi-bin/cdsbib?1990RMxAA..21..381G"/>
    <hyperlink ref="AQ64632" r:id="rId19" display="http://cdsbib.u-strasbg.fr/cgi-bin/cdsbib?1990RMxAA..21..381G"/>
    <hyperlink ref="AQ4545" r:id="rId20" display="http://cdsbib.u-strasbg.fr/cgi-bin/cdsbib?1990RMxAA..21..381G"/>
  </hyperlinks>
  <pageMargins left="0.75" right="0.75" top="1" bottom="1" header="0.5" footer="0.5"/>
  <pageSetup orientation="portrait" verticalDpi="0" r:id="rId21"/>
  <headerFooter alignWithMargins="0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workbookViewId="0">
      <selection activeCell="C18" sqref="C18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9.140625" customWidth="1"/>
  </cols>
  <sheetData>
    <row r="1" spans="1:6" ht="20.25" x14ac:dyDescent="0.3">
      <c r="A1" s="1" t="s">
        <v>40</v>
      </c>
    </row>
    <row r="2" spans="1:6" x14ac:dyDescent="0.2">
      <c r="A2" t="s">
        <v>24</v>
      </c>
      <c r="B2" t="s">
        <v>41</v>
      </c>
      <c r="C2" s="3"/>
      <c r="D2" s="3"/>
      <c r="E2" s="30" t="s">
        <v>39</v>
      </c>
      <c r="F2" t="s">
        <v>53</v>
      </c>
    </row>
    <row r="3" spans="1:6" ht="13.5" thickBot="1" x14ac:dyDescent="0.25"/>
    <row r="4" spans="1:6" ht="14.25" thickTop="1" thickBot="1" x14ac:dyDescent="0.25">
      <c r="A4" s="5" t="s">
        <v>1</v>
      </c>
      <c r="C4" s="27" t="s">
        <v>38</v>
      </c>
      <c r="D4" s="28" t="s">
        <v>38</v>
      </c>
    </row>
    <row r="5" spans="1:6" ht="13.5" thickTop="1" x14ac:dyDescent="0.2">
      <c r="A5" s="9" t="s">
        <v>29</v>
      </c>
      <c r="B5" s="10"/>
      <c r="C5" s="11">
        <v>-9.5</v>
      </c>
      <c r="D5" s="10" t="s">
        <v>30</v>
      </c>
    </row>
    <row r="6" spans="1:6" x14ac:dyDescent="0.2">
      <c r="A6" s="5" t="s">
        <v>2</v>
      </c>
    </row>
    <row r="7" spans="1:6" x14ac:dyDescent="0.2">
      <c r="A7" t="s">
        <v>3</v>
      </c>
      <c r="C7" s="8">
        <v>54372.595999999998</v>
      </c>
      <c r="D7" s="29" t="s">
        <v>42</v>
      </c>
    </row>
    <row r="8" spans="1:6" x14ac:dyDescent="0.2">
      <c r="A8" t="s">
        <v>4</v>
      </c>
      <c r="C8" s="8">
        <v>0.26263300000000001</v>
      </c>
      <c r="D8" s="29" t="s">
        <v>42</v>
      </c>
    </row>
    <row r="9" spans="1:6" x14ac:dyDescent="0.2">
      <c r="A9" s="24" t="s">
        <v>33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6" x14ac:dyDescent="0.2">
      <c r="A11" s="10" t="s">
        <v>16</v>
      </c>
      <c r="B11" s="10"/>
      <c r="C11" s="21">
        <f ca="1">INTERCEPT(INDIRECT($D$9):G992,INDIRECT($C$9):F992)</f>
        <v>2.2221008397320854E-2</v>
      </c>
      <c r="D11" s="3"/>
      <c r="E11" s="10"/>
    </row>
    <row r="12" spans="1:6" x14ac:dyDescent="0.2">
      <c r="A12" s="10" t="s">
        <v>17</v>
      </c>
      <c r="B12" s="10"/>
      <c r="C12" s="21">
        <f ca="1">SLOPE(INDIRECT($D$9):G992,INDIRECT($C$9):F992)</f>
        <v>-4.7223178812147693E-8</v>
      </c>
      <c r="D12" s="3"/>
      <c r="E12" s="10"/>
    </row>
    <row r="13" spans="1:6" x14ac:dyDescent="0.2">
      <c r="A13" s="10" t="s">
        <v>19</v>
      </c>
      <c r="B13" s="10"/>
      <c r="C13" s="3" t="s">
        <v>14</v>
      </c>
    </row>
    <row r="14" spans="1:6" x14ac:dyDescent="0.2">
      <c r="A14" s="10"/>
      <c r="B14" s="10"/>
      <c r="C14" s="10"/>
    </row>
    <row r="15" spans="1:6" x14ac:dyDescent="0.2">
      <c r="A15" s="12" t="s">
        <v>18</v>
      </c>
      <c r="B15" s="10"/>
      <c r="C15" s="13">
        <f ca="1">(C7+C11)+(C8+C12)*INT(MAX(F21:F3533))</f>
        <v>59482.667583187002</v>
      </c>
      <c r="E15" s="14" t="s">
        <v>35</v>
      </c>
      <c r="F15" s="11">
        <v>1</v>
      </c>
    </row>
    <row r="16" spans="1:6" x14ac:dyDescent="0.2">
      <c r="A16" s="16" t="s">
        <v>5</v>
      </c>
      <c r="B16" s="10"/>
      <c r="C16" s="17">
        <f ca="1">+C8+C12</f>
        <v>0.26263295277682119</v>
      </c>
      <c r="E16" s="14" t="s">
        <v>31</v>
      </c>
      <c r="F16" s="15">
        <f ca="1">NOW()+15018.5+$C$5/24</f>
        <v>59965.791556828699</v>
      </c>
    </row>
    <row r="17" spans="1:21" ht="13.5" thickBot="1" x14ac:dyDescent="0.25">
      <c r="A17" s="14" t="s">
        <v>28</v>
      </c>
      <c r="B17" s="10"/>
      <c r="C17" s="10">
        <f>COUNT(C21:C2191)</f>
        <v>16</v>
      </c>
      <c r="E17" s="14" t="s">
        <v>36</v>
      </c>
      <c r="F17" s="15">
        <f ca="1">ROUND(2*(F16-$C$7)/$C$8,0)/2+F15</f>
        <v>21297.5</v>
      </c>
      <c r="R17">
        <f ca="1">SQRT(SUM(R21:R31)/COUNT(R21:R31))</f>
        <v>2.8517863228860157E-2</v>
      </c>
    </row>
    <row r="18" spans="1:21" ht="14.25" thickTop="1" thickBot="1" x14ac:dyDescent="0.25">
      <c r="A18" s="16" t="s">
        <v>6</v>
      </c>
      <c r="B18" s="10"/>
      <c r="C18" s="19">
        <f ca="1">+C15</f>
        <v>59482.667583187002</v>
      </c>
      <c r="D18" s="20">
        <f ca="1">+C16</f>
        <v>0.26263295277682119</v>
      </c>
      <c r="E18" s="14" t="s">
        <v>37</v>
      </c>
      <c r="F18" s="23">
        <f ca="1">ROUND(2*(F16-$C$15)/$C$16,0)/2+F15</f>
        <v>1840.5</v>
      </c>
    </row>
    <row r="19" spans="1:21" ht="13.5" thickTop="1" x14ac:dyDescent="0.2">
      <c r="E19" s="14" t="s">
        <v>32</v>
      </c>
      <c r="F19" s="18">
        <f ca="1">+$C$15+$C$16*F18-15018.5-$C$5/24</f>
        <v>44947.939366106075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49</v>
      </c>
      <c r="I20" s="7" t="s">
        <v>50</v>
      </c>
      <c r="J20" s="7" t="s">
        <v>51</v>
      </c>
      <c r="K20" s="7" t="s">
        <v>52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4"/>
      <c r="U20" s="26" t="s">
        <v>56</v>
      </c>
    </row>
    <row r="21" spans="1:21" x14ac:dyDescent="0.2">
      <c r="A21" t="str">
        <f>D$7</f>
        <v>VSX</v>
      </c>
      <c r="C21" s="8">
        <f>C$7</f>
        <v>54372.595999999998</v>
      </c>
      <c r="D21" s="8" t="s">
        <v>14</v>
      </c>
      <c r="E21">
        <f t="shared" ref="E21:E31" si="0">+(C21-C$7)/C$8</f>
        <v>0</v>
      </c>
      <c r="F21">
        <f t="shared" ref="F21:F31" si="1">ROUND(2*E21,0)/2</f>
        <v>0</v>
      </c>
      <c r="G21">
        <f t="shared" ref="G21:G30" si="2">+C21-(C$7+F21*C$8)</f>
        <v>0</v>
      </c>
      <c r="I21">
        <f>+G21</f>
        <v>0</v>
      </c>
      <c r="O21">
        <f t="shared" ref="O21:O31" ca="1" si="3">+C$11+C$12*$F21</f>
        <v>2.2221008397320854E-2</v>
      </c>
      <c r="Q21" s="2">
        <f t="shared" ref="Q21:Q31" si="4">+C21-15018.5</f>
        <v>39354.095999999998</v>
      </c>
      <c r="R21" s="40">
        <f t="shared" ref="R21:R30" ca="1" si="5">(O21-G21)^2</f>
        <v>4.9377321419380395E-4</v>
      </c>
    </row>
    <row r="22" spans="1:21" x14ac:dyDescent="0.2">
      <c r="A22" s="32" t="s">
        <v>43</v>
      </c>
      <c r="B22" s="33" t="s">
        <v>44</v>
      </c>
      <c r="C22" s="32">
        <v>55139.631200000003</v>
      </c>
      <c r="D22" s="32">
        <v>2.9999999999999997E-4</v>
      </c>
      <c r="E22">
        <f t="shared" si="0"/>
        <v>2920.5591071952331</v>
      </c>
      <c r="F22">
        <f t="shared" si="1"/>
        <v>2920.5</v>
      </c>
      <c r="G22">
        <f t="shared" si="2"/>
        <v>1.5523500005656388E-2</v>
      </c>
      <c r="K22">
        <f t="shared" ref="K22:K30" si="6">+G22</f>
        <v>1.5523500005656388E-2</v>
      </c>
      <c r="O22">
        <f t="shared" ca="1" si="3"/>
        <v>2.2083093103599977E-2</v>
      </c>
      <c r="Q22" s="2">
        <f t="shared" si="4"/>
        <v>40121.131200000003</v>
      </c>
      <c r="R22" s="40">
        <f t="shared" ca="1" si="5"/>
        <v>4.3028261610589178E-5</v>
      </c>
    </row>
    <row r="23" spans="1:21" x14ac:dyDescent="0.2">
      <c r="A23" s="32" t="s">
        <v>43</v>
      </c>
      <c r="B23" s="33" t="s">
        <v>45</v>
      </c>
      <c r="C23" s="32">
        <v>55139.765299999999</v>
      </c>
      <c r="D23" s="32">
        <v>6.9999999999999999E-4</v>
      </c>
      <c r="E23">
        <f t="shared" si="0"/>
        <v>2921.0697056348645</v>
      </c>
      <c r="F23">
        <f t="shared" si="1"/>
        <v>2921</v>
      </c>
      <c r="G23">
        <f t="shared" si="2"/>
        <v>1.8306999998458195E-2</v>
      </c>
      <c r="K23">
        <f t="shared" si="6"/>
        <v>1.8306999998458195E-2</v>
      </c>
      <c r="O23">
        <f t="shared" ca="1" si="3"/>
        <v>2.2083069492010571E-2</v>
      </c>
      <c r="Q23" s="2">
        <f t="shared" si="4"/>
        <v>40121.265299999999</v>
      </c>
      <c r="R23" s="40">
        <f t="shared" ca="1" si="5"/>
        <v>1.4258700820136898E-5</v>
      </c>
    </row>
    <row r="24" spans="1:21" x14ac:dyDescent="0.2">
      <c r="A24" s="32" t="s">
        <v>46</v>
      </c>
      <c r="B24" s="33" t="s">
        <v>44</v>
      </c>
      <c r="C24" s="32">
        <v>55497.725100000003</v>
      </c>
      <c r="D24" s="32">
        <v>5.9999999999999995E-4</v>
      </c>
      <c r="E24">
        <f t="shared" si="0"/>
        <v>4284.0355172427135</v>
      </c>
      <c r="F24">
        <f t="shared" si="1"/>
        <v>4284</v>
      </c>
      <c r="G24">
        <f t="shared" si="2"/>
        <v>9.3280000073718838E-3</v>
      </c>
      <c r="K24">
        <f t="shared" si="6"/>
        <v>9.3280000073718838E-3</v>
      </c>
      <c r="O24">
        <f t="shared" ca="1" si="3"/>
        <v>2.2018704299289614E-2</v>
      </c>
      <c r="Q24" s="2">
        <f t="shared" si="4"/>
        <v>40479.225100000003</v>
      </c>
      <c r="R24" s="40">
        <f t="shared" ca="1" si="5"/>
        <v>1.6105397542489909E-4</v>
      </c>
    </row>
    <row r="25" spans="1:21" x14ac:dyDescent="0.2">
      <c r="A25" s="32" t="s">
        <v>47</v>
      </c>
      <c r="B25" s="33" t="s">
        <v>44</v>
      </c>
      <c r="C25" s="32">
        <v>55868.718500000003</v>
      </c>
      <c r="D25" s="32">
        <v>5.0000000000000001E-4</v>
      </c>
      <c r="E25">
        <f t="shared" si="0"/>
        <v>5696.6279941972443</v>
      </c>
      <c r="F25">
        <f t="shared" si="1"/>
        <v>5696.5</v>
      </c>
      <c r="G25">
        <f t="shared" si="2"/>
        <v>3.3615500004088972E-2</v>
      </c>
      <c r="K25">
        <f t="shared" si="6"/>
        <v>3.3615500004088972E-2</v>
      </c>
      <c r="O25">
        <f t="shared" ca="1" si="3"/>
        <v>2.1952001559217456E-2</v>
      </c>
      <c r="Q25" s="2">
        <f t="shared" si="4"/>
        <v>40850.218500000003</v>
      </c>
      <c r="R25" s="40">
        <f t="shared" ca="1" si="5"/>
        <v>1.3603719597352027E-4</v>
      </c>
    </row>
    <row r="26" spans="1:21" x14ac:dyDescent="0.2">
      <c r="A26" s="34" t="s">
        <v>48</v>
      </c>
      <c r="B26" s="35" t="s">
        <v>45</v>
      </c>
      <c r="C26" s="36">
        <v>56233.641600000003</v>
      </c>
      <c r="D26" s="36">
        <v>3.0000000000000003E-4</v>
      </c>
      <c r="E26">
        <f t="shared" si="0"/>
        <v>7086.1072294799396</v>
      </c>
      <c r="F26">
        <f t="shared" si="1"/>
        <v>7086</v>
      </c>
      <c r="G26">
        <f t="shared" si="2"/>
        <v>2.8162000002339482E-2</v>
      </c>
      <c r="K26">
        <f t="shared" si="6"/>
        <v>2.8162000002339482E-2</v>
      </c>
      <c r="O26">
        <f t="shared" ca="1" si="3"/>
        <v>2.1886384952257976E-2</v>
      </c>
      <c r="Q26" s="2">
        <f t="shared" si="4"/>
        <v>41215.141600000003</v>
      </c>
      <c r="R26" s="40">
        <f t="shared" ca="1" si="5"/>
        <v>3.9383344256809514E-5</v>
      </c>
    </row>
    <row r="27" spans="1:21" x14ac:dyDescent="0.2">
      <c r="A27" s="34" t="s">
        <v>48</v>
      </c>
      <c r="B27" s="35" t="s">
        <v>44</v>
      </c>
      <c r="C27" s="36">
        <v>56233.769500000002</v>
      </c>
      <c r="D27" s="36">
        <v>5.0000000000000001E-4</v>
      </c>
      <c r="E27">
        <f t="shared" si="0"/>
        <v>7086.5942208328897</v>
      </c>
      <c r="F27">
        <f t="shared" si="1"/>
        <v>7086.5</v>
      </c>
      <c r="G27">
        <f t="shared" si="2"/>
        <v>2.4745500006247312E-2</v>
      </c>
      <c r="K27">
        <f t="shared" si="6"/>
        <v>2.4745500006247312E-2</v>
      </c>
      <c r="O27">
        <f t="shared" ca="1" si="3"/>
        <v>2.188636134066857E-2</v>
      </c>
      <c r="Q27" s="2">
        <f t="shared" si="4"/>
        <v>41215.269500000002</v>
      </c>
      <c r="R27" s="40">
        <f t="shared" ca="1" si="5"/>
        <v>8.1746739090073895E-6</v>
      </c>
    </row>
    <row r="28" spans="1:21" x14ac:dyDescent="0.2">
      <c r="A28" s="31" t="s">
        <v>54</v>
      </c>
      <c r="C28" s="8">
        <v>57615.773200000003</v>
      </c>
      <c r="D28" s="8">
        <v>2.0000000000000001E-4</v>
      </c>
      <c r="E28">
        <f t="shared" si="0"/>
        <v>12348.704085168298</v>
      </c>
      <c r="F28">
        <f t="shared" si="1"/>
        <v>12348.5</v>
      </c>
      <c r="G28">
        <f t="shared" si="2"/>
        <v>5.3599500002746936E-2</v>
      </c>
      <c r="K28">
        <f t="shared" si="6"/>
        <v>5.3599500002746936E-2</v>
      </c>
      <c r="O28">
        <f t="shared" ca="1" si="3"/>
        <v>2.1637872973759048E-2</v>
      </c>
      <c r="Q28" s="2">
        <f t="shared" si="4"/>
        <v>42597.273200000003</v>
      </c>
      <c r="R28" s="40">
        <f t="shared" ca="1" si="5"/>
        <v>1.0215456023401292E-3</v>
      </c>
    </row>
    <row r="29" spans="1:21" x14ac:dyDescent="0.2">
      <c r="A29" s="37" t="s">
        <v>0</v>
      </c>
      <c r="B29" s="38" t="s">
        <v>44</v>
      </c>
      <c r="C29" s="39">
        <v>58011.305699999997</v>
      </c>
      <c r="D29" s="39">
        <v>1E-4</v>
      </c>
      <c r="E29">
        <f t="shared" si="0"/>
        <v>13854.731507464787</v>
      </c>
      <c r="F29">
        <f t="shared" si="1"/>
        <v>13854.5</v>
      </c>
      <c r="G29">
        <f t="shared" si="2"/>
        <v>6.0801499996159691E-2</v>
      </c>
      <c r="K29">
        <f t="shared" si="6"/>
        <v>6.0801499996159691E-2</v>
      </c>
      <c r="O29">
        <f t="shared" ca="1" si="3"/>
        <v>2.1566754866467953E-2</v>
      </c>
      <c r="Q29" s="2">
        <f t="shared" si="4"/>
        <v>42992.805699999997</v>
      </c>
      <c r="R29" s="40">
        <f t="shared" ca="1" si="5"/>
        <v>1.5393652253918695E-3</v>
      </c>
    </row>
    <row r="30" spans="1:21" x14ac:dyDescent="0.2">
      <c r="A30" s="37" t="s">
        <v>0</v>
      </c>
      <c r="B30" s="38" t="s">
        <v>44</v>
      </c>
      <c r="C30" s="39">
        <v>58011.438499999997</v>
      </c>
      <c r="D30" s="39">
        <v>2.5000000000000001E-3</v>
      </c>
      <c r="E30">
        <f t="shared" si="0"/>
        <v>13855.237156031415</v>
      </c>
      <c r="F30">
        <f t="shared" si="1"/>
        <v>13855</v>
      </c>
      <c r="G30">
        <f t="shared" si="2"/>
        <v>6.2284999999974389E-2</v>
      </c>
      <c r="K30">
        <f t="shared" si="6"/>
        <v>6.2284999999974389E-2</v>
      </c>
      <c r="O30">
        <f t="shared" ca="1" si="3"/>
        <v>2.1566731254878548E-2</v>
      </c>
      <c r="Q30" s="2">
        <f t="shared" si="4"/>
        <v>42992.938499999997</v>
      </c>
      <c r="R30" s="40">
        <f t="shared" ca="1" si="5"/>
        <v>1.6579774095978488E-3</v>
      </c>
    </row>
    <row r="31" spans="1:21" x14ac:dyDescent="0.2">
      <c r="A31" s="5" t="s">
        <v>55</v>
      </c>
      <c r="C31" s="8">
        <v>58724.778299999998</v>
      </c>
      <c r="D31" s="8">
        <v>2.9999999999999997E-4</v>
      </c>
      <c r="E31">
        <f t="shared" ref="E31:E36" si="7">+(C31-C$7)/C$8</f>
        <v>16571.345946625141</v>
      </c>
      <c r="F31">
        <f t="shared" ref="F31:F36" si="8">ROUND(2*E31,0)/2</f>
        <v>16571.5</v>
      </c>
      <c r="G31">
        <f t="shared" ref="G31:G36" si="9">+C31-(C$7+F31*C$8)</f>
        <v>-4.0459499999997206E-2</v>
      </c>
      <c r="K31">
        <f t="shared" ref="K31:K36" si="10">+G31</f>
        <v>-4.0459499999997206E-2</v>
      </c>
      <c r="O31">
        <f t="shared" ref="O31:O36" ca="1" si="11">+C$11+C$12*$F31</f>
        <v>2.1438449489635348E-2</v>
      </c>
      <c r="Q31" s="2">
        <f t="shared" ref="Q31:Q36" si="12">+C31-15018.5</f>
        <v>43706.278299999998</v>
      </c>
      <c r="R31" s="40">
        <f t="shared" ref="R31:R36" ca="1" si="13">(O31-G31)^2</f>
        <v>3.8313561510211025E-3</v>
      </c>
      <c r="U31">
        <f>+C31-(C$7+F31*C$8)</f>
        <v>-4.0459499999997206E-2</v>
      </c>
    </row>
    <row r="32" spans="1:21" x14ac:dyDescent="0.2">
      <c r="A32" s="42" t="s">
        <v>58</v>
      </c>
      <c r="B32" s="43" t="s">
        <v>44</v>
      </c>
      <c r="C32" s="44">
        <v>59108.424899999998</v>
      </c>
      <c r="D32" s="42">
        <v>1.5E-3</v>
      </c>
      <c r="E32">
        <f t="shared" si="7"/>
        <v>18032.11667992979</v>
      </c>
      <c r="F32">
        <f t="shared" si="8"/>
        <v>18032</v>
      </c>
      <c r="G32">
        <f t="shared" si="9"/>
        <v>3.0643999998574145E-2</v>
      </c>
      <c r="K32">
        <f t="shared" si="10"/>
        <v>3.0643999998574145E-2</v>
      </c>
      <c r="O32">
        <f t="shared" ca="1" si="11"/>
        <v>2.1369480036980207E-2</v>
      </c>
      <c r="Q32" s="2">
        <f t="shared" si="12"/>
        <v>44089.924899999998</v>
      </c>
      <c r="R32" s="40">
        <f t="shared" ca="1" si="13"/>
        <v>8.6016720518004429E-5</v>
      </c>
    </row>
    <row r="33" spans="1:18" x14ac:dyDescent="0.2">
      <c r="A33" s="42" t="s">
        <v>58</v>
      </c>
      <c r="B33" s="43" t="s">
        <v>44</v>
      </c>
      <c r="C33" s="44">
        <v>59108.555800000002</v>
      </c>
      <c r="D33" s="42">
        <v>1.6000000000000001E-3</v>
      </c>
      <c r="E33">
        <f t="shared" si="7"/>
        <v>18032.615094066641</v>
      </c>
      <c r="F33">
        <f t="shared" si="8"/>
        <v>18032.5</v>
      </c>
      <c r="G33">
        <f t="shared" si="9"/>
        <v>3.0227500006731134E-2</v>
      </c>
      <c r="K33">
        <f t="shared" si="10"/>
        <v>3.0227500006731134E-2</v>
      </c>
      <c r="O33">
        <f t="shared" ca="1" si="11"/>
        <v>2.1369456425390801E-2</v>
      </c>
      <c r="Q33" s="2">
        <f t="shared" si="12"/>
        <v>44090.055800000002</v>
      </c>
      <c r="R33" s="40">
        <f t="shared" ca="1" si="13"/>
        <v>7.8464936088924677E-5</v>
      </c>
    </row>
    <row r="34" spans="1:18" x14ac:dyDescent="0.2">
      <c r="A34" s="42" t="s">
        <v>58</v>
      </c>
      <c r="B34" s="43" t="s">
        <v>44</v>
      </c>
      <c r="C34" s="44">
        <v>59482.391900000002</v>
      </c>
      <c r="D34" s="42">
        <v>8.9999999999999998E-4</v>
      </c>
      <c r="E34">
        <f t="shared" si="7"/>
        <v>19456.031420270891</v>
      </c>
      <c r="F34">
        <f t="shared" si="8"/>
        <v>19456</v>
      </c>
      <c r="G34">
        <f t="shared" si="9"/>
        <v>8.2520000069052912E-3</v>
      </c>
      <c r="K34">
        <f t="shared" si="10"/>
        <v>8.2520000069052912E-3</v>
      </c>
      <c r="O34">
        <f t="shared" ca="1" si="11"/>
        <v>2.130223423035171E-2</v>
      </c>
      <c r="Q34" s="2">
        <f t="shared" si="12"/>
        <v>44463.891900000002</v>
      </c>
      <c r="R34" s="40">
        <f t="shared" ca="1" si="13"/>
        <v>1.7030861328681213E-4</v>
      </c>
    </row>
    <row r="35" spans="1:18" x14ac:dyDescent="0.2">
      <c r="A35" s="42" t="s">
        <v>58</v>
      </c>
      <c r="B35" s="43" t="s">
        <v>44</v>
      </c>
      <c r="C35" s="44">
        <v>59482.522900000004</v>
      </c>
      <c r="D35" s="42">
        <v>1.2999999999999999E-3</v>
      </c>
      <c r="E35">
        <f t="shared" si="7"/>
        <v>19456.530215167193</v>
      </c>
      <c r="F35">
        <f t="shared" si="8"/>
        <v>19456.5</v>
      </c>
      <c r="G35">
        <f t="shared" si="9"/>
        <v>7.9355000052601099E-3</v>
      </c>
      <c r="K35">
        <f t="shared" si="10"/>
        <v>7.9355000052601099E-3</v>
      </c>
      <c r="O35">
        <f t="shared" ca="1" si="11"/>
        <v>2.1302210618762304E-2</v>
      </c>
      <c r="Q35" s="2">
        <f t="shared" si="12"/>
        <v>44464.022900000004</v>
      </c>
      <c r="R35" s="40">
        <f t="shared" ca="1" si="13"/>
        <v>1.7866895262511219E-4</v>
      </c>
    </row>
    <row r="36" spans="1:18" x14ac:dyDescent="0.2">
      <c r="A36" s="42" t="s">
        <v>58</v>
      </c>
      <c r="B36" s="43" t="s">
        <v>44</v>
      </c>
      <c r="C36" s="44">
        <v>59482.650300000001</v>
      </c>
      <c r="D36" s="42">
        <v>4.0000000000000002E-4</v>
      </c>
      <c r="E36">
        <f t="shared" si="7"/>
        <v>19457.015302722823</v>
      </c>
      <c r="F36">
        <f t="shared" si="8"/>
        <v>19457</v>
      </c>
      <c r="G36">
        <f t="shared" si="9"/>
        <v>4.0190000072470866E-3</v>
      </c>
      <c r="K36">
        <f t="shared" si="10"/>
        <v>4.0190000072470866E-3</v>
      </c>
      <c r="O36">
        <f t="shared" ca="1" si="11"/>
        <v>2.1302187007172894E-2</v>
      </c>
      <c r="Q36" s="2">
        <f t="shared" si="12"/>
        <v>44464.150300000001</v>
      </c>
      <c r="R36" s="40">
        <f t="shared" ca="1" si="13"/>
        <v>2.9870855287440442E-4</v>
      </c>
    </row>
    <row r="37" spans="1:18" x14ac:dyDescent="0.2">
      <c r="C37" s="8"/>
      <c r="D37" s="8"/>
    </row>
    <row r="38" spans="1:18" x14ac:dyDescent="0.2">
      <c r="C38" s="8"/>
      <c r="D38" s="8"/>
    </row>
    <row r="39" spans="1:18" x14ac:dyDescent="0.2">
      <c r="C39" s="8"/>
      <c r="D39" s="8"/>
    </row>
    <row r="40" spans="1:18" x14ac:dyDescent="0.2">
      <c r="C40" s="8"/>
      <c r="D40" s="8"/>
    </row>
    <row r="41" spans="1:18" x14ac:dyDescent="0.2">
      <c r="C41" s="8"/>
      <c r="D41" s="8"/>
    </row>
    <row r="42" spans="1:18" x14ac:dyDescent="0.2">
      <c r="C42" s="8"/>
      <c r="D42" s="8"/>
    </row>
    <row r="43" spans="1:18" x14ac:dyDescent="0.2">
      <c r="C43" s="8"/>
      <c r="D43" s="8"/>
    </row>
    <row r="44" spans="1:18" x14ac:dyDescent="0.2">
      <c r="C44" s="8"/>
      <c r="D44" s="8"/>
    </row>
    <row r="45" spans="1:18" x14ac:dyDescent="0.2">
      <c r="C45" s="8"/>
      <c r="D45" s="8"/>
    </row>
    <row r="46" spans="1:18" x14ac:dyDescent="0.2">
      <c r="C46" s="8"/>
      <c r="D46" s="8"/>
    </row>
    <row r="47" spans="1:18" x14ac:dyDescent="0.2">
      <c r="C47" s="8"/>
      <c r="D47" s="8"/>
    </row>
    <row r="48" spans="1:18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8" type="noConversion"/>
  <hyperlinks>
    <hyperlink ref="H63355" r:id="rId1" display="http://vsolj.cetus-net.org/bulletin.html"/>
    <hyperlink ref="H63348" r:id="rId2" display="https://www.aavso.org/ejaavso"/>
    <hyperlink ref="AP206" r:id="rId3" display="http://cdsbib.u-strasbg.fr/cgi-bin/cdsbib?1990RMxAA..21..381G"/>
    <hyperlink ref="AP203" r:id="rId4" display="http://cdsbib.u-strasbg.fr/cgi-bin/cdsbib?1990RMxAA..21..381G"/>
    <hyperlink ref="AP205" r:id="rId5" display="http://cdsbib.u-strasbg.fr/cgi-bin/cdsbib?1990RMxAA..21..381G"/>
    <hyperlink ref="AP181" r:id="rId6" display="http://cdsbib.u-strasbg.fr/cgi-bin/cdsbib?1990RMxAA..21..381G"/>
    <hyperlink ref="I63355" r:id="rId7" display="http://vsolj.cetus-net.org/bulletin.html"/>
    <hyperlink ref="AQ342" r:id="rId8" display="http://cdsbib.u-strasbg.fr/cgi-bin/cdsbib?1990RMxAA..21..381G"/>
    <hyperlink ref="AQ1986" r:id="rId9" display="http://cdsbib.u-strasbg.fr/cgi-bin/cdsbib?1990RMxAA..21..381G"/>
    <hyperlink ref="AQ343" r:id="rId10" display="http://cdsbib.u-strasbg.fr/cgi-bin/cdsbib?1990RMxAA..21..381G"/>
    <hyperlink ref="H63352" r:id="rId11" display="https://www.aavso.org/ejaavso"/>
    <hyperlink ref="H1193" r:id="rId12" display="http://vsolj.cetus-net.org/bulletin.html"/>
    <hyperlink ref="AP4431" r:id="rId13" display="http://cdsbib.u-strasbg.fr/cgi-bin/cdsbib?1990RMxAA..21..381G"/>
    <hyperlink ref="AP4434" r:id="rId14" display="http://cdsbib.u-strasbg.fr/cgi-bin/cdsbib?1990RMxAA..21..381G"/>
    <hyperlink ref="AP4432" r:id="rId15" display="http://cdsbib.u-strasbg.fr/cgi-bin/cdsbib?1990RMxAA..21..381G"/>
    <hyperlink ref="AP4410" r:id="rId16" display="http://cdsbib.u-strasbg.fr/cgi-bin/cdsbib?1990RMxAA..21..381G"/>
    <hyperlink ref="I1193" r:id="rId17" display="http://vsolj.cetus-net.org/bulletin.html"/>
    <hyperlink ref="AQ4544" r:id="rId18" display="http://cdsbib.u-strasbg.fr/cgi-bin/cdsbib?1990RMxAA..21..381G"/>
    <hyperlink ref="AQ64632" r:id="rId19" display="http://cdsbib.u-strasbg.fr/cgi-bin/cdsbib?1990RMxAA..21..381G"/>
    <hyperlink ref="AQ4545" r:id="rId20" display="http://cdsbib.u-strasbg.fr/cgi-bin/cdsbib?1990RMxAA..21..381G"/>
  </hyperlinks>
  <pageMargins left="0.75" right="0.75" top="1" bottom="1" header="0.5" footer="0.5"/>
  <pageSetup orientation="portrait" verticalDpi="0" r:id="rId21"/>
  <headerFooter alignWithMargins="0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Active1</vt:lpstr>
      <vt:lpstr>Active 2</vt:lpstr>
      <vt:lpstr>Active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2023-01-21T05:59:50Z</dcterms:modified>
</cp:coreProperties>
</file>