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F223063E-78D1-4866-8191-A45E6AB93F08}" xr6:coauthVersionLast="47" xr6:coauthVersionMax="47" xr10:uidLastSave="{00000000-0000-0000-0000-000000000000}"/>
  <bookViews>
    <workbookView xWindow="13980" yWindow="540" windowWidth="12735" windowHeight="14580"/>
  </bookViews>
  <sheets>
    <sheet name="Active" sheetId="1" r:id="rId1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33" i="1" l="1"/>
  <c r="F33" i="1"/>
  <c r="G33" i="1" s="1"/>
  <c r="K33" i="1" s="1"/>
  <c r="Q33" i="1"/>
  <c r="E27" i="1"/>
  <c r="F27" i="1"/>
  <c r="G27" i="1"/>
  <c r="K27" i="1"/>
  <c r="E31" i="1"/>
  <c r="F31" i="1"/>
  <c r="G31" i="1"/>
  <c r="K31" i="1"/>
  <c r="E26" i="1"/>
  <c r="F26" i="1"/>
  <c r="E28" i="1"/>
  <c r="F28" i="1"/>
  <c r="E29" i="1"/>
  <c r="F29" i="1"/>
  <c r="G29" i="1"/>
  <c r="K29" i="1"/>
  <c r="E30" i="1"/>
  <c r="F30" i="1"/>
  <c r="G30" i="1"/>
  <c r="K30" i="1"/>
  <c r="E32" i="1"/>
  <c r="F32" i="1"/>
  <c r="G32" i="1"/>
  <c r="K32" i="1"/>
  <c r="D11" i="1"/>
  <c r="P30" i="1" s="1"/>
  <c r="R30" i="1" s="1"/>
  <c r="T30" i="1" s="1"/>
  <c r="D12" i="1"/>
  <c r="P32" i="1" s="1"/>
  <c r="R32" i="1" s="1"/>
  <c r="T32" i="1" s="1"/>
  <c r="D13" i="1"/>
  <c r="Q27" i="1"/>
  <c r="Q31" i="1"/>
  <c r="Q32" i="1"/>
  <c r="Q28" i="1"/>
  <c r="F22" i="1"/>
  <c r="G22" i="1"/>
  <c r="E23" i="1"/>
  <c r="F23" i="1"/>
  <c r="G23" i="1"/>
  <c r="K23" i="1"/>
  <c r="E24" i="1"/>
  <c r="F24" i="1"/>
  <c r="G24" i="1"/>
  <c r="K24" i="1"/>
  <c r="E25" i="1"/>
  <c r="F25" i="1"/>
  <c r="G25" i="1"/>
  <c r="K25" i="1"/>
  <c r="D9" i="1"/>
  <c r="C9" i="1"/>
  <c r="Q29" i="1"/>
  <c r="Q22" i="1"/>
  <c r="Q21" i="1"/>
  <c r="W13" i="1"/>
  <c r="W5" i="1"/>
  <c r="W2" i="1"/>
  <c r="Q30" i="1"/>
  <c r="E22" i="1"/>
  <c r="K22" i="1"/>
  <c r="Q23" i="1"/>
  <c r="Q24" i="1"/>
  <c r="Q25" i="1"/>
  <c r="Q26" i="1"/>
  <c r="A21" i="1"/>
  <c r="C21" i="1"/>
  <c r="E21" i="1"/>
  <c r="F21" i="1"/>
  <c r="F16" i="1"/>
  <c r="F17" i="1" s="1"/>
  <c r="C17" i="1"/>
  <c r="G21" i="1"/>
  <c r="H21" i="1"/>
  <c r="G28" i="1"/>
  <c r="K28" i="1"/>
  <c r="P28" i="1"/>
  <c r="R28" i="1" s="1"/>
  <c r="T28" i="1" s="1"/>
  <c r="G26" i="1"/>
  <c r="W15" i="1"/>
  <c r="P23" i="1"/>
  <c r="R23" i="1" s="1"/>
  <c r="T23" i="1" s="1"/>
  <c r="P27" i="1"/>
  <c r="R27" i="1"/>
  <c r="T27" i="1" s="1"/>
  <c r="P25" i="1"/>
  <c r="R25" i="1"/>
  <c r="T25" i="1" s="1"/>
  <c r="W6" i="1"/>
  <c r="W14" i="1"/>
  <c r="K26" i="1"/>
  <c r="C12" i="1"/>
  <c r="C11" i="1"/>
  <c r="O33" i="1" l="1"/>
  <c r="P33" i="1"/>
  <c r="R33" i="1" s="1"/>
  <c r="T33" i="1" s="1"/>
  <c r="D15" i="1"/>
  <c r="C19" i="1" s="1"/>
  <c r="O32" i="1"/>
  <c r="O24" i="1"/>
  <c r="O21" i="1"/>
  <c r="O31" i="1"/>
  <c r="C15" i="1"/>
  <c r="O28" i="1"/>
  <c r="O25" i="1"/>
  <c r="O22" i="1"/>
  <c r="O30" i="1"/>
  <c r="O29" i="1"/>
  <c r="O23" i="1"/>
  <c r="O27" i="1"/>
  <c r="O26" i="1"/>
  <c r="C16" i="1"/>
  <c r="D18" i="1" s="1"/>
  <c r="W12" i="1"/>
  <c r="W4" i="1"/>
  <c r="P31" i="1"/>
  <c r="R31" i="1" s="1"/>
  <c r="T31" i="1" s="1"/>
  <c r="W7" i="1"/>
  <c r="W8" i="1"/>
  <c r="P21" i="1"/>
  <c r="R21" i="1" s="1"/>
  <c r="T21" i="1" s="1"/>
  <c r="P29" i="1"/>
  <c r="R29" i="1" s="1"/>
  <c r="T29" i="1" s="1"/>
  <c r="P26" i="1"/>
  <c r="R26" i="1" s="1"/>
  <c r="T26" i="1" s="1"/>
  <c r="D16" i="1"/>
  <c r="D19" i="1" s="1"/>
  <c r="W11" i="1"/>
  <c r="W9" i="1"/>
  <c r="P24" i="1"/>
  <c r="R24" i="1" s="1"/>
  <c r="T24" i="1" s="1"/>
  <c r="P22" i="1"/>
  <c r="R22" i="1" s="1"/>
  <c r="T22" i="1" s="1"/>
  <c r="W3" i="1"/>
  <c r="W10" i="1"/>
  <c r="C18" i="1" l="1"/>
  <c r="F18" i="1"/>
  <c r="F19" i="1" s="1"/>
  <c r="E14" i="1"/>
</calcChain>
</file>

<file path=xl/sharedStrings.xml><?xml version="1.0" encoding="utf-8"?>
<sst xmlns="http://schemas.openxmlformats.org/spreadsheetml/2006/main" count="78" uniqueCount="63">
  <si>
    <t>VSB-66</t>
  </si>
  <si>
    <t>VSB-059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</si>
  <si>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</si>
  <si>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</si>
  <si>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</si>
  <si>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</si>
  <si>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</si>
  <si>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</si>
  <si>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</si>
  <si>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</si>
  <si>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</si>
  <si>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</si>
  <si>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</si>
  <si>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</si>
  <si>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</si>
  <si>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</si>
  <si>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</si>
  <si>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</si>
  <si>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</si>
  <si>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</si>
  <si>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</si>
  <si>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</si>
  <si>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</si>
  <si>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</si>
  <si>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</si>
  <si>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</si>
  <si>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</si>
  <si>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</si>
  <si>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</si>
  <si>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</si>
  <si>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</si>
  <si>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</si>
  <si>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</si>
  <si>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</si>
  <si>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</si>
  <si>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</si>
  <si>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</si>
  <si>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</si>
  <si>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</si>
  <si>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V0619 Peg / GSC 1174-0344</t>
  </si>
  <si>
    <t>EW</t>
  </si>
  <si>
    <t>VSX</t>
  </si>
  <si>
    <t>IBVS 5791</t>
  </si>
  <si>
    <t>I</t>
  </si>
  <si>
    <t>II</t>
  </si>
  <si>
    <t>IBVS 5920</t>
  </si>
  <si>
    <t>IBVS 5960</t>
  </si>
  <si>
    <t>IBVS 6042</t>
  </si>
  <si>
    <t>pg</t>
  </si>
  <si>
    <t>vis</t>
  </si>
  <si>
    <t>PE</t>
  </si>
  <si>
    <t>CCD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</si>
  <si>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</si>
  <si>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</si>
  <si>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</si>
  <si>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</si>
  <si>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</si>
  <si>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IBVS 6195</t>
  </si>
  <si>
    <t>IBVS 6209</t>
  </si>
  <si>
    <t>IBVS 6196</t>
  </si>
  <si>
    <t>RHN 2018</t>
  </si>
  <si>
    <t>C</t>
  </si>
  <si>
    <t>IBVS, 63, 6262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</si>
</sst>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5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9" fillId="0" borderId="0"/>
    <xf numFmtId="0" fontId="19" fillId="0" borderId="0"/>
    <xf numFmtId="0" fontId="17" fillId="0" borderId="0"/>
    <xf numFmtId="0" fontId="17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11" fontId="0" fillId="0" borderId="0" xfId="0" applyNumberFormat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4" fillId="0" borderId="0" xfId="0" applyFont="1" applyAlignment="1"/>
    <xf numFmtId="14" fontId="17" fillId="0" borderId="0" xfId="0" applyNumberFormat="1" applyFont="1" applyAlignment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42" applyFont="1" applyAlignment="1">
      <alignment wrapText="1"/>
    </xf>
    <xf numFmtId="0" fontId="14" fillId="0" borderId="0" xfId="42" applyFont="1" applyAlignment="1">
      <alignment horizontal="center" wrapText="1"/>
    </xf>
    <xf numFmtId="0" fontId="14" fillId="0" borderId="0" xfId="42" applyFont="1" applyAlignment="1">
      <alignment horizontal="left" wrapText="1"/>
    </xf>
    <xf numFmtId="0" fontId="33" fillId="0" borderId="0" xfId="41" applyFont="1" applyAlignment="1">
      <alignment wrapText="1"/>
    </xf>
    <xf numFmtId="0" fontId="33" fillId="0" borderId="0" xfId="41" applyFont="1" applyAlignment="1">
      <alignment horizontal="center" wrapText="1"/>
    </xf>
    <xf numFmtId="0" fontId="33" fillId="0" borderId="0" xfId="41" applyFont="1" applyAlignment="1">
      <alignment horizontal="left" wrapText="1"/>
    </xf>
    <xf numFmtId="0" fontId="33" fillId="0" borderId="0" xfId="43" applyFont="1" applyAlignment="1">
      <alignment horizontal="left"/>
    </xf>
    <xf numFmtId="0" fontId="33" fillId="0" borderId="0" xfId="43" applyFont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72" fontId="34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rmal_A_2" xfId="42"/>
    <cellStyle name="Normal_A_A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V0619 Peg - O-C Diagr.</a:t>
            </a:r>
          </a:p>
        </c:rich>
      </c:tx>
      <c:layout>
        <c:manualLayout>
          <c:xMode val="edge"/>
          <c:yMode val="edge"/>
          <c:x val="0.3769123783031989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467315716272"/>
          <c:y val="0.13953488372093023"/>
          <c:w val="0.83031988873435325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21-40A9-BD44-90B4CC090B2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21-40A9-BD44-90B4CC090B2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21-40A9-BD44-90B4CC090B2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-2.6050000014947727E-3</c:v>
                </c:pt>
                <c:pt idx="2">
                  <c:v>-2.9799999974784441E-3</c:v>
                </c:pt>
                <c:pt idx="3">
                  <c:v>3.8849999982630834E-3</c:v>
                </c:pt>
                <c:pt idx="4">
                  <c:v>5.5799999972805381E-3</c:v>
                </c:pt>
                <c:pt idx="5">
                  <c:v>1.4144999993732199E-2</c:v>
                </c:pt>
                <c:pt idx="6">
                  <c:v>2.7260000169917475E-2</c:v>
                </c:pt>
                <c:pt idx="7">
                  <c:v>3.8059999998949934E-2</c:v>
                </c:pt>
                <c:pt idx="8">
                  <c:v>3.620999999839114E-2</c:v>
                </c:pt>
                <c:pt idx="9">
                  <c:v>4.5559999998658895E-2</c:v>
                </c:pt>
                <c:pt idx="10">
                  <c:v>6.4919999989797361E-2</c:v>
                </c:pt>
                <c:pt idx="11">
                  <c:v>6.520499999896856E-2</c:v>
                </c:pt>
                <c:pt idx="12">
                  <c:v>6.5105000001494773E-2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21-40A9-BD44-90B4CC090B2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21-40A9-BD44-90B4CC090B2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21-40A9-BD44-90B4CC090B2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2.0000000000000001E-4</c:v>
                  </c:pt>
                  <c:pt idx="3">
                    <c:v>2.0000000000000001E-4</c:v>
                  </c:pt>
                  <c:pt idx="4">
                    <c:v>2.0000000000000001E-4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3.8999999999999998E-3</c:v>
                  </c:pt>
                  <c:pt idx="8">
                    <c:v>2.5999999999999998E-4</c:v>
                  </c:pt>
                  <c:pt idx="9">
                    <c:v>2.0000000000000001E-4</c:v>
                  </c:pt>
                  <c:pt idx="10">
                    <c:v>0</c:v>
                  </c:pt>
                  <c:pt idx="11">
                    <c:v>2.9999999999999997E-4</c:v>
                  </c:pt>
                  <c:pt idx="1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21-40A9-BD44-90B4CC090B2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-3.5532515714593357E-2</c:v>
                </c:pt>
                <c:pt idx="1">
                  <c:v>-4.176275951197303E-2</c:v>
                </c:pt>
                <c:pt idx="2">
                  <c:v>-4.1738961789293962E-2</c:v>
                </c:pt>
                <c:pt idx="3">
                  <c:v>-1.4623836568765317E-2</c:v>
                </c:pt>
                <c:pt idx="4">
                  <c:v>-6.0994923051236119E-3</c:v>
                </c:pt>
                <c:pt idx="5">
                  <c:v>1.197249829735967E-2</c:v>
                </c:pt>
                <c:pt idx="6">
                  <c:v>2.8854602765889623E-2</c:v>
                </c:pt>
                <c:pt idx="7">
                  <c:v>3.7897737383934982E-2</c:v>
                </c:pt>
                <c:pt idx="8">
                  <c:v>3.8335615481229809E-2</c:v>
                </c:pt>
                <c:pt idx="9">
                  <c:v>4.5893772204101402E-2</c:v>
                </c:pt>
                <c:pt idx="10">
                  <c:v>6.4018117796478632E-2</c:v>
                </c:pt>
                <c:pt idx="11">
                  <c:v>6.4746328110458079E-2</c:v>
                </c:pt>
                <c:pt idx="12">
                  <c:v>6.4746328110458079E-2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121-40A9-BD44-90B4CC090B2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-654.5</c:v>
                </c:pt>
                <c:pt idx="2">
                  <c:v>-652</c:v>
                </c:pt>
                <c:pt idx="3">
                  <c:v>2196.5</c:v>
                </c:pt>
                <c:pt idx="4">
                  <c:v>3092</c:v>
                </c:pt>
                <c:pt idx="5">
                  <c:v>4990.5</c:v>
                </c:pt>
                <c:pt idx="6">
                  <c:v>6764</c:v>
                </c:pt>
                <c:pt idx="7">
                  <c:v>7714</c:v>
                </c:pt>
                <c:pt idx="8">
                  <c:v>7760</c:v>
                </c:pt>
                <c:pt idx="9">
                  <c:v>8554</c:v>
                </c:pt>
                <c:pt idx="10">
                  <c:v>10458</c:v>
                </c:pt>
                <c:pt idx="11">
                  <c:v>10534.5</c:v>
                </c:pt>
                <c:pt idx="12">
                  <c:v>10534.5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121-40A9-BD44-90B4CC090B20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Active!$V$2:$V$15</c:f>
              <c:numCache>
                <c:formatCode>General</c:formatCode>
                <c:ptCount val="14"/>
                <c:pt idx="0">
                  <c:v>-2000</c:v>
                </c:pt>
                <c:pt idx="1">
                  <c:v>-1000</c:v>
                </c:pt>
                <c:pt idx="2">
                  <c:v>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11000</c:v>
                </c:pt>
              </c:numCache>
            </c:numRef>
          </c:xVal>
          <c:yVal>
            <c:numRef>
              <c:f>Active!$W$2:$W$15</c:f>
              <c:numCache>
                <c:formatCode>General</c:formatCode>
                <c:ptCount val="14"/>
                <c:pt idx="0">
                  <c:v>-1.3052182247198759E-3</c:v>
                </c:pt>
                <c:pt idx="1">
                  <c:v>-2.0219263788316053E-3</c:v>
                </c:pt>
                <c:pt idx="2">
                  <c:v>-1.6849193760501715E-3</c:v>
                </c:pt>
                <c:pt idx="3">
                  <c:v>-2.9419721637557485E-4</c:v>
                </c:pt>
                <c:pt idx="4">
                  <c:v>2.1502401001921847E-3</c:v>
                </c:pt>
                <c:pt idx="5">
                  <c:v>5.6483925736531063E-3</c:v>
                </c:pt>
                <c:pt idx="6">
                  <c:v>1.0200260204007192E-2</c:v>
                </c:pt>
                <c:pt idx="7">
                  <c:v>1.580584299125444E-2</c:v>
                </c:pt>
                <c:pt idx="8">
                  <c:v>2.246514093539485E-2</c:v>
                </c:pt>
                <c:pt idx="9">
                  <c:v>3.0178154036428425E-2</c:v>
                </c:pt>
                <c:pt idx="10">
                  <c:v>3.8944882294355165E-2</c:v>
                </c:pt>
                <c:pt idx="11">
                  <c:v>4.8765325709175064E-2</c:v>
                </c:pt>
                <c:pt idx="12">
                  <c:v>5.9639484280888125E-2</c:v>
                </c:pt>
                <c:pt idx="13">
                  <c:v>7.1567358009494347E-2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121-40A9-BD44-90B4CC09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188784"/>
        <c:axId val="1"/>
      </c:scatterChart>
      <c:valAx>
        <c:axId val="80818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3936022253125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1887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10570236439498"/>
          <c:y val="0.92441860465116277"/>
          <c:w val="0.74408901251738524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628650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C24E0A52-940B-F6C4-0799-CAB34696C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40"/>
  <sheetViews>
    <sheetView tabSelected="1" workbookViewId="0">
      <selection activeCell="F8" sqref="F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9.85546875" style="3" customWidth="1"/>
    <col min="20" max="20" width="9.85546875" customWidth="1"/>
  </cols>
  <sheetData>
    <row r="1" spans="1:23" ht="21" thickBot="1" x14ac:dyDescent="0.35">
      <c r="A1" s="1" t="s">
        <v>39</v>
      </c>
      <c r="V1" s="4" t="s">
        <v>11</v>
      </c>
      <c r="W1" s="6" t="s">
        <v>22</v>
      </c>
    </row>
    <row r="2" spans="1:23" x14ac:dyDescent="0.2">
      <c r="A2" t="s">
        <v>24</v>
      </c>
      <c r="B2" t="s">
        <v>40</v>
      </c>
      <c r="C2" s="3"/>
      <c r="D2" s="3"/>
      <c r="E2" s="28"/>
      <c r="V2" s="30">
        <v>-2000</v>
      </c>
      <c r="W2" s="30">
        <f t="shared" ref="W2:W14" si="0">+D$11+D$12*V2+D$13*V2^2</f>
        <v>-1.3052182247198759E-3</v>
      </c>
    </row>
    <row r="3" spans="1:23" ht="13.5" thickBot="1" x14ac:dyDescent="0.25">
      <c r="V3" s="30">
        <v>-1000</v>
      </c>
      <c r="W3" s="30">
        <f t="shared" si="0"/>
        <v>-2.0219263788316053E-3</v>
      </c>
    </row>
    <row r="4" spans="1:23" ht="14.25" thickTop="1" thickBot="1" x14ac:dyDescent="0.25">
      <c r="A4" s="5" t="s">
        <v>2</v>
      </c>
      <c r="C4" s="25" t="s">
        <v>38</v>
      </c>
      <c r="D4" s="26" t="s">
        <v>38</v>
      </c>
      <c r="V4" s="30">
        <v>0</v>
      </c>
      <c r="W4" s="30">
        <f t="shared" si="0"/>
        <v>-1.6849193760501715E-3</v>
      </c>
    </row>
    <row r="5" spans="1:23" ht="13.5" thickTop="1" x14ac:dyDescent="0.2">
      <c r="A5" s="9" t="s">
        <v>29</v>
      </c>
      <c r="B5" s="10"/>
      <c r="C5" s="11">
        <v>-9.5</v>
      </c>
      <c r="D5" s="10" t="s">
        <v>30</v>
      </c>
      <c r="V5" s="30">
        <v>1000</v>
      </c>
      <c r="W5" s="30">
        <f t="shared" si="0"/>
        <v>-2.9419721637557485E-4</v>
      </c>
    </row>
    <row r="6" spans="1:23" x14ac:dyDescent="0.2">
      <c r="A6" s="5" t="s">
        <v>3</v>
      </c>
      <c r="V6" s="30">
        <v>2000</v>
      </c>
      <c r="W6" s="30">
        <f t="shared" si="0"/>
        <v>2.1502401001921847E-3</v>
      </c>
    </row>
    <row r="7" spans="1:23" x14ac:dyDescent="0.2">
      <c r="A7" t="s">
        <v>4</v>
      </c>
      <c r="C7" s="8">
        <v>54299.824000000001</v>
      </c>
      <c r="D7" s="27" t="s">
        <v>41</v>
      </c>
      <c r="V7" s="30">
        <v>3000</v>
      </c>
      <c r="W7" s="30">
        <f t="shared" si="0"/>
        <v>5.6483925736531063E-3</v>
      </c>
    </row>
    <row r="8" spans="1:23" x14ac:dyDescent="0.2">
      <c r="A8" t="s">
        <v>5</v>
      </c>
      <c r="C8" s="8">
        <v>0.38871</v>
      </c>
      <c r="D8" s="27" t="s">
        <v>41</v>
      </c>
      <c r="V8" s="30">
        <v>4000</v>
      </c>
      <c r="W8" s="30">
        <f t="shared" si="0"/>
        <v>1.0200260204007192E-2</v>
      </c>
    </row>
    <row r="9" spans="1:23" x14ac:dyDescent="0.2">
      <c r="A9" s="22" t="s">
        <v>33</v>
      </c>
      <c r="B9" s="23">
        <v>26</v>
      </c>
      <c r="C9" s="20" t="str">
        <f>"F"&amp;B9</f>
        <v>F26</v>
      </c>
      <c r="D9" s="21" t="str">
        <f>"G"&amp;B9</f>
        <v>G26</v>
      </c>
      <c r="V9" s="30">
        <v>5000</v>
      </c>
      <c r="W9" s="30">
        <f t="shared" si="0"/>
        <v>1.580584299125444E-2</v>
      </c>
    </row>
    <row r="10" spans="1:23" ht="13.5" thickBot="1" x14ac:dyDescent="0.25">
      <c r="A10" s="10"/>
      <c r="B10" s="10"/>
      <c r="C10" s="4" t="s">
        <v>20</v>
      </c>
      <c r="D10" s="4" t="s">
        <v>21</v>
      </c>
      <c r="E10" s="10"/>
      <c r="V10" s="30">
        <v>6000</v>
      </c>
      <c r="W10" s="30">
        <f t="shared" si="0"/>
        <v>2.246514093539485E-2</v>
      </c>
    </row>
    <row r="11" spans="1:23" x14ac:dyDescent="0.2">
      <c r="A11" s="10" t="s">
        <v>16</v>
      </c>
      <c r="B11" s="10"/>
      <c r="C11" s="19">
        <f ca="1">INTERCEPT(INDIRECT($D$9):G992,INDIRECT($C$9):F992)</f>
        <v>-3.5532515714593357E-2</v>
      </c>
      <c r="D11" s="3">
        <f>+E11*F11</f>
        <v>-1.6849193760501715E-3</v>
      </c>
      <c r="E11" s="31">
        <v>-1.6849193760501715E-3</v>
      </c>
      <c r="F11">
        <v>1</v>
      </c>
      <c r="V11" s="30">
        <v>7000</v>
      </c>
      <c r="W11" s="30">
        <f t="shared" si="0"/>
        <v>3.0178154036428425E-2</v>
      </c>
    </row>
    <row r="12" spans="1:23" x14ac:dyDescent="0.2">
      <c r="A12" s="10" t="s">
        <v>17</v>
      </c>
      <c r="B12" s="10"/>
      <c r="C12" s="19">
        <f ca="1">SLOPE(INDIRECT($D$9):G992,INDIRECT($C$9):F992)</f>
        <v>9.5190890716266967E-6</v>
      </c>
      <c r="D12" s="3">
        <f>+E12*F12</f>
        <v>8.6386458122801518E-7</v>
      </c>
      <c r="E12" s="32">
        <v>8.6386458122801515E-3</v>
      </c>
      <c r="F12" s="33">
        <v>1E-4</v>
      </c>
      <c r="V12" s="30">
        <v>8000</v>
      </c>
      <c r="W12" s="30">
        <f t="shared" si="0"/>
        <v>3.8944882294355165E-2</v>
      </c>
    </row>
    <row r="13" spans="1:23" ht="13.5" thickBot="1" x14ac:dyDescent="0.25">
      <c r="A13" s="10" t="s">
        <v>19</v>
      </c>
      <c r="B13" s="10"/>
      <c r="C13" s="3" t="s">
        <v>14</v>
      </c>
      <c r="D13" s="3">
        <f>+E13*F13</f>
        <v>5.2685757844658144E-10</v>
      </c>
      <c r="E13" s="34">
        <v>5.2685757844658142E-2</v>
      </c>
      <c r="F13" s="33">
        <v>1E-8</v>
      </c>
      <c r="V13" s="30">
        <v>9000</v>
      </c>
      <c r="W13" s="30">
        <f t="shared" si="0"/>
        <v>4.8765325709175064E-2</v>
      </c>
    </row>
    <row r="14" spans="1:23" x14ac:dyDescent="0.2">
      <c r="A14" s="10"/>
      <c r="B14" s="10"/>
      <c r="C14" s="10"/>
      <c r="E14">
        <f>SUM(T21:T950)</f>
        <v>1.5189480227108574E-5</v>
      </c>
      <c r="V14" s="30">
        <v>10000</v>
      </c>
      <c r="W14" s="30">
        <f t="shared" si="0"/>
        <v>5.9639484280888125E-2</v>
      </c>
    </row>
    <row r="15" spans="1:23" x14ac:dyDescent="0.2">
      <c r="A15" s="12" t="s">
        <v>18</v>
      </c>
      <c r="B15" s="10"/>
      <c r="C15" s="13">
        <f ca="1">(C7+C11)+(C8+C12)*INT(MAX(F21:F3533))</f>
        <v>58394.559881568566</v>
      </c>
      <c r="D15" s="21">
        <f>+C7+INT(MAX(F21:F1588))*C8+D11+D12*INT(MAX(F21:F4023))+D13*INT(MAX(F21:F4050)^2)</f>
        <v>58394.561023413422</v>
      </c>
      <c r="E15" s="14" t="s">
        <v>35</v>
      </c>
      <c r="F15" s="11">
        <v>1</v>
      </c>
      <c r="V15" s="30">
        <v>11000</v>
      </c>
      <c r="W15" s="30">
        <f>+D$11+D$12*V15+D$13*V15^2</f>
        <v>7.1567358009494347E-2</v>
      </c>
    </row>
    <row r="16" spans="1:23" x14ac:dyDescent="0.2">
      <c r="A16" s="16" t="s">
        <v>6</v>
      </c>
      <c r="B16" s="10"/>
      <c r="C16" s="17">
        <f ca="1">+C8+C12</f>
        <v>0.38871951908907165</v>
      </c>
      <c r="D16" s="21">
        <f>+C8+D12+2*D13*MAX(F21:F896)</f>
        <v>0.38872196422690147</v>
      </c>
      <c r="E16" s="14" t="s">
        <v>31</v>
      </c>
      <c r="F16" s="15">
        <f ca="1">NOW()+15018.5+$C$5/24</f>
        <v>59965.792596990737</v>
      </c>
      <c r="V16" s="30"/>
      <c r="W16" s="30"/>
    </row>
    <row r="17" spans="1:23" ht="13.5" thickBot="1" x14ac:dyDescent="0.25">
      <c r="A17" s="14" t="s">
        <v>28</v>
      </c>
      <c r="B17" s="10"/>
      <c r="C17" s="10">
        <f>COUNT(C21:C2191)</f>
        <v>13</v>
      </c>
      <c r="E17" s="14" t="s">
        <v>36</v>
      </c>
      <c r="F17" s="15">
        <f ca="1">ROUND(2*(F16-$C$7)/$C$8,0)/2+F15</f>
        <v>14577.5</v>
      </c>
      <c r="V17" s="30"/>
      <c r="W17" s="30"/>
    </row>
    <row r="18" spans="1:23" ht="14.25" thickTop="1" thickBot="1" x14ac:dyDescent="0.25">
      <c r="A18" s="5" t="s">
        <v>52</v>
      </c>
      <c r="C18" s="35">
        <f ca="1">+C15</f>
        <v>58394.559881568566</v>
      </c>
      <c r="D18" s="36">
        <f ca="1">C16</f>
        <v>0.38871951908907165</v>
      </c>
      <c r="E18" s="14" t="s">
        <v>37</v>
      </c>
      <c r="F18" s="21">
        <f ca="1">ROUND(2*(F16-$C$15)/$C$16,0)/2+F15</f>
        <v>4043</v>
      </c>
      <c r="V18" s="30"/>
      <c r="W18" s="30"/>
    </row>
    <row r="19" spans="1:23" ht="13.5" thickBot="1" x14ac:dyDescent="0.25">
      <c r="A19" s="5" t="s">
        <v>53</v>
      </c>
      <c r="C19" s="37">
        <f>+D15</f>
        <v>58394.561023413422</v>
      </c>
      <c r="D19" s="38">
        <f>+D16</f>
        <v>0.38872196422690147</v>
      </c>
      <c r="E19" s="14" t="s">
        <v>32</v>
      </c>
      <c r="F19" s="18">
        <f ca="1">+$C$15+$C$16*F18-15018.5-$C$5/24</f>
        <v>44948.048730579016</v>
      </c>
      <c r="V19" s="30"/>
    </row>
    <row r="20" spans="1:23" ht="1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25</v>
      </c>
      <c r="M20" s="7" t="s">
        <v>26</v>
      </c>
      <c r="N20" s="7" t="s">
        <v>27</v>
      </c>
      <c r="O20" s="7" t="s">
        <v>23</v>
      </c>
      <c r="P20" s="39" t="s">
        <v>22</v>
      </c>
      <c r="Q20" s="4" t="s">
        <v>15</v>
      </c>
      <c r="R20" s="40" t="s">
        <v>54</v>
      </c>
      <c r="S20" s="6" t="s">
        <v>55</v>
      </c>
      <c r="T20" s="40" t="s">
        <v>56</v>
      </c>
      <c r="U20" s="24" t="s">
        <v>34</v>
      </c>
    </row>
    <row r="21" spans="1:23" x14ac:dyDescent="0.2">
      <c r="A21" t="str">
        <f>D$7</f>
        <v>VSX</v>
      </c>
      <c r="C21" s="8">
        <f>C$7</f>
        <v>54299.824000000001</v>
      </c>
      <c r="D21" s="8" t="s">
        <v>14</v>
      </c>
      <c r="E21">
        <f t="shared" ref="E21:E32" si="1">+(C21-C$7)/C$8</f>
        <v>0</v>
      </c>
      <c r="F21">
        <f t="shared" ref="F21:F32" si="2">ROUND(2*E21,0)/2</f>
        <v>0</v>
      </c>
      <c r="G21">
        <f t="shared" ref="G21:G32" si="3">+C21-(C$7+F21*C$8)</f>
        <v>0</v>
      </c>
      <c r="H21">
        <f>+G21</f>
        <v>0</v>
      </c>
      <c r="O21">
        <f t="shared" ref="O21:O32" ca="1" si="4">+C$11+C$12*$F21</f>
        <v>-3.5532515714593357E-2</v>
      </c>
      <c r="P21" s="41">
        <f t="shared" ref="P21:P32" si="5">+D$11+D$12*F21+D$13*F21^2</f>
        <v>-1.6849193760501715E-3</v>
      </c>
      <c r="Q21" s="42">
        <f t="shared" ref="Q21:Q32" si="6">+C21-15018.5</f>
        <v>39281.324000000001</v>
      </c>
      <c r="R21" s="30">
        <f t="shared" ref="R21:R32" si="7">+(P21-G21)^2</f>
        <v>2.8389533037892991E-6</v>
      </c>
      <c r="S21" s="43">
        <v>1</v>
      </c>
      <c r="T21" s="30">
        <f t="shared" ref="T21:T32" si="8">+S21*R21</f>
        <v>2.8389533037892991E-6</v>
      </c>
    </row>
    <row r="22" spans="1:23" x14ac:dyDescent="0.2">
      <c r="A22" s="44" t="s">
        <v>42</v>
      </c>
      <c r="B22" s="45" t="s">
        <v>43</v>
      </c>
      <c r="C22" s="44">
        <v>54045.4107</v>
      </c>
      <c r="D22" s="44">
        <v>2.0000000000000001E-4</v>
      </c>
      <c r="E22">
        <f t="shared" si="1"/>
        <v>-654.5067016541899</v>
      </c>
      <c r="F22">
        <f t="shared" si="2"/>
        <v>-654.5</v>
      </c>
      <c r="G22">
        <f t="shared" si="3"/>
        <v>-2.6050000014947727E-3</v>
      </c>
      <c r="K22">
        <f t="shared" ref="K22:K32" si="9">+G22</f>
        <v>-2.6050000014947727E-3</v>
      </c>
      <c r="O22">
        <f t="shared" ca="1" si="4"/>
        <v>-4.176275951197303E-2</v>
      </c>
      <c r="P22" s="41">
        <f t="shared" si="5"/>
        <v>-2.0246286318703509E-3</v>
      </c>
      <c r="Q22" s="42">
        <f t="shared" si="6"/>
        <v>39026.9107</v>
      </c>
      <c r="R22" s="30">
        <f t="shared" si="7"/>
        <v>3.3683092667972732E-7</v>
      </c>
      <c r="S22" s="43">
        <v>1</v>
      </c>
      <c r="T22" s="30">
        <f t="shared" si="8"/>
        <v>3.3683092667972732E-7</v>
      </c>
    </row>
    <row r="23" spans="1:23" x14ac:dyDescent="0.2">
      <c r="A23" s="44" t="s">
        <v>42</v>
      </c>
      <c r="B23" s="45" t="s">
        <v>44</v>
      </c>
      <c r="C23" s="44">
        <v>54046.382100000003</v>
      </c>
      <c r="D23" s="44">
        <v>2.0000000000000001E-4</v>
      </c>
      <c r="E23">
        <f t="shared" si="1"/>
        <v>-652.00766638367418</v>
      </c>
      <c r="F23">
        <f t="shared" si="2"/>
        <v>-652</v>
      </c>
      <c r="G23">
        <f t="shared" si="3"/>
        <v>-2.9799999974784441E-3</v>
      </c>
      <c r="K23">
        <f t="shared" si="9"/>
        <v>-2.9799999974784441E-3</v>
      </c>
      <c r="O23">
        <f t="shared" ca="1" si="4"/>
        <v>-4.1738961789293962E-2</v>
      </c>
      <c r="P23" s="41">
        <f t="shared" si="5"/>
        <v>-2.024189818982882E-3</v>
      </c>
      <c r="Q23" s="2">
        <f t="shared" si="6"/>
        <v>39027.882100000003</v>
      </c>
      <c r="R23" s="30">
        <f t="shared" si="7"/>
        <v>9.1357309731571835E-7</v>
      </c>
      <c r="S23" s="43">
        <v>1</v>
      </c>
      <c r="T23" s="30">
        <f t="shared" si="8"/>
        <v>9.1357309731571835E-7</v>
      </c>
    </row>
    <row r="24" spans="1:23" x14ac:dyDescent="0.2">
      <c r="A24" s="44" t="s">
        <v>45</v>
      </c>
      <c r="B24" s="45" t="s">
        <v>44</v>
      </c>
      <c r="C24" s="44">
        <v>55153.629399999998</v>
      </c>
      <c r="D24" s="44">
        <v>2.0000000000000001E-4</v>
      </c>
      <c r="E24">
        <f t="shared" si="1"/>
        <v>2196.5099945975085</v>
      </c>
      <c r="F24">
        <f t="shared" si="2"/>
        <v>2196.5</v>
      </c>
      <c r="G24">
        <f t="shared" si="3"/>
        <v>3.8849999982630834E-3</v>
      </c>
      <c r="K24">
        <f t="shared" si="9"/>
        <v>3.8849999982630834E-3</v>
      </c>
      <c r="O24">
        <f t="shared" ca="1" si="4"/>
        <v>-1.4623836568765317E-2</v>
      </c>
      <c r="P24" s="41">
        <f t="shared" si="5"/>
        <v>2.7544427035958766E-3</v>
      </c>
      <c r="Q24" s="2">
        <f t="shared" si="6"/>
        <v>40135.129399999998</v>
      </c>
      <c r="R24" s="30">
        <f t="shared" si="7"/>
        <v>1.2781597965252334E-6</v>
      </c>
      <c r="S24" s="43">
        <v>1</v>
      </c>
      <c r="T24" s="30">
        <f t="shared" si="8"/>
        <v>1.2781597965252334E-6</v>
      </c>
    </row>
    <row r="25" spans="1:23" x14ac:dyDescent="0.2">
      <c r="A25" s="44" t="s">
        <v>46</v>
      </c>
      <c r="B25" s="45" t="s">
        <v>43</v>
      </c>
      <c r="C25" s="44">
        <v>55501.7209</v>
      </c>
      <c r="D25" s="44">
        <v>2.0000000000000001E-4</v>
      </c>
      <c r="E25">
        <f t="shared" si="1"/>
        <v>3092.0143551748083</v>
      </c>
      <c r="F25">
        <f t="shared" si="2"/>
        <v>3092</v>
      </c>
      <c r="G25">
        <f t="shared" si="3"/>
        <v>5.5799999972805381E-3</v>
      </c>
      <c r="K25">
        <f t="shared" si="9"/>
        <v>5.5799999972805381E-3</v>
      </c>
      <c r="O25">
        <f t="shared" ca="1" si="4"/>
        <v>-6.0994923051236119E-3</v>
      </c>
      <c r="P25" s="41">
        <f t="shared" si="5"/>
        <v>6.0231528209725698E-3</v>
      </c>
      <c r="Q25" s="2">
        <f t="shared" si="6"/>
        <v>40483.2209</v>
      </c>
      <c r="R25" s="30">
        <f t="shared" si="7"/>
        <v>1.9638442514622094E-7</v>
      </c>
      <c r="S25" s="43">
        <v>1</v>
      </c>
      <c r="T25" s="30">
        <f t="shared" si="8"/>
        <v>1.9638442514622094E-7</v>
      </c>
    </row>
    <row r="26" spans="1:23" x14ac:dyDescent="0.2">
      <c r="A26" s="46" t="s">
        <v>47</v>
      </c>
      <c r="B26" s="47" t="s">
        <v>44</v>
      </c>
      <c r="C26" s="48">
        <v>56239.695399999997</v>
      </c>
      <c r="D26" s="48">
        <v>5.0000000000000001E-4</v>
      </c>
      <c r="E26">
        <f t="shared" si="1"/>
        <v>4990.5363895963474</v>
      </c>
      <c r="F26">
        <f t="shared" si="2"/>
        <v>4990.5</v>
      </c>
      <c r="G26">
        <f t="shared" si="3"/>
        <v>1.4144999993732199E-2</v>
      </c>
      <c r="K26">
        <f t="shared" si="9"/>
        <v>1.4144999993732199E-2</v>
      </c>
      <c r="O26">
        <f t="shared" ca="1" si="4"/>
        <v>1.197249829735967E-2</v>
      </c>
      <c r="P26" s="41">
        <f t="shared" si="5"/>
        <v>1.5747632356676804E-2</v>
      </c>
      <c r="Q26" s="2">
        <f t="shared" si="6"/>
        <v>41221.195399999997</v>
      </c>
      <c r="R26" s="30">
        <f t="shared" si="7"/>
        <v>2.5684304907574068E-6</v>
      </c>
      <c r="S26" s="43">
        <v>1</v>
      </c>
      <c r="T26" s="30">
        <f t="shared" si="8"/>
        <v>2.5684304907574068E-6</v>
      </c>
    </row>
    <row r="27" spans="1:23" x14ac:dyDescent="0.2">
      <c r="A27" s="55" t="s">
        <v>1</v>
      </c>
      <c r="B27" s="56" t="s">
        <v>43</v>
      </c>
      <c r="C27" s="55">
        <v>56929.085700000171</v>
      </c>
      <c r="D27" s="55" t="s">
        <v>61</v>
      </c>
      <c r="E27">
        <f t="shared" si="1"/>
        <v>6764.0701294028195</v>
      </c>
      <c r="F27">
        <f t="shared" si="2"/>
        <v>6764</v>
      </c>
      <c r="G27">
        <f t="shared" si="3"/>
        <v>2.7260000169917475E-2</v>
      </c>
      <c r="K27">
        <f t="shared" si="9"/>
        <v>2.7260000169917475E-2</v>
      </c>
      <c r="O27">
        <f t="shared" ca="1" si="4"/>
        <v>2.8854602765889623E-2</v>
      </c>
      <c r="P27" s="41">
        <f t="shared" si="5"/>
        <v>2.826288841576027E-2</v>
      </c>
      <c r="Q27" s="2">
        <f t="shared" si="6"/>
        <v>41910.585700000171</v>
      </c>
      <c r="R27" s="30">
        <f t="shared" si="7"/>
        <v>1.0057848336496373E-6</v>
      </c>
      <c r="S27" s="43">
        <v>1</v>
      </c>
      <c r="T27" s="30">
        <f t="shared" si="8"/>
        <v>1.0057848336496373E-6</v>
      </c>
    </row>
    <row r="28" spans="1:23" x14ac:dyDescent="0.2">
      <c r="A28" s="52" t="s">
        <v>59</v>
      </c>
      <c r="B28" s="53" t="s">
        <v>43</v>
      </c>
      <c r="C28" s="54">
        <v>57298.370999999999</v>
      </c>
      <c r="D28" s="54">
        <v>3.8999999999999998E-3</v>
      </c>
      <c r="E28">
        <f t="shared" si="1"/>
        <v>7714.0979136116866</v>
      </c>
      <c r="F28">
        <f t="shared" si="2"/>
        <v>7714</v>
      </c>
      <c r="G28">
        <f t="shared" si="3"/>
        <v>3.8059999998949934E-2</v>
      </c>
      <c r="K28">
        <f t="shared" si="9"/>
        <v>3.8059999998949934E-2</v>
      </c>
      <c r="O28">
        <f t="shared" ca="1" si="4"/>
        <v>3.7897737383934982E-2</v>
      </c>
      <c r="P28" s="41">
        <f t="shared" si="5"/>
        <v>3.6330011587639016E-2</v>
      </c>
      <c r="Q28" s="2">
        <f t="shared" si="6"/>
        <v>42279.870999999999</v>
      </c>
      <c r="R28" s="30">
        <f t="shared" si="7"/>
        <v>2.9928599032700727E-6</v>
      </c>
      <c r="S28" s="43">
        <v>1</v>
      </c>
      <c r="T28" s="30">
        <f t="shared" si="8"/>
        <v>2.9928599032700727E-6</v>
      </c>
    </row>
    <row r="29" spans="1:23" x14ac:dyDescent="0.2">
      <c r="A29" s="49" t="s">
        <v>58</v>
      </c>
      <c r="B29" s="50" t="s">
        <v>43</v>
      </c>
      <c r="C29" s="51">
        <v>57316.249810000001</v>
      </c>
      <c r="D29" s="51">
        <v>2.5999999999999998E-4</v>
      </c>
      <c r="E29">
        <f t="shared" si="1"/>
        <v>7760.0931542795415</v>
      </c>
      <c r="F29">
        <f t="shared" si="2"/>
        <v>7760</v>
      </c>
      <c r="G29">
        <f t="shared" si="3"/>
        <v>3.620999999839114E-2</v>
      </c>
      <c r="K29">
        <f t="shared" si="9"/>
        <v>3.620999999839114E-2</v>
      </c>
      <c r="O29">
        <f t="shared" ca="1" si="4"/>
        <v>3.8335615481229809E-2</v>
      </c>
      <c r="P29" s="41">
        <f t="shared" si="5"/>
        <v>3.6744768690144092E-2</v>
      </c>
      <c r="Q29" s="2">
        <f t="shared" si="6"/>
        <v>42297.749810000001</v>
      </c>
      <c r="R29" s="30">
        <f t="shared" si="7"/>
        <v>2.8597755367916323E-7</v>
      </c>
      <c r="S29" s="43">
        <v>1</v>
      </c>
      <c r="T29" s="30">
        <f t="shared" si="8"/>
        <v>2.8597755367916323E-7</v>
      </c>
    </row>
    <row r="30" spans="1:23" x14ac:dyDescent="0.2">
      <c r="A30" s="29" t="s">
        <v>57</v>
      </c>
      <c r="C30" s="8">
        <v>57624.894899999999</v>
      </c>
      <c r="D30" s="8">
        <v>2.0000000000000001E-4</v>
      </c>
      <c r="E30">
        <f t="shared" si="1"/>
        <v>8554.1172082014837</v>
      </c>
      <c r="F30">
        <f t="shared" si="2"/>
        <v>8554</v>
      </c>
      <c r="G30">
        <f t="shared" si="3"/>
        <v>4.5559999998658895E-2</v>
      </c>
      <c r="K30">
        <f t="shared" si="9"/>
        <v>4.5559999998658895E-2</v>
      </c>
      <c r="O30">
        <f t="shared" ca="1" si="4"/>
        <v>4.5893772204101402E-2</v>
      </c>
      <c r="P30" s="41">
        <f t="shared" si="5"/>
        <v>4.4255229868252491E-2</v>
      </c>
      <c r="Q30" s="2">
        <f t="shared" si="6"/>
        <v>42606.394899999999</v>
      </c>
      <c r="R30" s="30">
        <f t="shared" si="7"/>
        <v>1.7024250932007462E-6</v>
      </c>
      <c r="S30" s="43">
        <v>1</v>
      </c>
      <c r="T30" s="30">
        <f t="shared" si="8"/>
        <v>1.7024250932007462E-6</v>
      </c>
    </row>
    <row r="31" spans="1:23" x14ac:dyDescent="0.2">
      <c r="A31" s="55" t="s">
        <v>0</v>
      </c>
      <c r="B31" s="56" t="s">
        <v>43</v>
      </c>
      <c r="C31" s="55">
        <v>58365.018099999987</v>
      </c>
      <c r="D31" s="55" t="s">
        <v>14</v>
      </c>
      <c r="E31">
        <f t="shared" si="1"/>
        <v>10458.167013969247</v>
      </c>
      <c r="F31">
        <f t="shared" si="2"/>
        <v>10458</v>
      </c>
      <c r="G31">
        <f t="shared" si="3"/>
        <v>6.4919999989797361E-2</v>
      </c>
      <c r="K31">
        <f t="shared" si="9"/>
        <v>6.4919999989797361E-2</v>
      </c>
      <c r="O31">
        <f t="shared" ca="1" si="4"/>
        <v>6.4018117796478632E-2</v>
      </c>
      <c r="P31" s="41">
        <f t="shared" si="5"/>
        <v>6.4971665430746506E-2</v>
      </c>
      <c r="Q31" s="2">
        <f t="shared" si="6"/>
        <v>43346.518099999987</v>
      </c>
      <c r="R31" s="30">
        <f t="shared" si="7"/>
        <v>2.6693177884695479E-9</v>
      </c>
      <c r="S31" s="43">
        <v>1</v>
      </c>
      <c r="T31" s="30">
        <f t="shared" si="8"/>
        <v>2.6693177884695479E-9</v>
      </c>
    </row>
    <row r="32" spans="1:23" x14ac:dyDescent="0.2">
      <c r="A32" s="5" t="s">
        <v>60</v>
      </c>
      <c r="C32" s="8">
        <v>58394.754699999998</v>
      </c>
      <c r="D32" s="8">
        <v>2.9999999999999997E-4</v>
      </c>
      <c r="E32">
        <f t="shared" si="1"/>
        <v>10534.667747163689</v>
      </c>
      <c r="F32">
        <f t="shared" si="2"/>
        <v>10534.5</v>
      </c>
      <c r="G32">
        <f t="shared" si="3"/>
        <v>6.520499999896856E-2</v>
      </c>
      <c r="K32">
        <f t="shared" si="9"/>
        <v>6.520499999896856E-2</v>
      </c>
      <c r="O32">
        <f t="shared" ca="1" si="4"/>
        <v>6.4746328110458079E-2</v>
      </c>
      <c r="P32" s="41">
        <f t="shared" si="5"/>
        <v>6.5883845486449252E-2</v>
      </c>
      <c r="Q32" s="2">
        <f t="shared" si="6"/>
        <v>43376.254699999998</v>
      </c>
      <c r="R32" s="30">
        <f t="shared" si="7"/>
        <v>4.6083119587289845E-7</v>
      </c>
      <c r="S32" s="43">
        <v>1</v>
      </c>
      <c r="T32" s="30">
        <f t="shared" si="8"/>
        <v>4.6083119587289845E-7</v>
      </c>
    </row>
    <row r="33" spans="1:20" x14ac:dyDescent="0.2">
      <c r="A33" s="57" t="s">
        <v>62</v>
      </c>
      <c r="B33" s="58" t="s">
        <v>44</v>
      </c>
      <c r="C33" s="59">
        <v>58394.7546</v>
      </c>
      <c r="D33" s="57">
        <v>2.9999999999999997E-4</v>
      </c>
      <c r="E33">
        <f t="shared" ref="E33" si="10">+(C33-C$7)/C$8</f>
        <v>10534.667489902497</v>
      </c>
      <c r="F33">
        <f t="shared" ref="F33" si="11">ROUND(2*E33,0)/2</f>
        <v>10534.5</v>
      </c>
      <c r="G33">
        <f t="shared" ref="G33" si="12">+C33-(C$7+F33*C$8)</f>
        <v>6.5105000001494773E-2</v>
      </c>
      <c r="K33">
        <f t="shared" ref="K33" si="13">+G33</f>
        <v>6.5105000001494773E-2</v>
      </c>
      <c r="O33">
        <f t="shared" ref="O33" ca="1" si="14">+C$11+C$12*$F33</f>
        <v>6.4746328110458079E-2</v>
      </c>
      <c r="P33" s="41">
        <f t="shared" ref="P33" si="15">+D$11+D$12*F33+D$13*F33^2</f>
        <v>6.5883845486449252E-2</v>
      </c>
      <c r="Q33" s="2">
        <f t="shared" ref="Q33" si="16">+C33-15018.5</f>
        <v>43376.2546</v>
      </c>
      <c r="R33" s="30">
        <f t="shared" ref="R33" si="17">+(P33-G33)^2</f>
        <v>6.0660028943397853E-7</v>
      </c>
      <c r="S33" s="43">
        <v>1</v>
      </c>
      <c r="T33" s="30">
        <f t="shared" ref="T33" si="18">+S33*R33</f>
        <v>6.0660028943397853E-7</v>
      </c>
    </row>
    <row r="34" spans="1:20" x14ac:dyDescent="0.2">
      <c r="C34" s="8"/>
      <c r="D34" s="8"/>
    </row>
    <row r="35" spans="1:20" x14ac:dyDescent="0.2">
      <c r="C35" s="8"/>
      <c r="D35" s="8"/>
    </row>
    <row r="36" spans="1:20" x14ac:dyDescent="0.2">
      <c r="C36" s="8"/>
      <c r="D36" s="8"/>
    </row>
    <row r="37" spans="1:20" x14ac:dyDescent="0.2">
      <c r="C37" s="8"/>
      <c r="D37" s="8"/>
    </row>
    <row r="38" spans="1:20" x14ac:dyDescent="0.2">
      <c r="C38" s="8"/>
      <c r="D38" s="8"/>
    </row>
    <row r="39" spans="1:20" x14ac:dyDescent="0.2">
      <c r="C39" s="8"/>
      <c r="D39" s="8"/>
    </row>
    <row r="40" spans="1:20" x14ac:dyDescent="0.2">
      <c r="C40" s="8"/>
      <c r="D40" s="8"/>
    </row>
    <row r="41" spans="1:20" x14ac:dyDescent="0.2">
      <c r="C41" s="8"/>
      <c r="D41" s="8"/>
    </row>
    <row r="42" spans="1:20" x14ac:dyDescent="0.2">
      <c r="C42" s="8"/>
      <c r="D42" s="8"/>
    </row>
    <row r="43" spans="1:20" x14ac:dyDescent="0.2">
      <c r="C43" s="8"/>
      <c r="D43" s="8"/>
    </row>
    <row r="44" spans="1:20" x14ac:dyDescent="0.2">
      <c r="C44" s="8"/>
      <c r="D44" s="8"/>
    </row>
    <row r="45" spans="1:20" x14ac:dyDescent="0.2">
      <c r="C45" s="8"/>
      <c r="D45" s="8"/>
    </row>
    <row r="46" spans="1:20" x14ac:dyDescent="0.2">
      <c r="C46" s="8"/>
      <c r="D46" s="8"/>
    </row>
    <row r="47" spans="1:20" x14ac:dyDescent="0.2">
      <c r="C47" s="8"/>
      <c r="D47" s="8"/>
    </row>
    <row r="48" spans="1:20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35" r:id="rId1" display="http://vsolj.cetus-net.org/bulletin.html"/>
    <hyperlink ref="H63398" r:id="rId2" display="http://vsolj.cetus-net.org/bulletin.html"/>
    <hyperlink ref="H63391" r:id="rId3" display="https://www.aavso.org/ejaavso"/>
    <hyperlink ref="I63398" r:id="rId4" display="http://vsolj.cetus-net.org/bulletin.html"/>
    <hyperlink ref="AQ57049" r:id="rId5" display="http://cdsbib.u-strasbg.fr/cgi-bin/cdsbib?1990RMxAA..21..381G"/>
    <hyperlink ref="H63395" r:id="rId6" display="https://www.aavso.org/ejaavso"/>
    <hyperlink ref="AP4413" r:id="rId7" display="http://cdsbib.u-strasbg.fr/cgi-bin/cdsbib?1990RMxAA..21..381G"/>
    <hyperlink ref="AP4416" r:id="rId8" display="http://cdsbib.u-strasbg.fr/cgi-bin/cdsbib?1990RMxAA..21..381G"/>
    <hyperlink ref="AP4414" r:id="rId9" display="http://cdsbib.u-strasbg.fr/cgi-bin/cdsbib?1990RMxAA..21..381G"/>
    <hyperlink ref="AP4398" r:id="rId10" display="http://cdsbib.u-strasbg.fr/cgi-bin/cdsbib?1990RMxAA..21..381G"/>
    <hyperlink ref="AQ4627" r:id="rId11" display="http://cdsbib.u-strasbg.fr/cgi-bin/cdsbib?1990RMxAA..21..381G"/>
    <hyperlink ref="AQ4631" r:id="rId12" display="http://cdsbib.u-strasbg.fr/cgi-bin/cdsbib?1990RMxAA..21..381G"/>
    <hyperlink ref="AQ64311" r:id="rId13" display="http://cdsbib.u-strasbg.fr/cgi-bin/cdsbib?1990RMxAA..21..381G"/>
    <hyperlink ref="I1519" r:id="rId14" display="http://vsolj.cetus-net.org/bulletin.html"/>
    <hyperlink ref="H1519" r:id="rId15" display="http://vsolj.cetus-net.org/bulletin.html"/>
    <hyperlink ref="AQ64972" r:id="rId16" display="http://cdsbib.u-strasbg.fr/cgi-bin/cdsbib?1990RMxAA..21..381G"/>
    <hyperlink ref="AQ64971" r:id="rId17" display="http://cdsbib.u-strasbg.fr/cgi-bin/cdsbib?1990RMxAA..21..381G"/>
    <hyperlink ref="AP2689" r:id="rId18" display="http://cdsbib.u-strasbg.fr/cgi-bin/cdsbib?1990RMxAA..21..381G"/>
    <hyperlink ref="AP2707" r:id="rId19" display="http://cdsbib.u-strasbg.fr/cgi-bin/cdsbib?1990RMxAA..21..381G"/>
    <hyperlink ref="AP2708" r:id="rId20" display="http://cdsbib.u-strasbg.fr/cgi-bin/cdsbib?1990RMxAA..21..381G"/>
    <hyperlink ref="AP2704" r:id="rId21" display="http://cdsbib.u-strasbg.fr/cgi-bin/cdsbib?1990RMxAA..21..381G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2023-01-21T06:01:20Z</dcterms:modified>
</cp:coreProperties>
</file>