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505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<sst xmlns="http://schemas.openxmlformats.org/spreadsheetml/2006/main" count="134" uniqueCount="88">
  <si>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</si>
  <si>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</si>
  <si>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</si>
  <si>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</si>
  <si>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</si>
  <si>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</si>
  <si>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</si>
  <si>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</si>
  <si>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</si>
  <si>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</si>
  <si>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</si>
  <si>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</si>
  <si>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</si>
  <si>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</si>
  <si>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</si>
  <si>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</si>
  <si>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</si>
  <si>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</si>
  <si>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</si>
  <si>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</si>
  <si>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</si>
  <si>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</si>
  <si>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</si>
  <si>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</si>
  <si>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</si>
  <si>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</si>
  <si>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</si>
  <si>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</si>
  <si>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</si>
  <si>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</si>
  <si>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</si>
  <si>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</si>
  <si>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</si>
  <si>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</si>
  <si>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</si>
  <si>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</si>
  <si>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</si>
  <si>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</si>
  <si>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</si>
  <si>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</si>
  <si>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</si>
  <si>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HU Per</t>
  </si>
  <si>
    <t>G2863-1548</t>
  </si>
  <si>
    <t>EA</t>
  </si>
  <si>
    <t>HU Per / GSC 2863-1548</t>
  </si>
  <si>
    <t>GCVS</t>
  </si>
  <si>
    <t>OEJV 0172</t>
  </si>
  <si>
    <t>I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</si>
  <si>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</si>
  <si>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</si>
  <si>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</si>
  <si>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</si>
  <si>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</si>
  <si>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</si>
  <si>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</si>
  <si>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2416739.43 </t>
  </si>
  <si>
    <t> 15.09.1904 22:19 </t>
  </si>
  <si>
    <t> 0.00 </t>
  </si>
  <si>
    <t>P </t>
  </si>
  <si>
    <t> T.S.Meshkova </t>
  </si>
  <si>
    <t> PZ 5.255 </t>
  </si>
  <si>
    <t>2418240.30 </t>
  </si>
  <si>
    <t> 25.10.1908 19:12 </t>
  </si>
  <si>
    <t> -0.26 </t>
  </si>
  <si>
    <t> W.Zessewitsch </t>
  </si>
  <si>
    <t> AC 191.16 </t>
  </si>
  <si>
    <t>2418275.39 </t>
  </si>
  <si>
    <t> 29.11.1908 21:21 </t>
  </si>
  <si>
    <t> 0.32 </t>
  </si>
  <si>
    <t>2428593.25 </t>
  </si>
  <si>
    <t> 28.02.1937 18:00 </t>
  </si>
  <si>
    <t> 0.05 </t>
  </si>
  <si>
    <t>2429283.27 </t>
  </si>
  <si>
    <t> 19.01.1939 18:28 </t>
  </si>
  <si>
    <t> -0.11 </t>
  </si>
  <si>
    <t>2436081.75 </t>
  </si>
  <si>
    <t> 31.08.1957 06:00 </t>
  </si>
  <si>
    <t> 0.14 </t>
  </si>
  <si>
    <t> SAC 34.108 </t>
  </si>
  <si>
    <t>2457011.545 </t>
  </si>
  <si>
    <t> 20.12.2014 01:04 </t>
  </si>
  <si>
    <t> 0.345 </t>
  </si>
  <si>
    <t>C </t>
  </si>
  <si>
    <t> A.Paschke </t>
  </si>
  <si>
    <t>OEJV 0172 </t>
  </si>
  <si>
    <t>2457011.550 </t>
  </si>
  <si>
    <t> 20.12.2014 01:12 </t>
  </si>
  <si>
    <t> 0.350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</si>
</sst>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172" fontId="16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18" fillId="0" borderId="0" xfId="54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0" xfId="0" applyAlignment="1" quotePrefix="1">
      <alignment vertical="top"/>
    </xf>
    <xf numFmtId="0" fontId="5" fillId="35" borderId="19" xfId="0" applyFont="1" applyFill="1" applyBorder="1" applyAlignment="1">
      <alignment horizontal="left" vertical="top" wrapText="1" inden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right" vertical="top" wrapText="1"/>
    </xf>
    <xf numFmtId="0" fontId="18" fillId="35" borderId="19" xfId="54" applyFill="1" applyBorder="1" applyAlignment="1" applyProtection="1">
      <alignment horizontal="right" vertical="top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 Per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0.03</c:v>
                  </c:pt>
                  <c:pt idx="7">
                    <c:v>0.03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848447"/>
        <c:axId val="982840"/>
      </c:scatterChart>
      <c:valAx>
        <c:axId val="44848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crossBetween val="midCat"/>
        <c:dispUnits/>
      </c:valAx>
      <c:valAx>
        <c:axId val="98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72.pdf" TargetMode="External" /><Relationship Id="rId2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6" ht="20.25">
      <c r="A1" s="1" t="s">
        <v>44</v>
      </c>
      <c r="F1" s="31" t="s">
        <v>41</v>
      </c>
      <c r="G1" s="32">
        <v>0</v>
      </c>
      <c r="H1" s="33"/>
      <c r="I1" s="40" t="s">
        <v>42</v>
      </c>
      <c r="J1" s="41" t="s">
        <v>41</v>
      </c>
      <c r="K1" s="35">
        <v>3.42332</v>
      </c>
      <c r="L1" s="36">
        <v>39.0604</v>
      </c>
      <c r="M1" s="37">
        <v>16739.43</v>
      </c>
      <c r="N1" s="37">
        <v>17.2544</v>
      </c>
      <c r="O1" s="34" t="s">
        <v>43</v>
      </c>
      <c r="P1" s="32">
        <v>10.9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16739.43</v>
      </c>
      <c r="D4" s="28">
        <v>17.2544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16739.43</v>
      </c>
      <c r="D7" s="29" t="s">
        <v>45</v>
      </c>
    </row>
    <row r="8" spans="1:4" ht="12.75">
      <c r="A8" t="s">
        <v>3</v>
      </c>
      <c r="C8" s="8">
        <f>N1</f>
        <v>17.2544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-0.037779793527037836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0.00015308827052742713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57011.51912822989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17.254553088270526</v>
      </c>
      <c r="E16" s="14" t="s">
        <v>30</v>
      </c>
      <c r="F16" s="39">
        <f ca="1">NOW()+15018.5+$C$5/24</f>
        <v>59906.56271261574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2503</v>
      </c>
    </row>
    <row r="18" spans="1:6" ht="14.25" thickBot="1" thickTop="1">
      <c r="A18" s="16" t="s">
        <v>5</v>
      </c>
      <c r="B18" s="10"/>
      <c r="C18" s="19">
        <f>+C15</f>
        <v>57011.51912822989</v>
      </c>
      <c r="D18" s="20">
        <f>+C16</f>
        <v>17.254553088270526</v>
      </c>
      <c r="E18" s="14" t="s">
        <v>36</v>
      </c>
      <c r="F18" s="23">
        <f>ROUND(2*(F16-$C$15)/$C$16,0)/2+F15</f>
        <v>169</v>
      </c>
    </row>
    <row r="19" spans="5:6" ht="13.5" thickTop="1">
      <c r="E19" s="14" t="s">
        <v>31</v>
      </c>
      <c r="F19" s="18">
        <f>+$C$15+$C$16*F18-15018.5-$C$5/24</f>
        <v>44909.43443348094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16739.43</v>
      </c>
      <c r="D21" s="8" t="s">
        <v>13</v>
      </c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8">+C21-(C$7+F21*C$8)</f>
        <v>0</v>
      </c>
      <c r="H21">
        <f aca="true" t="shared" si="3" ref="H21:H26">+G21</f>
        <v>0</v>
      </c>
      <c r="O21">
        <f aca="true" t="shared" si="4" ref="O21:O28">+C$11+C$12*$F21</f>
        <v>-0.037779793527037836</v>
      </c>
      <c r="Q21" s="2">
        <f aca="true" t="shared" si="5" ref="Q21:Q28">+C21-15018.5</f>
        <v>1720.9300000000003</v>
      </c>
    </row>
    <row r="22" spans="1:17" ht="12.75">
      <c r="A22" s="58" t="s">
        <v>65</v>
      </c>
      <c r="B22" s="60" t="s">
        <v>47</v>
      </c>
      <c r="C22" s="59">
        <v>18240.3</v>
      </c>
      <c r="D22" s="8"/>
      <c r="E22">
        <f t="shared" si="0"/>
        <v>86.98476910237383</v>
      </c>
      <c r="F22">
        <f t="shared" si="1"/>
        <v>87</v>
      </c>
      <c r="G22">
        <f t="shared" si="2"/>
        <v>-0.2628000000004249</v>
      </c>
      <c r="H22">
        <f t="shared" si="3"/>
        <v>-0.2628000000004249</v>
      </c>
      <c r="O22">
        <f t="shared" si="4"/>
        <v>-0.024461113991151674</v>
      </c>
      <c r="Q22" s="2">
        <f t="shared" si="5"/>
        <v>3221.7999999999993</v>
      </c>
    </row>
    <row r="23" spans="1:17" ht="12.75">
      <c r="A23" s="58" t="s">
        <v>60</v>
      </c>
      <c r="B23" s="60" t="s">
        <v>47</v>
      </c>
      <c r="C23" s="59">
        <v>18275.39</v>
      </c>
      <c r="D23" s="8"/>
      <c r="E23">
        <f t="shared" si="0"/>
        <v>89.0184532640949</v>
      </c>
      <c r="F23">
        <f t="shared" si="1"/>
        <v>89</v>
      </c>
      <c r="G23">
        <f t="shared" si="2"/>
        <v>0.3184000000001106</v>
      </c>
      <c r="H23">
        <f t="shared" si="3"/>
        <v>0.3184000000001106</v>
      </c>
      <c r="O23">
        <f t="shared" si="4"/>
        <v>-0.024154937450096822</v>
      </c>
      <c r="Q23" s="2">
        <f t="shared" si="5"/>
        <v>3256.8899999999994</v>
      </c>
    </row>
    <row r="24" spans="1:17" ht="12.75">
      <c r="A24" s="58" t="s">
        <v>65</v>
      </c>
      <c r="B24" s="60" t="s">
        <v>47</v>
      </c>
      <c r="C24" s="59">
        <v>28593.25</v>
      </c>
      <c r="D24" s="8"/>
      <c r="E24">
        <f t="shared" si="0"/>
        <v>687.0027355341246</v>
      </c>
      <c r="F24">
        <f t="shared" si="1"/>
        <v>687</v>
      </c>
      <c r="G24">
        <f t="shared" si="2"/>
        <v>0.047200000000884756</v>
      </c>
      <c r="H24">
        <f t="shared" si="3"/>
        <v>0.047200000000884756</v>
      </c>
      <c r="O24">
        <f t="shared" si="4"/>
        <v>0.0673918483253046</v>
      </c>
      <c r="Q24" s="2">
        <f t="shared" si="5"/>
        <v>13574.75</v>
      </c>
    </row>
    <row r="25" spans="1:17" ht="12.75">
      <c r="A25" s="58" t="s">
        <v>60</v>
      </c>
      <c r="B25" s="60" t="s">
        <v>47</v>
      </c>
      <c r="C25" s="59">
        <v>29283.27</v>
      </c>
      <c r="D25" s="8"/>
      <c r="E25">
        <f t="shared" si="0"/>
        <v>726.9936943620178</v>
      </c>
      <c r="F25">
        <f t="shared" si="1"/>
        <v>727</v>
      </c>
      <c r="G25">
        <f t="shared" si="2"/>
        <v>-0.10879999999815482</v>
      </c>
      <c r="H25">
        <f t="shared" si="3"/>
        <v>-0.10879999999815482</v>
      </c>
      <c r="O25">
        <f t="shared" si="4"/>
        <v>0.07351537914640169</v>
      </c>
      <c r="Q25" s="2">
        <f t="shared" si="5"/>
        <v>14264.77</v>
      </c>
    </row>
    <row r="26" spans="1:17" ht="12.75">
      <c r="A26" s="58" t="s">
        <v>78</v>
      </c>
      <c r="B26" s="60" t="s">
        <v>47</v>
      </c>
      <c r="C26" s="59">
        <v>36081.75</v>
      </c>
      <c r="D26" s="8"/>
      <c r="E26">
        <f t="shared" si="0"/>
        <v>1121.007974777448</v>
      </c>
      <c r="F26">
        <f t="shared" si="1"/>
        <v>1121</v>
      </c>
      <c r="G26">
        <f t="shared" si="2"/>
        <v>0.13760000000183936</v>
      </c>
      <c r="H26">
        <f t="shared" si="3"/>
        <v>0.13760000000183936</v>
      </c>
      <c r="O26">
        <f t="shared" si="4"/>
        <v>0.13383215773420798</v>
      </c>
      <c r="Q26" s="2">
        <f t="shared" si="5"/>
        <v>21063.25</v>
      </c>
    </row>
    <row r="27" spans="1:17" ht="12.75">
      <c r="A27" s="42" t="s">
        <v>46</v>
      </c>
      <c r="B27" s="43" t="s">
        <v>47</v>
      </c>
      <c r="C27" s="44">
        <v>57011.545</v>
      </c>
      <c r="D27" s="44">
        <v>0.03</v>
      </c>
      <c r="E27">
        <f t="shared" si="0"/>
        <v>2334.020018082344</v>
      </c>
      <c r="F27">
        <f t="shared" si="1"/>
        <v>2334</v>
      </c>
      <c r="G27">
        <f t="shared" si="2"/>
        <v>0.34539999999833526</v>
      </c>
      <c r="I27">
        <f>+G27</f>
        <v>0.34539999999833526</v>
      </c>
      <c r="O27">
        <f t="shared" si="4"/>
        <v>0.3195282298839771</v>
      </c>
      <c r="Q27" s="2">
        <f t="shared" si="5"/>
        <v>41993.045</v>
      </c>
    </row>
    <row r="28" spans="1:17" ht="12.75">
      <c r="A28" s="42" t="s">
        <v>46</v>
      </c>
      <c r="B28" s="43" t="s">
        <v>47</v>
      </c>
      <c r="C28" s="44">
        <v>57011.55</v>
      </c>
      <c r="D28" s="44">
        <v>0.03</v>
      </c>
      <c r="E28">
        <f t="shared" si="0"/>
        <v>2334.020307863502</v>
      </c>
      <c r="F28">
        <f t="shared" si="1"/>
        <v>2334</v>
      </c>
      <c r="G28">
        <f t="shared" si="2"/>
        <v>0.3504000000029919</v>
      </c>
      <c r="I28">
        <f>+G28</f>
        <v>0.3504000000029919</v>
      </c>
      <c r="O28">
        <f t="shared" si="4"/>
        <v>0.3195282298839771</v>
      </c>
      <c r="Q28" s="2">
        <f t="shared" si="5"/>
        <v>41993.05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4"/>
  <sheetViews>
    <sheetView zoomScalePageLayoutView="0" workbookViewId="0" topLeftCell="A1">
      <selection activeCell="A14" sqref="A14:C18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45" t="s">
        <v>48</v>
      </c>
      <c r="I1" s="46" t="s">
        <v>49</v>
      </c>
      <c r="J1" s="47" t="s">
        <v>40</v>
      </c>
    </row>
    <row r="2" spans="9:10" ht="12.75">
      <c r="I2" s="48" t="s">
        <v>50</v>
      </c>
      <c r="J2" s="49" t="s">
        <v>39</v>
      </c>
    </row>
    <row r="3" spans="1:10" ht="12.75">
      <c r="A3" s="50" t="s">
        <v>51</v>
      </c>
      <c r="I3" s="48" t="s">
        <v>52</v>
      </c>
      <c r="J3" s="49" t="s">
        <v>37</v>
      </c>
    </row>
    <row r="4" spans="9:10" ht="12.75">
      <c r="I4" s="48" t="s">
        <v>53</v>
      </c>
      <c r="J4" s="49" t="s">
        <v>37</v>
      </c>
    </row>
    <row r="5" spans="9:10" ht="13.5" thickBot="1">
      <c r="I5" s="51" t="s">
        <v>54</v>
      </c>
      <c r="J5" s="52" t="s">
        <v>38</v>
      </c>
    </row>
    <row r="10" ht="13.5" thickBot="1"/>
    <row r="11" spans="1:16" ht="12.75" customHeight="1" thickBot="1">
      <c r="A11" s="8" t="str">
        <f aca="true" t="shared" si="0" ref="A11:A18">P11</f>
        <v> PZ 5.255 </v>
      </c>
      <c r="B11" s="3" t="str">
        <f aca="true" t="shared" si="1" ref="B11:B18">IF(H11=INT(H11),"I","II")</f>
        <v>I</v>
      </c>
      <c r="C11" s="8">
        <f aca="true" t="shared" si="2" ref="C11:C18">1*G11</f>
        <v>16739.43</v>
      </c>
      <c r="D11" s="10" t="str">
        <f aca="true" t="shared" si="3" ref="D11:D18">VLOOKUP(F11,I$1:J$5,2,FALSE)</f>
        <v>vis</v>
      </c>
      <c r="E11" s="53">
        <f>VLOOKUP(C11,A!C$21:E$973,3,FALSE)</f>
        <v>0</v>
      </c>
      <c r="F11" s="3" t="s">
        <v>54</v>
      </c>
      <c r="G11" s="10" t="str">
        <f aca="true" t="shared" si="4" ref="G11:G18">MID(I11,3,LEN(I11)-3)</f>
        <v>16739.43</v>
      </c>
      <c r="H11" s="8">
        <f aca="true" t="shared" si="5" ref="H11:H18">1*K11</f>
        <v>0</v>
      </c>
      <c r="I11" s="54" t="s">
        <v>55</v>
      </c>
      <c r="J11" s="55" t="s">
        <v>56</v>
      </c>
      <c r="K11" s="54">
        <v>0</v>
      </c>
      <c r="L11" s="54" t="s">
        <v>57</v>
      </c>
      <c r="M11" s="55" t="s">
        <v>58</v>
      </c>
      <c r="N11" s="55"/>
      <c r="O11" s="56" t="s">
        <v>59</v>
      </c>
      <c r="P11" s="56" t="s">
        <v>60</v>
      </c>
    </row>
    <row r="12" spans="1:16" ht="12.75" customHeight="1" thickBot="1">
      <c r="A12" s="8" t="str">
        <f t="shared" si="0"/>
        <v>OEJV 0172 </v>
      </c>
      <c r="B12" s="3" t="str">
        <f t="shared" si="1"/>
        <v>I</v>
      </c>
      <c r="C12" s="8">
        <f t="shared" si="2"/>
        <v>57011.545</v>
      </c>
      <c r="D12" s="10" t="str">
        <f t="shared" si="3"/>
        <v>vis</v>
      </c>
      <c r="E12" s="53">
        <f>VLOOKUP(C12,A!C$21:E$973,3,FALSE)</f>
        <v>2334.020018082344</v>
      </c>
      <c r="F12" s="3" t="s">
        <v>54</v>
      </c>
      <c r="G12" s="10" t="str">
        <f t="shared" si="4"/>
        <v>57011.545</v>
      </c>
      <c r="H12" s="8">
        <f t="shared" si="5"/>
        <v>2334</v>
      </c>
      <c r="I12" s="54" t="s">
        <v>79</v>
      </c>
      <c r="J12" s="55" t="s">
        <v>80</v>
      </c>
      <c r="K12" s="54">
        <v>2334</v>
      </c>
      <c r="L12" s="54" t="s">
        <v>81</v>
      </c>
      <c r="M12" s="55" t="s">
        <v>82</v>
      </c>
      <c r="N12" s="55" t="s">
        <v>54</v>
      </c>
      <c r="O12" s="56" t="s">
        <v>83</v>
      </c>
      <c r="P12" s="57" t="s">
        <v>84</v>
      </c>
    </row>
    <row r="13" spans="1:16" ht="12.75" customHeight="1" thickBot="1">
      <c r="A13" s="8" t="str">
        <f t="shared" si="0"/>
        <v>OEJV 0172 </v>
      </c>
      <c r="B13" s="3" t="str">
        <f t="shared" si="1"/>
        <v>I</v>
      </c>
      <c r="C13" s="8">
        <f t="shared" si="2"/>
        <v>57011.55</v>
      </c>
      <c r="D13" s="10" t="str">
        <f t="shared" si="3"/>
        <v>vis</v>
      </c>
      <c r="E13" s="53">
        <f>VLOOKUP(C13,A!C$21:E$973,3,FALSE)</f>
        <v>2334.020307863502</v>
      </c>
      <c r="F13" s="3" t="s">
        <v>54</v>
      </c>
      <c r="G13" s="10" t="str">
        <f t="shared" si="4"/>
        <v>57011.550</v>
      </c>
      <c r="H13" s="8">
        <f t="shared" si="5"/>
        <v>2334</v>
      </c>
      <c r="I13" s="54" t="s">
        <v>85</v>
      </c>
      <c r="J13" s="55" t="s">
        <v>86</v>
      </c>
      <c r="K13" s="54">
        <v>2334</v>
      </c>
      <c r="L13" s="54" t="s">
        <v>87</v>
      </c>
      <c r="M13" s="55" t="s">
        <v>82</v>
      </c>
      <c r="N13" s="55" t="s">
        <v>47</v>
      </c>
      <c r="O13" s="56" t="s">
        <v>83</v>
      </c>
      <c r="P13" s="57" t="s">
        <v>84</v>
      </c>
    </row>
    <row r="14" spans="1:16" ht="12.75" customHeight="1" thickBot="1">
      <c r="A14" s="8" t="str">
        <f t="shared" si="0"/>
        <v> AC 191.16 </v>
      </c>
      <c r="B14" s="3" t="str">
        <f t="shared" si="1"/>
        <v>I</v>
      </c>
      <c r="C14" s="8">
        <f t="shared" si="2"/>
        <v>18240.3</v>
      </c>
      <c r="D14" s="10" t="str">
        <f t="shared" si="3"/>
        <v>vis</v>
      </c>
      <c r="E14" s="53">
        <f>VLOOKUP(C14,A!C$21:E$973,3,FALSE)</f>
        <v>86.98476910237383</v>
      </c>
      <c r="F14" s="3" t="s">
        <v>54</v>
      </c>
      <c r="G14" s="10" t="str">
        <f t="shared" si="4"/>
        <v>18240.30</v>
      </c>
      <c r="H14" s="8">
        <f t="shared" si="5"/>
        <v>87</v>
      </c>
      <c r="I14" s="54" t="s">
        <v>61</v>
      </c>
      <c r="J14" s="55" t="s">
        <v>62</v>
      </c>
      <c r="K14" s="54">
        <v>87</v>
      </c>
      <c r="L14" s="54" t="s">
        <v>63</v>
      </c>
      <c r="M14" s="55" t="s">
        <v>58</v>
      </c>
      <c r="N14" s="55"/>
      <c r="O14" s="56" t="s">
        <v>64</v>
      </c>
      <c r="P14" s="56" t="s">
        <v>65</v>
      </c>
    </row>
    <row r="15" spans="1:16" ht="12.75" customHeight="1" thickBot="1">
      <c r="A15" s="8" t="str">
        <f t="shared" si="0"/>
        <v> PZ 5.255 </v>
      </c>
      <c r="B15" s="3" t="str">
        <f t="shared" si="1"/>
        <v>I</v>
      </c>
      <c r="C15" s="8">
        <f t="shared" si="2"/>
        <v>18275.39</v>
      </c>
      <c r="D15" s="10" t="str">
        <f t="shared" si="3"/>
        <v>vis</v>
      </c>
      <c r="E15" s="53">
        <f>VLOOKUP(C15,A!C$21:E$973,3,FALSE)</f>
        <v>89.0184532640949</v>
      </c>
      <c r="F15" s="3" t="s">
        <v>54</v>
      </c>
      <c r="G15" s="10" t="str">
        <f t="shared" si="4"/>
        <v>18275.39</v>
      </c>
      <c r="H15" s="8">
        <f t="shared" si="5"/>
        <v>89</v>
      </c>
      <c r="I15" s="54" t="s">
        <v>66</v>
      </c>
      <c r="J15" s="55" t="s">
        <v>67</v>
      </c>
      <c r="K15" s="54">
        <v>89</v>
      </c>
      <c r="L15" s="54" t="s">
        <v>68</v>
      </c>
      <c r="M15" s="55" t="s">
        <v>58</v>
      </c>
      <c r="N15" s="55"/>
      <c r="O15" s="56" t="s">
        <v>59</v>
      </c>
      <c r="P15" s="56" t="s">
        <v>60</v>
      </c>
    </row>
    <row r="16" spans="1:16" ht="12.75" customHeight="1" thickBot="1">
      <c r="A16" s="8" t="str">
        <f t="shared" si="0"/>
        <v> AC 191.16 </v>
      </c>
      <c r="B16" s="3" t="str">
        <f t="shared" si="1"/>
        <v>I</v>
      </c>
      <c r="C16" s="8">
        <f t="shared" si="2"/>
        <v>28593.25</v>
      </c>
      <c r="D16" s="10" t="str">
        <f t="shared" si="3"/>
        <v>vis</v>
      </c>
      <c r="E16" s="53">
        <f>VLOOKUP(C16,A!C$21:E$973,3,FALSE)</f>
        <v>687.0027355341246</v>
      </c>
      <c r="F16" s="3" t="s">
        <v>54</v>
      </c>
      <c r="G16" s="10" t="str">
        <f t="shared" si="4"/>
        <v>28593.25</v>
      </c>
      <c r="H16" s="8">
        <f t="shared" si="5"/>
        <v>687</v>
      </c>
      <c r="I16" s="54" t="s">
        <v>69</v>
      </c>
      <c r="J16" s="55" t="s">
        <v>70</v>
      </c>
      <c r="K16" s="54">
        <v>687</v>
      </c>
      <c r="L16" s="54" t="s">
        <v>71</v>
      </c>
      <c r="M16" s="55" t="s">
        <v>58</v>
      </c>
      <c r="N16" s="55"/>
      <c r="O16" s="56" t="s">
        <v>64</v>
      </c>
      <c r="P16" s="56" t="s">
        <v>65</v>
      </c>
    </row>
    <row r="17" spans="1:16" ht="12.75" customHeight="1" thickBot="1">
      <c r="A17" s="8" t="str">
        <f t="shared" si="0"/>
        <v> PZ 5.255 </v>
      </c>
      <c r="B17" s="3" t="str">
        <f t="shared" si="1"/>
        <v>I</v>
      </c>
      <c r="C17" s="8">
        <f t="shared" si="2"/>
        <v>29283.27</v>
      </c>
      <c r="D17" s="10" t="str">
        <f t="shared" si="3"/>
        <v>vis</v>
      </c>
      <c r="E17" s="53">
        <f>VLOOKUP(C17,A!C$21:E$973,3,FALSE)</f>
        <v>726.9936943620178</v>
      </c>
      <c r="F17" s="3" t="s">
        <v>54</v>
      </c>
      <c r="G17" s="10" t="str">
        <f t="shared" si="4"/>
        <v>29283.27</v>
      </c>
      <c r="H17" s="8">
        <f t="shared" si="5"/>
        <v>727</v>
      </c>
      <c r="I17" s="54" t="s">
        <v>72</v>
      </c>
      <c r="J17" s="55" t="s">
        <v>73</v>
      </c>
      <c r="K17" s="54">
        <v>727</v>
      </c>
      <c r="L17" s="54" t="s">
        <v>74</v>
      </c>
      <c r="M17" s="55" t="s">
        <v>58</v>
      </c>
      <c r="N17" s="55"/>
      <c r="O17" s="56" t="s">
        <v>59</v>
      </c>
      <c r="P17" s="56" t="s">
        <v>60</v>
      </c>
    </row>
    <row r="18" spans="1:16" ht="12.75" customHeight="1" thickBot="1">
      <c r="A18" s="8" t="str">
        <f t="shared" si="0"/>
        <v> SAC 34.108 </v>
      </c>
      <c r="B18" s="3" t="str">
        <f t="shared" si="1"/>
        <v>I</v>
      </c>
      <c r="C18" s="8">
        <f t="shared" si="2"/>
        <v>36081.75</v>
      </c>
      <c r="D18" s="10" t="str">
        <f t="shared" si="3"/>
        <v>vis</v>
      </c>
      <c r="E18" s="53">
        <f>VLOOKUP(C18,A!C$21:E$973,3,FALSE)</f>
        <v>1121.007974777448</v>
      </c>
      <c r="F18" s="3" t="s">
        <v>54</v>
      </c>
      <c r="G18" s="10" t="str">
        <f t="shared" si="4"/>
        <v>36081.75</v>
      </c>
      <c r="H18" s="8">
        <f t="shared" si="5"/>
        <v>1121</v>
      </c>
      <c r="I18" s="54" t="s">
        <v>75</v>
      </c>
      <c r="J18" s="55" t="s">
        <v>76</v>
      </c>
      <c r="K18" s="54">
        <v>1121</v>
      </c>
      <c r="L18" s="54" t="s">
        <v>77</v>
      </c>
      <c r="M18" s="55" t="s">
        <v>58</v>
      </c>
      <c r="N18" s="55"/>
      <c r="O18" s="56" t="s">
        <v>64</v>
      </c>
      <c r="P18" s="56" t="s">
        <v>78</v>
      </c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</sheetData>
  <sheetProtection/>
  <hyperlinks>
    <hyperlink ref="P12" r:id="rId1" display="http://var.astro.cz/oejv/issues/oejv0172.pdf"/>
    <hyperlink ref="P13" r:id="rId2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