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9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<sst xmlns="http://schemas.openxmlformats.org/spreadsheetml/2006/main" count="153" uniqueCount="101">
  <si>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</si>
  <si>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</si>
  <si>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</si>
  <si>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</si>
  <si>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</si>
  <si>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</si>
  <si>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</si>
  <si>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</si>
  <si>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</si>
  <si>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</si>
  <si>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</si>
  <si>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</si>
  <si>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</si>
  <si>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</si>
  <si>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</si>
  <si>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</si>
  <si>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</si>
  <si>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</si>
  <si>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</si>
  <si>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</si>
  <si>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</si>
  <si>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</si>
  <si>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</si>
  <si>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</si>
  <si>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</si>
  <si>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</si>
  <si>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</si>
  <si>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# of data points:</t>
  </si>
  <si>
    <t>V364 Per / GSC 02337-00333</t>
  </si>
  <si>
    <t>EW/KW:</t>
  </si>
  <si>
    <t>Correct coords 02 44 01 +36 17 29</t>
  </si>
  <si>
    <t>Pri/Sec ID photometrically determined - difference is only about 0.03 magnitude.</t>
  </si>
  <si>
    <t>ROTSE</t>
  </si>
  <si>
    <t>II</t>
  </si>
  <si>
    <t>I</t>
  </si>
  <si>
    <t>BBSAG 127</t>
  </si>
  <si>
    <t>IBVS 5690</t>
  </si>
  <si>
    <t>BBSAG</t>
  </si>
  <si>
    <t>Krajci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</si>
  <si>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</si>
  <si>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</si>
  <si>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</si>
  <si>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</si>
  <si>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</si>
  <si>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</si>
  <si>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Add cycle</t>
  </si>
  <si>
    <t>Old Cycle</t>
  </si>
  <si>
    <t>Start of linear fit &gt;&gt;&gt;&gt;&gt;&gt;&gt;&gt;&gt;&gt;&gt;&gt;&gt;&gt;&gt;&gt;&gt;&gt;&gt;&gt;&gt;</t>
  </si>
  <si>
    <t>OEJV 0137</t>
  </si>
  <si>
    <t>OEJV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</si>
  <si>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</si>
  <si>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</si>
  <si>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</si>
  <si>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</si>
  <si>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</si>
  <si>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</si>
  <si>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</si>
  <si>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</si>
  <si>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</si>
  <si>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</si>
  <si>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</si>
  <si>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2452253.288 </t>
  </si>
  <si>
    <t> 09.12.2001 18:54 </t>
  </si>
  <si>
    <t> -0.017 </t>
  </si>
  <si>
    <t>E </t>
  </si>
  <si>
    <t>?</t>
  </si>
  <si>
    <t> E.Blättler </t>
  </si>
  <si>
    <t> BBS 127 </t>
  </si>
  <si>
    <t>2453260.9584 </t>
  </si>
  <si>
    <t> 12.09.2004 11:00 </t>
  </si>
  <si>
    <t> -0.0537 </t>
  </si>
  <si>
    <t> T. Krajci </t>
  </si>
  <si>
    <t>IBVS 5690 </t>
  </si>
  <si>
    <t>2453302.8795 </t>
  </si>
  <si>
    <t> 24.10.2004 09:06 </t>
  </si>
  <si>
    <t> -0.0567 </t>
  </si>
  <si>
    <t>2453988.9165 </t>
  </si>
  <si>
    <t> 10.09.2006 09:59 </t>
  </si>
  <si>
    <t> -0.0823 </t>
  </si>
  <si>
    <t>C </t>
  </si>
  <si>
    <t>o</t>
  </si>
  <si>
    <t> T.Krajci </t>
  </si>
  <si>
    <t>IBVS 5806 </t>
  </si>
  <si>
    <t>2454109.5937 </t>
  </si>
  <si>
    <t> 09.01.2007 02:14 </t>
  </si>
  <si>
    <t> -0.0856 </t>
  </si>
  <si>
    <t>2455059.5584 </t>
  </si>
  <si>
    <t> 16.08.2009 01:24 </t>
  </si>
  <si>
    <t> -0.1190 </t>
  </si>
  <si>
    <t> J.Trnka </t>
  </si>
  <si>
    <t>OEJV 0137 </t>
  </si>
  <si>
    <t>2455075.5125 </t>
  </si>
  <si>
    <t> 01.09.2009 00:18 </t>
  </si>
  <si>
    <t> -0.1199 </t>
  </si>
  <si>
    <t>2455096.3905 </t>
  </si>
  <si>
    <t> 21.09.2009 21:22 </t>
  </si>
  <si>
    <t> -0.1191 </t>
  </si>
  <si>
    <t> V.Pribík </t>
  </si>
  <si>
    <t>2455101.4825 </t>
  </si>
  <si>
    <t> 26.09.2009 23:34 </t>
  </si>
  <si>
    <t> L.Brát 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</si>
</sst>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V364 Per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ROTSE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</c:v>
                  </c:pt>
                  <c:pt idx="4">
                    <c:v>0.0002</c:v>
                  </c:pt>
                  <c:pt idx="5">
                    <c:v>0.0004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0.0003</c:v>
                  </c:pt>
                  <c:pt idx="9">
                    <c:v>0.0002</c:v>
                  </c:pt>
                  <c:pt idx="10">
                    <c:v>0.02</c:v>
                  </c:pt>
                  <c:pt idx="11">
                    <c:v>0.0003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0301961"/>
        <c:axId val="50064466"/>
      </c:scatterChart>
      <c:valAx>
        <c:axId val="5030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4466"/>
        <c:crosses val="autoZero"/>
        <c:crossBetween val="midCat"/>
        <c:dispUnits/>
      </c:valAx>
      <c:valAx>
        <c:axId val="50064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0196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93075"/>
          <c:w val="0.837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38100</xdr:rowOff>
    </xdr:from>
    <xdr:to>
      <xdr:col>15</xdr:col>
      <xdr:colOff>266700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3981450" y="3810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690" TargetMode="External" /><Relationship Id="rId2" Type="http://schemas.openxmlformats.org/officeDocument/2006/relationships/hyperlink" Target="http://www.konkoly.hu/cgi-bin/IBVS?5690" TargetMode="External" /><Relationship Id="rId3" Type="http://schemas.openxmlformats.org/officeDocument/2006/relationships/hyperlink" Target="http://www.konkoly.hu/cgi-bin/IBVS?5806" TargetMode="External" /><Relationship Id="rId4" Type="http://schemas.openxmlformats.org/officeDocument/2006/relationships/hyperlink" Target="http://www.konkoly.hu/cgi-bin/IBVS?5806" TargetMode="External" /><Relationship Id="rId5" Type="http://schemas.openxmlformats.org/officeDocument/2006/relationships/hyperlink" Target="http://var.astro.cz/oejv/issues/oejv0137.pdf" TargetMode="External" /><Relationship Id="rId6" Type="http://schemas.openxmlformats.org/officeDocument/2006/relationships/hyperlink" Target="http://var.astro.cz/oejv/issues/oejv0137.pdf" TargetMode="External" /><Relationship Id="rId7" Type="http://schemas.openxmlformats.org/officeDocument/2006/relationships/hyperlink" Target="http://var.astro.cz/oejv/issues/oejv0137.pdf" TargetMode="External" /><Relationship Id="rId8" Type="http://schemas.openxmlformats.org/officeDocument/2006/relationships/hyperlink" Target="http://var.astro.cz/oejv/issues/oejv013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8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4" ht="20.25">
      <c r="A1" s="1" t="s">
        <v>28</v>
      </c>
      <c r="C1" s="8"/>
      <c r="D1" s="8"/>
    </row>
    <row r="2" spans="1:3" ht="12.75">
      <c r="A2" t="s">
        <v>24</v>
      </c>
      <c r="B2" t="s">
        <v>29</v>
      </c>
      <c r="C2" s="9"/>
    </row>
    <row r="3" spans="2:3" ht="13.5" thickBot="1">
      <c r="B3" s="9" t="s">
        <v>30</v>
      </c>
      <c r="C3" s="10"/>
    </row>
    <row r="4" spans="1:4" ht="14.25" thickBot="1" thickTop="1">
      <c r="A4" s="5" t="s">
        <v>0</v>
      </c>
      <c r="B4" s="5"/>
      <c r="C4" s="11">
        <v>39026.486</v>
      </c>
      <c r="D4" s="12">
        <v>0.3394669</v>
      </c>
    </row>
    <row r="5" ht="12.75">
      <c r="C5" s="13" t="s">
        <v>31</v>
      </c>
    </row>
    <row r="6" spans="1:2" ht="12.75">
      <c r="A6" s="5" t="s">
        <v>1</v>
      </c>
      <c r="B6" s="5"/>
    </row>
    <row r="7" spans="1:3" ht="12.75">
      <c r="A7" t="s">
        <v>2</v>
      </c>
      <c r="C7" s="10">
        <f>+C4</f>
        <v>39026.486</v>
      </c>
    </row>
    <row r="8" spans="1:3" ht="12.75">
      <c r="A8" t="s">
        <v>3</v>
      </c>
      <c r="C8" s="14">
        <v>0.339453049</v>
      </c>
    </row>
    <row r="9" spans="1:5" ht="12.75">
      <c r="A9" s="18" t="s">
        <v>39</v>
      </c>
      <c r="B9" s="19"/>
      <c r="C9" s="20">
        <v>-9.5</v>
      </c>
      <c r="D9" s="19" t="s">
        <v>40</v>
      </c>
      <c r="E9" s="19"/>
    </row>
    <row r="10" spans="1:5" ht="13.5" thickBot="1">
      <c r="A10" s="19"/>
      <c r="B10" s="19"/>
      <c r="C10" s="4" t="s">
        <v>20</v>
      </c>
      <c r="D10" s="4" t="s">
        <v>21</v>
      </c>
      <c r="E10" s="19"/>
    </row>
    <row r="11" spans="1:7" ht="12.75">
      <c r="A11" s="19" t="s">
        <v>16</v>
      </c>
      <c r="B11" s="19"/>
      <c r="C11" s="31">
        <f ca="1">INTERCEPT(INDIRECT($G$11):G992,INDIRECT($F$11):F992)</f>
        <v>-0.0019093042557910972</v>
      </c>
      <c r="D11" s="3"/>
      <c r="E11" s="19"/>
      <c r="F11" s="32" t="str">
        <f>"F"&amp;E19</f>
        <v>F21</v>
      </c>
      <c r="G11" s="33" t="str">
        <f>"G"&amp;E19</f>
        <v>G21</v>
      </c>
    </row>
    <row r="12" spans="1:5" ht="12.75">
      <c r="A12" s="19" t="s">
        <v>17</v>
      </c>
      <c r="B12" s="19"/>
      <c r="C12" s="31">
        <f ca="1">SLOPE(INDIRECT($G$11):G992,INDIRECT($F$11):F992)</f>
        <v>5.342555661792633E-07</v>
      </c>
      <c r="D12" s="3"/>
      <c r="E12" s="19"/>
    </row>
    <row r="13" spans="1:5" ht="12.75">
      <c r="A13" s="19" t="s">
        <v>19</v>
      </c>
      <c r="B13" s="19"/>
      <c r="C13" s="3" t="s">
        <v>14</v>
      </c>
      <c r="D13" s="23" t="s">
        <v>45</v>
      </c>
      <c r="E13" s="20">
        <v>1</v>
      </c>
    </row>
    <row r="14" spans="1:5" ht="12.75">
      <c r="A14" s="19"/>
      <c r="B14" s="19"/>
      <c r="C14" s="19"/>
      <c r="D14" s="23" t="s">
        <v>41</v>
      </c>
      <c r="E14" s="24">
        <f ca="1">NOW()+15018.5+$C$9/24</f>
        <v>59906.59545497685</v>
      </c>
    </row>
    <row r="15" spans="1:5" ht="12.75">
      <c r="A15" s="21" t="s">
        <v>18</v>
      </c>
      <c r="B15" s="19"/>
      <c r="C15" s="22">
        <f>(C7+C11)+(C8+C12)*INT(MAX(F21:F3533))</f>
        <v>55101.308525763074</v>
      </c>
      <c r="D15" s="23" t="s">
        <v>46</v>
      </c>
      <c r="E15" s="24">
        <f>ROUND(2*(E14-$C$7)/$C$8,0)/2+E13</f>
        <v>61512</v>
      </c>
    </row>
    <row r="16" spans="1:5" ht="12.75">
      <c r="A16" s="25" t="s">
        <v>4</v>
      </c>
      <c r="B16" s="19"/>
      <c r="C16" s="26">
        <f>+C8+C12</f>
        <v>0.3394535832555662</v>
      </c>
      <c r="D16" s="23" t="s">
        <v>42</v>
      </c>
      <c r="E16" s="33">
        <f>ROUND(2*(E14-$C$15)/$C$16,0)/2+E13</f>
        <v>14157</v>
      </c>
    </row>
    <row r="17" spans="1:5" ht="13.5" thickBot="1">
      <c r="A17" s="23" t="s">
        <v>27</v>
      </c>
      <c r="B17" s="19"/>
      <c r="C17" s="19">
        <f>COUNT(C21:C2191)</f>
        <v>12</v>
      </c>
      <c r="D17" s="23" t="s">
        <v>43</v>
      </c>
      <c r="E17" s="27">
        <f>+$C$15+$C$16*E16-15018.5-$C$9/24</f>
        <v>44888.84873724546</v>
      </c>
    </row>
    <row r="18" spans="1:5" ht="14.25" thickBot="1" thickTop="1">
      <c r="A18" s="25" t="s">
        <v>5</v>
      </c>
      <c r="B18" s="19"/>
      <c r="C18" s="28">
        <f>+C15</f>
        <v>55101.308525763074</v>
      </c>
      <c r="D18" s="29">
        <f>+C16</f>
        <v>0.3394535832555662</v>
      </c>
      <c r="E18" s="30" t="s">
        <v>44</v>
      </c>
    </row>
    <row r="19" spans="1:5" ht="13.5" thickTop="1">
      <c r="A19" s="34" t="s">
        <v>47</v>
      </c>
      <c r="E19" s="35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32</v>
      </c>
      <c r="J20" s="7" t="s">
        <v>37</v>
      </c>
      <c r="K20" s="7" t="s">
        <v>38</v>
      </c>
      <c r="L20" s="7" t="s">
        <v>49</v>
      </c>
      <c r="M20" s="7" t="s">
        <v>25</v>
      </c>
      <c r="N20" s="7" t="s">
        <v>26</v>
      </c>
      <c r="O20" s="7" t="s">
        <v>23</v>
      </c>
      <c r="P20" s="6" t="s">
        <v>22</v>
      </c>
      <c r="Q20" s="4" t="s">
        <v>15</v>
      </c>
    </row>
    <row r="21" spans="1:17" ht="12.75">
      <c r="A21" t="s">
        <v>12</v>
      </c>
      <c r="B21" s="3"/>
      <c r="C21" s="16">
        <f>+C4</f>
        <v>39026.486</v>
      </c>
      <c r="D21" s="16" t="s">
        <v>14</v>
      </c>
      <c r="E21">
        <f aca="true" t="shared" si="0" ref="E21:E32">+(C21-C$7)/C$8</f>
        <v>0</v>
      </c>
      <c r="F21">
        <f aca="true" t="shared" si="1" ref="F21:F32">ROUND(2*E21,0)/2</f>
        <v>0</v>
      </c>
      <c r="G21">
        <f aca="true" t="shared" si="2" ref="G21:G32">+C21-(C$7+F21*C$8)</f>
        <v>0</v>
      </c>
      <c r="H21">
        <f>+G21</f>
        <v>0</v>
      </c>
      <c r="O21">
        <f aca="true" t="shared" si="3" ref="O21:O32">+C$11+C$12*$F21</f>
        <v>-0.0019093042557910972</v>
      </c>
      <c r="Q21" s="2">
        <f aca="true" t="shared" si="4" ref="Q21:Q32">+C21-15018.5</f>
        <v>24007.985999999997</v>
      </c>
    </row>
    <row r="22" spans="1:17" ht="12.75">
      <c r="A22" t="s">
        <v>32</v>
      </c>
      <c r="B22" s="3" t="s">
        <v>33</v>
      </c>
      <c r="C22" s="16">
        <v>51353.0641</v>
      </c>
      <c r="D22" s="16"/>
      <c r="E22">
        <f t="shared" si="0"/>
        <v>36313.05753862887</v>
      </c>
      <c r="F22">
        <f t="shared" si="1"/>
        <v>36313</v>
      </c>
      <c r="G22">
        <f t="shared" si="2"/>
        <v>0.019531663005182054</v>
      </c>
      <c r="I22">
        <f>+G22</f>
        <v>0.019531663005182054</v>
      </c>
      <c r="O22">
        <f t="shared" si="3"/>
        <v>0.017491118118876492</v>
      </c>
      <c r="Q22" s="2">
        <f t="shared" si="4"/>
        <v>36334.5641</v>
      </c>
    </row>
    <row r="23" spans="1:17" ht="12.75">
      <c r="A23" t="s">
        <v>32</v>
      </c>
      <c r="B23" s="3" t="s">
        <v>34</v>
      </c>
      <c r="C23" s="16">
        <v>51353.2295</v>
      </c>
      <c r="D23" s="16"/>
      <c r="E23">
        <f t="shared" si="0"/>
        <v>36313.54479305326</v>
      </c>
      <c r="F23">
        <f t="shared" si="1"/>
        <v>36313.5</v>
      </c>
      <c r="G23">
        <f t="shared" si="2"/>
        <v>0.01520513850118732</v>
      </c>
      <c r="I23">
        <f>+G23</f>
        <v>0.01520513850118732</v>
      </c>
      <c r="O23">
        <f t="shared" si="3"/>
        <v>0.01749138524665958</v>
      </c>
      <c r="Q23" s="2">
        <f t="shared" si="4"/>
        <v>36334.7295</v>
      </c>
    </row>
    <row r="24" spans="1:17" ht="12.75">
      <c r="A24" t="s">
        <v>35</v>
      </c>
      <c r="B24" s="3" t="s">
        <v>33</v>
      </c>
      <c r="C24" s="16">
        <v>52253.288</v>
      </c>
      <c r="D24" s="16">
        <v>0.005</v>
      </c>
      <c r="E24">
        <f t="shared" si="0"/>
        <v>38965.041082898046</v>
      </c>
      <c r="F24">
        <f t="shared" si="1"/>
        <v>38965</v>
      </c>
      <c r="G24">
        <f t="shared" si="2"/>
        <v>0.01394571500713937</v>
      </c>
      <c r="J24">
        <f>+G24</f>
        <v>0.01394571500713937</v>
      </c>
      <c r="O24">
        <f t="shared" si="3"/>
        <v>0.018907963880383898</v>
      </c>
      <c r="Q24" s="2">
        <f t="shared" si="4"/>
        <v>37234.788</v>
      </c>
    </row>
    <row r="25" spans="1:17" ht="12.75">
      <c r="A25" s="15" t="s">
        <v>36</v>
      </c>
      <c r="B25" s="3" t="s">
        <v>34</v>
      </c>
      <c r="C25" s="16">
        <v>53260.9584</v>
      </c>
      <c r="D25" s="16">
        <v>0.0002</v>
      </c>
      <c r="E25">
        <f t="shared" si="0"/>
        <v>41933.55293739019</v>
      </c>
      <c r="F25">
        <f t="shared" si="1"/>
        <v>41933.5</v>
      </c>
      <c r="G25">
        <f t="shared" si="2"/>
        <v>0.017969758504477795</v>
      </c>
      <c r="K25">
        <f>+G25</f>
        <v>0.017969758504477795</v>
      </c>
      <c r="O25">
        <f t="shared" si="3"/>
        <v>0.02049390152858704</v>
      </c>
      <c r="Q25" s="2">
        <f t="shared" si="4"/>
        <v>38242.4584</v>
      </c>
    </row>
    <row r="26" spans="1:17" ht="12.75">
      <c r="A26" s="15" t="s">
        <v>36</v>
      </c>
      <c r="B26" s="3" t="s">
        <v>33</v>
      </c>
      <c r="C26" s="16">
        <v>53302.8795</v>
      </c>
      <c r="D26" s="16">
        <v>0.0004</v>
      </c>
      <c r="E26">
        <f t="shared" si="0"/>
        <v>42057.04895583367</v>
      </c>
      <c r="F26">
        <f t="shared" si="1"/>
        <v>42057</v>
      </c>
      <c r="G26">
        <f t="shared" si="2"/>
        <v>0.01661820700246608</v>
      </c>
      <c r="K26">
        <f>+G26</f>
        <v>0.01661820700246608</v>
      </c>
      <c r="O26">
        <f t="shared" si="3"/>
        <v>0.02055988209101018</v>
      </c>
      <c r="Q26" s="2">
        <f t="shared" si="4"/>
        <v>38284.3795</v>
      </c>
    </row>
    <row r="27" spans="1:17" ht="12.75">
      <c r="A27" s="52" t="s">
        <v>82</v>
      </c>
      <c r="B27" s="53" t="s">
        <v>33</v>
      </c>
      <c r="C27" s="52">
        <v>53988.9165</v>
      </c>
      <c r="D27" s="17"/>
      <c r="E27">
        <f t="shared" si="0"/>
        <v>44078.055990594454</v>
      </c>
      <c r="F27">
        <f t="shared" si="1"/>
        <v>44078</v>
      </c>
      <c r="G27">
        <f t="shared" si="2"/>
        <v>0.01900617800129112</v>
      </c>
      <c r="M27">
        <f>+G27</f>
        <v>0.01900617800129112</v>
      </c>
      <c r="O27">
        <f t="shared" si="3"/>
        <v>0.02163961259025847</v>
      </c>
      <c r="Q27" s="2">
        <f t="shared" si="4"/>
        <v>38970.4165</v>
      </c>
    </row>
    <row r="28" spans="1:17" ht="12.75">
      <c r="A28" s="52" t="s">
        <v>82</v>
      </c>
      <c r="B28" s="53" t="s">
        <v>34</v>
      </c>
      <c r="C28" s="52">
        <v>54109.5937</v>
      </c>
      <c r="D28" s="3"/>
      <c r="E28">
        <f t="shared" si="0"/>
        <v>44433.56082507894</v>
      </c>
      <c r="F28">
        <f t="shared" si="1"/>
        <v>44433.5</v>
      </c>
      <c r="G28">
        <f t="shared" si="2"/>
        <v>0.0206472584977746</v>
      </c>
      <c r="M28">
        <f>+G28</f>
        <v>0.0206472584977746</v>
      </c>
      <c r="O28">
        <f t="shared" si="3"/>
        <v>0.0218295404440352</v>
      </c>
      <c r="Q28" s="2">
        <f t="shared" si="4"/>
        <v>39091.0937</v>
      </c>
    </row>
    <row r="29" spans="1:17" ht="12.75">
      <c r="A29" s="36" t="s">
        <v>48</v>
      </c>
      <c r="B29" s="37" t="s">
        <v>33</v>
      </c>
      <c r="C29" s="38">
        <v>55059.55846</v>
      </c>
      <c r="D29" s="38">
        <v>0.0003</v>
      </c>
      <c r="E29">
        <f t="shared" si="0"/>
        <v>47232.076740014796</v>
      </c>
      <c r="F29">
        <f t="shared" si="1"/>
        <v>47232</v>
      </c>
      <c r="G29">
        <f t="shared" si="2"/>
        <v>0.02604963200428756</v>
      </c>
      <c r="L29">
        <f>+G29</f>
        <v>0.02604963200428756</v>
      </c>
      <c r="O29">
        <f t="shared" si="3"/>
        <v>0.023324654645987868</v>
      </c>
      <c r="Q29" s="2">
        <f t="shared" si="4"/>
        <v>40041.05846</v>
      </c>
    </row>
    <row r="30" spans="1:17" ht="12.75">
      <c r="A30" s="36" t="s">
        <v>48</v>
      </c>
      <c r="B30" s="37" t="s">
        <v>33</v>
      </c>
      <c r="C30" s="38">
        <v>55075.51255</v>
      </c>
      <c r="D30" s="38">
        <v>0.0002</v>
      </c>
      <c r="E30">
        <f t="shared" si="0"/>
        <v>47279.07614110134</v>
      </c>
      <c r="F30">
        <f t="shared" si="1"/>
        <v>47279</v>
      </c>
      <c r="G30">
        <f t="shared" si="2"/>
        <v>0.025846329001069535</v>
      </c>
      <c r="L30">
        <f>+G30</f>
        <v>0.025846329001069535</v>
      </c>
      <c r="O30">
        <f t="shared" si="3"/>
        <v>0.02334976465759829</v>
      </c>
      <c r="Q30" s="2">
        <f t="shared" si="4"/>
        <v>40057.01255</v>
      </c>
    </row>
    <row r="31" spans="1:17" ht="12.75">
      <c r="A31" s="36" t="s">
        <v>48</v>
      </c>
      <c r="B31" s="37" t="s">
        <v>34</v>
      </c>
      <c r="C31" s="38">
        <v>55096.3905</v>
      </c>
      <c r="D31" s="38">
        <v>0.02</v>
      </c>
      <c r="E31">
        <f t="shared" si="0"/>
        <v>47340.58081770243</v>
      </c>
      <c r="F31">
        <f t="shared" si="1"/>
        <v>47340.5</v>
      </c>
      <c r="G31">
        <f t="shared" si="2"/>
        <v>0.027433815506810788</v>
      </c>
      <c r="L31">
        <f>+G31</f>
        <v>0.027433815506810788</v>
      </c>
      <c r="O31">
        <f t="shared" si="3"/>
        <v>0.023382621374918314</v>
      </c>
      <c r="Q31" s="2">
        <f t="shared" si="4"/>
        <v>40077.8905</v>
      </c>
    </row>
    <row r="32" spans="1:17" ht="12.75">
      <c r="A32" s="36" t="s">
        <v>48</v>
      </c>
      <c r="B32" s="37" t="s">
        <v>34</v>
      </c>
      <c r="C32" s="38">
        <v>55101.48256</v>
      </c>
      <c r="D32" s="38">
        <v>0.0003</v>
      </c>
      <c r="E32">
        <f t="shared" si="0"/>
        <v>47355.58159620478</v>
      </c>
      <c r="F32">
        <f t="shared" si="1"/>
        <v>47355.5</v>
      </c>
      <c r="G32">
        <f t="shared" si="2"/>
        <v>0.027698080499249045</v>
      </c>
      <c r="L32">
        <f>+G32</f>
        <v>0.027698080499249045</v>
      </c>
      <c r="O32">
        <f t="shared" si="3"/>
        <v>0.023390635208411004</v>
      </c>
      <c r="Q32" s="2">
        <f t="shared" si="4"/>
        <v>40082.98256</v>
      </c>
    </row>
    <row r="33" spans="1:17" ht="12.75">
      <c r="A33" s="52"/>
      <c r="B33" s="53"/>
      <c r="C33" s="52"/>
      <c r="D33" s="3"/>
      <c r="Q33" s="2"/>
    </row>
    <row r="34" spans="1:17" ht="12.75">
      <c r="A34" s="52"/>
      <c r="B34" s="53"/>
      <c r="C34" s="52"/>
      <c r="D34" s="3"/>
      <c r="Q34" s="2"/>
    </row>
    <row r="35" spans="1:17" ht="12.75">
      <c r="A35" s="52"/>
      <c r="B35" s="53"/>
      <c r="C35" s="52"/>
      <c r="D35" s="3"/>
      <c r="Q35" s="2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3"/>
  <sheetViews>
    <sheetView zoomScalePageLayoutView="0" workbookViewId="0" topLeftCell="A1">
      <selection activeCell="A15" sqref="A15:C19"/>
    </sheetView>
  </sheetViews>
  <sheetFormatPr defaultColWidth="9.140625" defaultRowHeight="12.75"/>
  <cols>
    <col min="1" max="1" width="19.7109375" style="17" customWidth="1"/>
    <col min="2" max="2" width="4.421875" style="19" customWidth="1"/>
    <col min="3" max="3" width="12.7109375" style="17" customWidth="1"/>
    <col min="4" max="4" width="5.421875" style="19" customWidth="1"/>
    <col min="5" max="5" width="14.8515625" style="19" customWidth="1"/>
    <col min="6" max="6" width="9.140625" style="19" customWidth="1"/>
    <col min="7" max="7" width="12.00390625" style="19" customWidth="1"/>
    <col min="8" max="8" width="14.140625" style="17" customWidth="1"/>
    <col min="9" max="9" width="22.57421875" style="19" customWidth="1"/>
    <col min="10" max="10" width="25.140625" style="19" customWidth="1"/>
    <col min="11" max="11" width="15.7109375" style="19" customWidth="1"/>
    <col min="12" max="12" width="14.140625" style="19" customWidth="1"/>
    <col min="13" max="13" width="9.57421875" style="19" customWidth="1"/>
    <col min="14" max="14" width="14.140625" style="19" customWidth="1"/>
    <col min="15" max="15" width="23.421875" style="19" customWidth="1"/>
    <col min="16" max="16" width="16.57421875" style="19" customWidth="1"/>
    <col min="17" max="17" width="41.00390625" style="19" customWidth="1"/>
    <col min="18" max="16384" width="9.140625" style="19" customWidth="1"/>
  </cols>
  <sheetData>
    <row r="1" spans="1:10" ht="15.75">
      <c r="A1" s="39" t="s">
        <v>50</v>
      </c>
      <c r="I1" s="40" t="s">
        <v>51</v>
      </c>
      <c r="J1" s="41" t="s">
        <v>52</v>
      </c>
    </row>
    <row r="2" spans="9:10" ht="12.75">
      <c r="I2" s="42" t="s">
        <v>53</v>
      </c>
      <c r="J2" s="43" t="s">
        <v>54</v>
      </c>
    </row>
    <row r="3" spans="1:10" ht="12.75">
      <c r="A3" s="44" t="s">
        <v>55</v>
      </c>
      <c r="I3" s="42" t="s">
        <v>56</v>
      </c>
      <c r="J3" s="43" t="s">
        <v>57</v>
      </c>
    </row>
    <row r="4" spans="9:10" ht="12.75">
      <c r="I4" s="42" t="s">
        <v>58</v>
      </c>
      <c r="J4" s="43" t="s">
        <v>57</v>
      </c>
    </row>
    <row r="5" spans="9:10" ht="13.5" thickBot="1">
      <c r="I5" s="45" t="s">
        <v>59</v>
      </c>
      <c r="J5" s="46" t="s">
        <v>60</v>
      </c>
    </row>
    <row r="10" ht="13.5" thickBot="1"/>
    <row r="11" spans="1:16" ht="12.75" customHeight="1" thickBot="1">
      <c r="A11" s="17" t="str">
        <f aca="true" t="shared" si="0" ref="A11:A19">P11</f>
        <v> BBS 127 </v>
      </c>
      <c r="B11" s="3" t="str">
        <f aca="true" t="shared" si="1" ref="B11:B19">IF(H11=INT(H11),"I","II")</f>
        <v>II</v>
      </c>
      <c r="C11" s="17">
        <f aca="true" t="shared" si="2" ref="C11:C19">1*G11</f>
        <v>52253.288</v>
      </c>
      <c r="D11" s="19" t="str">
        <f aca="true" t="shared" si="3" ref="D11:D19">VLOOKUP(F11,I$1:J$5,2,FALSE)</f>
        <v>vis</v>
      </c>
      <c r="E11" s="47">
        <f>VLOOKUP(C11,A!C$21:E$973,3,FALSE)</f>
        <v>38965.041082898046</v>
      </c>
      <c r="F11" s="3" t="s">
        <v>59</v>
      </c>
      <c r="G11" s="19" t="str">
        <f aca="true" t="shared" si="4" ref="G11:G19">MID(I11,3,LEN(I11)-3)</f>
        <v>52253.288</v>
      </c>
      <c r="H11" s="17">
        <f aca="true" t="shared" si="5" ref="H11:H19">1*K11</f>
        <v>38963.5</v>
      </c>
      <c r="I11" s="48" t="s">
        <v>61</v>
      </c>
      <c r="J11" s="49" t="s">
        <v>62</v>
      </c>
      <c r="K11" s="48">
        <v>38963.5</v>
      </c>
      <c r="L11" s="48" t="s">
        <v>63</v>
      </c>
      <c r="M11" s="49" t="s">
        <v>64</v>
      </c>
      <c r="N11" s="49" t="s">
        <v>65</v>
      </c>
      <c r="O11" s="50" t="s">
        <v>66</v>
      </c>
      <c r="P11" s="50" t="s">
        <v>67</v>
      </c>
    </row>
    <row r="12" spans="1:16" ht="12.75" customHeight="1" thickBot="1">
      <c r="A12" s="17" t="str">
        <f t="shared" si="0"/>
        <v>IBVS 5690 </v>
      </c>
      <c r="B12" s="3" t="str">
        <f t="shared" si="1"/>
        <v>I</v>
      </c>
      <c r="C12" s="17">
        <f t="shared" si="2"/>
        <v>53260.9584</v>
      </c>
      <c r="D12" s="19" t="str">
        <f t="shared" si="3"/>
        <v>vis</v>
      </c>
      <c r="E12" s="47">
        <f>VLOOKUP(C12,A!C$21:E$973,3,FALSE)</f>
        <v>41933.55293739019</v>
      </c>
      <c r="F12" s="3" t="s">
        <v>59</v>
      </c>
      <c r="G12" s="19" t="str">
        <f t="shared" si="4"/>
        <v>53260.9584</v>
      </c>
      <c r="H12" s="17">
        <f t="shared" si="5"/>
        <v>41932</v>
      </c>
      <c r="I12" s="48" t="s">
        <v>68</v>
      </c>
      <c r="J12" s="49" t="s">
        <v>69</v>
      </c>
      <c r="K12" s="48">
        <v>41932</v>
      </c>
      <c r="L12" s="48" t="s">
        <v>70</v>
      </c>
      <c r="M12" s="49" t="s">
        <v>64</v>
      </c>
      <c r="N12" s="49" t="s">
        <v>65</v>
      </c>
      <c r="O12" s="50" t="s">
        <v>71</v>
      </c>
      <c r="P12" s="51" t="s">
        <v>72</v>
      </c>
    </row>
    <row r="13" spans="1:16" ht="12.75" customHeight="1" thickBot="1">
      <c r="A13" s="17" t="str">
        <f t="shared" si="0"/>
        <v>IBVS 5690 </v>
      </c>
      <c r="B13" s="3" t="str">
        <f t="shared" si="1"/>
        <v>II</v>
      </c>
      <c r="C13" s="17">
        <f t="shared" si="2"/>
        <v>53302.8795</v>
      </c>
      <c r="D13" s="19" t="str">
        <f t="shared" si="3"/>
        <v>vis</v>
      </c>
      <c r="E13" s="47">
        <f>VLOOKUP(C13,A!C$21:E$973,3,FALSE)</f>
        <v>42057.04895583367</v>
      </c>
      <c r="F13" s="3" t="s">
        <v>59</v>
      </c>
      <c r="G13" s="19" t="str">
        <f t="shared" si="4"/>
        <v>53302.8795</v>
      </c>
      <c r="H13" s="17">
        <f t="shared" si="5"/>
        <v>42055.5</v>
      </c>
      <c r="I13" s="48" t="s">
        <v>73</v>
      </c>
      <c r="J13" s="49" t="s">
        <v>74</v>
      </c>
      <c r="K13" s="48">
        <v>42055.5</v>
      </c>
      <c r="L13" s="48" t="s">
        <v>75</v>
      </c>
      <c r="M13" s="49" t="s">
        <v>64</v>
      </c>
      <c r="N13" s="49" t="s">
        <v>65</v>
      </c>
      <c r="O13" s="50" t="s">
        <v>71</v>
      </c>
      <c r="P13" s="51" t="s">
        <v>72</v>
      </c>
    </row>
    <row r="14" spans="1:16" ht="12.75" customHeight="1" thickBot="1">
      <c r="A14" s="17" t="str">
        <f t="shared" si="0"/>
        <v>OEJV 0137 </v>
      </c>
      <c r="B14" s="3" t="str">
        <f t="shared" si="1"/>
        <v>I</v>
      </c>
      <c r="C14" s="17">
        <f t="shared" si="2"/>
        <v>55096.3905</v>
      </c>
      <c r="D14" s="19" t="str">
        <f t="shared" si="3"/>
        <v>vis</v>
      </c>
      <c r="E14" s="47">
        <f>VLOOKUP(C14,A!C$21:E$973,3,FALSE)</f>
        <v>47340.58081770243</v>
      </c>
      <c r="F14" s="3" t="s">
        <v>59</v>
      </c>
      <c r="G14" s="19" t="str">
        <f t="shared" si="4"/>
        <v>55096.3905</v>
      </c>
      <c r="H14" s="17">
        <f t="shared" si="5"/>
        <v>47339</v>
      </c>
      <c r="I14" s="48" t="s">
        <v>94</v>
      </c>
      <c r="J14" s="49" t="s">
        <v>95</v>
      </c>
      <c r="K14" s="48">
        <v>47339</v>
      </c>
      <c r="L14" s="48" t="s">
        <v>96</v>
      </c>
      <c r="M14" s="49" t="s">
        <v>79</v>
      </c>
      <c r="N14" s="49" t="s">
        <v>51</v>
      </c>
      <c r="O14" s="50" t="s">
        <v>97</v>
      </c>
      <c r="P14" s="51" t="s">
        <v>90</v>
      </c>
    </row>
    <row r="15" spans="1:16" ht="12.75" customHeight="1" thickBot="1">
      <c r="A15" s="17" t="str">
        <f t="shared" si="0"/>
        <v>IBVS 5806 </v>
      </c>
      <c r="B15" s="3" t="str">
        <f t="shared" si="1"/>
        <v>II</v>
      </c>
      <c r="C15" s="17">
        <f t="shared" si="2"/>
        <v>53988.9165</v>
      </c>
      <c r="D15" s="19" t="str">
        <f t="shared" si="3"/>
        <v>vis</v>
      </c>
      <c r="E15" s="47">
        <f>VLOOKUP(C15,A!C$21:E$973,3,FALSE)</f>
        <v>44078.055990594454</v>
      </c>
      <c r="F15" s="3" t="s">
        <v>59</v>
      </c>
      <c r="G15" s="19" t="str">
        <f t="shared" si="4"/>
        <v>53988.9165</v>
      </c>
      <c r="H15" s="17">
        <f t="shared" si="5"/>
        <v>44076.5</v>
      </c>
      <c r="I15" s="48" t="s">
        <v>76</v>
      </c>
      <c r="J15" s="49" t="s">
        <v>77</v>
      </c>
      <c r="K15" s="48">
        <v>44076.5</v>
      </c>
      <c r="L15" s="48" t="s">
        <v>78</v>
      </c>
      <c r="M15" s="49" t="s">
        <v>79</v>
      </c>
      <c r="N15" s="49" t="s">
        <v>80</v>
      </c>
      <c r="O15" s="50" t="s">
        <v>81</v>
      </c>
      <c r="P15" s="51" t="s">
        <v>82</v>
      </c>
    </row>
    <row r="16" spans="1:16" ht="12.75" customHeight="1" thickBot="1">
      <c r="A16" s="17" t="str">
        <f t="shared" si="0"/>
        <v>IBVS 5806 </v>
      </c>
      <c r="B16" s="3" t="str">
        <f t="shared" si="1"/>
        <v>I</v>
      </c>
      <c r="C16" s="17">
        <f t="shared" si="2"/>
        <v>54109.5937</v>
      </c>
      <c r="D16" s="19" t="str">
        <f t="shared" si="3"/>
        <v>vis</v>
      </c>
      <c r="E16" s="47">
        <f>VLOOKUP(C16,A!C$21:E$973,3,FALSE)</f>
        <v>44433.56082507894</v>
      </c>
      <c r="F16" s="3" t="s">
        <v>59</v>
      </c>
      <c r="G16" s="19" t="str">
        <f t="shared" si="4"/>
        <v>54109.5937</v>
      </c>
      <c r="H16" s="17">
        <f t="shared" si="5"/>
        <v>44432</v>
      </c>
      <c r="I16" s="48" t="s">
        <v>83</v>
      </c>
      <c r="J16" s="49" t="s">
        <v>84</v>
      </c>
      <c r="K16" s="48">
        <v>44432</v>
      </c>
      <c r="L16" s="48" t="s">
        <v>85</v>
      </c>
      <c r="M16" s="49" t="s">
        <v>79</v>
      </c>
      <c r="N16" s="49" t="s">
        <v>80</v>
      </c>
      <c r="O16" s="50" t="s">
        <v>81</v>
      </c>
      <c r="P16" s="51" t="s">
        <v>82</v>
      </c>
    </row>
    <row r="17" spans="1:16" ht="12.75" customHeight="1" thickBot="1">
      <c r="A17" s="17" t="str">
        <f t="shared" si="0"/>
        <v>OEJV 0137 </v>
      </c>
      <c r="B17" s="3" t="str">
        <f t="shared" si="1"/>
        <v>II</v>
      </c>
      <c r="C17" s="17">
        <f t="shared" si="2"/>
        <v>55059.5584</v>
      </c>
      <c r="D17" s="19" t="str">
        <f t="shared" si="3"/>
        <v>vis</v>
      </c>
      <c r="E17" s="47" t="e">
        <f>VLOOKUP(C17,A!C$21:E$973,3,FALSE)</f>
        <v>#N/A</v>
      </c>
      <c r="F17" s="3" t="s">
        <v>59</v>
      </c>
      <c r="G17" s="19" t="str">
        <f t="shared" si="4"/>
        <v>55059.5584</v>
      </c>
      <c r="H17" s="17">
        <f t="shared" si="5"/>
        <v>47230.5</v>
      </c>
      <c r="I17" s="48" t="s">
        <v>86</v>
      </c>
      <c r="J17" s="49" t="s">
        <v>87</v>
      </c>
      <c r="K17" s="48">
        <v>47230.5</v>
      </c>
      <c r="L17" s="48" t="s">
        <v>88</v>
      </c>
      <c r="M17" s="49" t="s">
        <v>79</v>
      </c>
      <c r="N17" s="49" t="s">
        <v>51</v>
      </c>
      <c r="O17" s="50" t="s">
        <v>89</v>
      </c>
      <c r="P17" s="51" t="s">
        <v>90</v>
      </c>
    </row>
    <row r="18" spans="1:16" ht="12.75" customHeight="1" thickBot="1">
      <c r="A18" s="17" t="str">
        <f t="shared" si="0"/>
        <v>OEJV 0137 </v>
      </c>
      <c r="B18" s="3" t="str">
        <f t="shared" si="1"/>
        <v>II</v>
      </c>
      <c r="C18" s="17">
        <f t="shared" si="2"/>
        <v>55075.5125</v>
      </c>
      <c r="D18" s="19" t="str">
        <f t="shared" si="3"/>
        <v>vis</v>
      </c>
      <c r="E18" s="47" t="e">
        <f>VLOOKUP(C18,A!C$21:E$973,3,FALSE)</f>
        <v>#N/A</v>
      </c>
      <c r="F18" s="3" t="s">
        <v>59</v>
      </c>
      <c r="G18" s="19" t="str">
        <f t="shared" si="4"/>
        <v>55075.5125</v>
      </c>
      <c r="H18" s="17">
        <f t="shared" si="5"/>
        <v>47277.5</v>
      </c>
      <c r="I18" s="48" t="s">
        <v>91</v>
      </c>
      <c r="J18" s="49" t="s">
        <v>92</v>
      </c>
      <c r="K18" s="48">
        <v>47277.5</v>
      </c>
      <c r="L18" s="48" t="s">
        <v>93</v>
      </c>
      <c r="M18" s="49" t="s">
        <v>79</v>
      </c>
      <c r="N18" s="49" t="s">
        <v>51</v>
      </c>
      <c r="O18" s="50" t="s">
        <v>89</v>
      </c>
      <c r="P18" s="51" t="s">
        <v>90</v>
      </c>
    </row>
    <row r="19" spans="1:16" ht="12.75" customHeight="1" thickBot="1">
      <c r="A19" s="17" t="str">
        <f t="shared" si="0"/>
        <v>OEJV 0137 </v>
      </c>
      <c r="B19" s="3" t="str">
        <f t="shared" si="1"/>
        <v>I</v>
      </c>
      <c r="C19" s="17">
        <f t="shared" si="2"/>
        <v>55101.4825</v>
      </c>
      <c r="D19" s="19" t="str">
        <f t="shared" si="3"/>
        <v>vis</v>
      </c>
      <c r="E19" s="47" t="e">
        <f>VLOOKUP(C19,A!C$21:E$973,3,FALSE)</f>
        <v>#N/A</v>
      </c>
      <c r="F19" s="3" t="s">
        <v>59</v>
      </c>
      <c r="G19" s="19" t="str">
        <f t="shared" si="4"/>
        <v>55101.4825</v>
      </c>
      <c r="H19" s="17">
        <f t="shared" si="5"/>
        <v>47354</v>
      </c>
      <c r="I19" s="48" t="s">
        <v>98</v>
      </c>
      <c r="J19" s="49" t="s">
        <v>99</v>
      </c>
      <c r="K19" s="48">
        <v>47354</v>
      </c>
      <c r="L19" s="48" t="s">
        <v>96</v>
      </c>
      <c r="M19" s="49" t="s">
        <v>79</v>
      </c>
      <c r="N19" s="49" t="s">
        <v>51</v>
      </c>
      <c r="O19" s="50" t="s">
        <v>100</v>
      </c>
      <c r="P19" s="51" t="s">
        <v>90</v>
      </c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</sheetData>
  <sheetProtection/>
  <hyperlinks>
    <hyperlink ref="P12" r:id="rId1" display="http://www.konkoly.hu/cgi-bin/IBVS?5690"/>
    <hyperlink ref="P13" r:id="rId2" display="http://www.konkoly.hu/cgi-bin/IBVS?5690"/>
    <hyperlink ref="P15" r:id="rId3" display="http://www.konkoly.hu/cgi-bin/IBVS?5806"/>
    <hyperlink ref="P16" r:id="rId4" display="http://www.konkoly.hu/cgi-bin/IBVS?5806"/>
    <hyperlink ref="P17" r:id="rId5" display="http://var.astro.cz/oejv/issues/oejv0137.pdf"/>
    <hyperlink ref="P18" r:id="rId6" display="http://var.astro.cz/oejv/issues/oejv0137.pdf"/>
    <hyperlink ref="P14" r:id="rId7" display="http://var.astro.cz/oejv/issues/oejv0137.pdf"/>
    <hyperlink ref="P19" r:id="rId8" display="http://var.astro.cz/oejv/issues/oejv0137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2022-11-23T01:17:27Z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