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<sst xmlns="http://schemas.openxmlformats.org/spreadsheetml/2006/main" count="57" uniqueCount="49">
  <si>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</si>
  <si>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</si>
  <si>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</si>
  <si>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</si>
  <si>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</si>
  <si>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</si>
  <si>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</si>
  <si>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</si>
  <si>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</si>
  <si>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</si>
  <si>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</si>
  <si>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</si>
  <si>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</si>
  <si>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</si>
  <si>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</si>
  <si>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</si>
  <si>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</si>
  <si>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</si>
  <si>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</si>
  <si>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</si>
  <si>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</si>
  <si>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</si>
  <si>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</si>
  <si>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</si>
  <si>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</si>
  <si>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</si>
  <si>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</si>
  <si>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</si>
  <si>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</si>
  <si>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</si>
  <si>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</si>
  <si>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</si>
  <si>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Bull.51</t>
  </si>
  <si>
    <t>B</t>
  </si>
  <si>
    <t>Elias D</t>
  </si>
  <si>
    <t>BBSAG Bull.58</t>
  </si>
  <si>
    <t>BBSAG Bull.63</t>
  </si>
  <si>
    <t>II</t>
  </si>
  <si>
    <t>BBSAG</t>
  </si>
  <si>
    <t># of data points:</t>
  </si>
  <si>
    <t>EW/KW</t>
  </si>
  <si>
    <t>X PsA / ??</t>
  </si>
  <si>
    <t>Add cycle</t>
  </si>
  <si>
    <t>JD today</t>
  </si>
  <si>
    <t>Old Cycle</t>
  </si>
  <si>
    <t>New Cycle</t>
  </si>
  <si>
    <t>Next ToM</t>
  </si>
  <si>
    <t>Local time</t>
  </si>
  <si>
    <t>My time zone 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</si>
</sst>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PsA-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7457222"/>
        <c:axId val="22897271"/>
      </c:scatterChart>
      <c:valAx>
        <c:axId val="1745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7271"/>
        <c:crosses val="autoZero"/>
        <c:crossBetween val="midCat"/>
        <c:dispUnits/>
      </c:valAx>
      <c:valAx>
        <c:axId val="2289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72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0</xdr:rowOff>
    </xdr:from>
    <xdr:to>
      <xdr:col>16</xdr:col>
      <xdr:colOff>247650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566737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64"/>
  <sheetViews>
    <sheetView tabSelected="1" zoomScalePageLayoutView="0" workbookViewId="0" topLeftCell="A1">
      <selection activeCell="F8" sqref="F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27</v>
      </c>
      <c r="B2" s="14" t="s">
        <v>40</v>
      </c>
    </row>
    <row r="4" spans="1:4" ht="12.75">
      <c r="A4" s="7" t="s">
        <v>0</v>
      </c>
      <c r="C4" s="2">
        <v>45252.288</v>
      </c>
      <c r="D4" s="3">
        <v>0.3977746</v>
      </c>
    </row>
    <row r="5" spans="1:3" ht="12.75">
      <c r="A5" s="4" t="s">
        <v>48</v>
      </c>
      <c r="C5" s="4">
        <v>-9.5</v>
      </c>
    </row>
    <row r="6" ht="12.75">
      <c r="A6" s="7" t="s">
        <v>1</v>
      </c>
    </row>
    <row r="7" spans="1:3" ht="12.75">
      <c r="A7" t="s">
        <v>2</v>
      </c>
      <c r="C7">
        <f>+C4</f>
        <v>45252.288</v>
      </c>
    </row>
    <row r="8" spans="1:3" ht="12.75">
      <c r="A8" t="s">
        <v>3</v>
      </c>
      <c r="C8">
        <f>+D4</f>
        <v>0.3977746</v>
      </c>
    </row>
    <row r="10" spans="3:4" ht="13.5" thickBot="1">
      <c r="C10" s="6" t="s">
        <v>22</v>
      </c>
      <c r="D10" s="6" t="s">
        <v>23</v>
      </c>
    </row>
    <row r="11" spans="1:4" ht="12.75">
      <c r="A11" t="s">
        <v>16</v>
      </c>
      <c r="C11">
        <f>INTERCEPT(G21:G993,$F21:$F993)</f>
        <v>0.0018835446329929376</v>
      </c>
      <c r="D11" s="5"/>
    </row>
    <row r="12" spans="1:4" ht="12.75">
      <c r="A12" t="s">
        <v>17</v>
      </c>
      <c r="C12">
        <f>SLOPE(G21:G993,$F21:$F993)</f>
        <v>1.3201690550881264E-05</v>
      </c>
      <c r="D12" s="5"/>
    </row>
    <row r="13" spans="1:6" ht="12.75">
      <c r="A13" t="s">
        <v>21</v>
      </c>
      <c r="C13" s="5" t="s">
        <v>14</v>
      </c>
      <c r="D13" s="5"/>
      <c r="E13" s="18" t="s">
        <v>42</v>
      </c>
      <c r="F13" s="19">
        <v>1</v>
      </c>
    </row>
    <row r="14" spans="1:6" ht="12.75">
      <c r="A14" t="s">
        <v>26</v>
      </c>
      <c r="E14" s="18" t="s">
        <v>43</v>
      </c>
      <c r="F14" s="20">
        <f ca="1">NOW()+15018.5+$C$5/24</f>
        <v>59906.706288194444</v>
      </c>
    </row>
    <row r="15" spans="1:6" ht="12.75">
      <c r="A15" s="4" t="s">
        <v>18</v>
      </c>
      <c r="C15" s="10">
        <f>(C7+C11)+(C8+C12)*INT(MAX(F21:F3533))</f>
        <v>45252.28988354463</v>
      </c>
      <c r="E15" s="18" t="s">
        <v>44</v>
      </c>
      <c r="F15" s="21">
        <f>ROUND(2*(F14-$C$7)/$C$8,0)/2+F13</f>
        <v>36842</v>
      </c>
    </row>
    <row r="16" spans="1:6" ht="12.75">
      <c r="A16" s="7" t="s">
        <v>4</v>
      </c>
      <c r="C16" s="11">
        <f>+C8+C12</f>
        <v>0.39778780169055084</v>
      </c>
      <c r="E16" s="18" t="s">
        <v>45</v>
      </c>
      <c r="F16" s="22">
        <f>ROUND(2*(F14-$C$15)/$C$16,0)/2+F13</f>
        <v>36841</v>
      </c>
    </row>
    <row r="17" spans="1:6" ht="13.5" thickBot="1">
      <c r="A17" s="12" t="s">
        <v>39</v>
      </c>
      <c r="C17">
        <f>COUNT(C21:C2191)</f>
        <v>5</v>
      </c>
      <c r="E17" s="18" t="s">
        <v>46</v>
      </c>
      <c r="F17" s="23">
        <f>+$C$15+$C$16*F16-15018.5-$C$5/24</f>
        <v>44889.08611895955</v>
      </c>
    </row>
    <row r="18" spans="1:6" ht="12.75">
      <c r="A18" s="7" t="s">
        <v>5</v>
      </c>
      <c r="C18" s="2">
        <f>+C15</f>
        <v>45252.28988354463</v>
      </c>
      <c r="D18" s="3">
        <f>+C16</f>
        <v>0.39778780169055084</v>
      </c>
      <c r="F18" s="24" t="s">
        <v>47</v>
      </c>
    </row>
    <row r="19" ht="13.5" thickTop="1"/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38</v>
      </c>
      <c r="J20" s="9" t="s">
        <v>19</v>
      </c>
      <c r="K20" s="9" t="s">
        <v>20</v>
      </c>
      <c r="L20" s="9" t="s">
        <v>28</v>
      </c>
      <c r="M20" s="9" t="s">
        <v>29</v>
      </c>
      <c r="N20" s="9" t="s">
        <v>30</v>
      </c>
      <c r="O20" s="9" t="s">
        <v>25</v>
      </c>
      <c r="P20" s="8" t="s">
        <v>24</v>
      </c>
      <c r="Q20" s="6" t="s">
        <v>15</v>
      </c>
    </row>
    <row r="21" spans="1:29" ht="12.75">
      <c r="A21" s="15" t="s">
        <v>32</v>
      </c>
      <c r="B21" s="15" t="s">
        <v>37</v>
      </c>
      <c r="C21" s="16">
        <v>44566.302</v>
      </c>
      <c r="D21" s="16"/>
      <c r="E21" s="15">
        <f>+(C21-C$7)/C$8</f>
        <v>-1724.5595872637348</v>
      </c>
      <c r="F21" s="15">
        <f>ROUND(2*E21,0)/2</f>
        <v>-1724.5</v>
      </c>
      <c r="G21" s="15">
        <f>+C21-(C$7+F21*C$8)</f>
        <v>-0.023702300000877585</v>
      </c>
      <c r="H21" s="15"/>
      <c r="I21" s="15">
        <f>+G21</f>
        <v>-0.023702300000877585</v>
      </c>
      <c r="J21" s="15"/>
      <c r="K21" s="15"/>
      <c r="L21" s="15"/>
      <c r="M21" s="15"/>
      <c r="N21" s="15"/>
      <c r="O21" s="15">
        <f>+C$11+C$12*$F21</f>
        <v>-0.020882770722001804</v>
      </c>
      <c r="P21" s="15"/>
      <c r="Q21" s="17">
        <f>+C21-15018.5</f>
        <v>29547.802000000003</v>
      </c>
      <c r="R21" s="15"/>
      <c r="S21" s="15"/>
      <c r="T21" s="15"/>
      <c r="Z21">
        <v>6</v>
      </c>
      <c r="AA21" t="s">
        <v>31</v>
      </c>
      <c r="AC21" t="s">
        <v>33</v>
      </c>
    </row>
    <row r="22" spans="1:29" ht="12.75">
      <c r="A22" s="15" t="s">
        <v>35</v>
      </c>
      <c r="B22" s="15"/>
      <c r="C22" s="16">
        <v>44874.397</v>
      </c>
      <c r="D22" s="16"/>
      <c r="E22" s="15">
        <f>+(C22-C$7)/C$8</f>
        <v>-950.0128967510828</v>
      </c>
      <c r="F22" s="15">
        <f>ROUND(2*E22,0)/2</f>
        <v>-950</v>
      </c>
      <c r="G22" s="15">
        <f>+C22-(C$7+F22*C$8)</f>
        <v>-0.0051300000050105155</v>
      </c>
      <c r="H22" s="15"/>
      <c r="I22" s="15">
        <f>+G22</f>
        <v>-0.0051300000050105155</v>
      </c>
      <c r="J22" s="15"/>
      <c r="K22" s="15"/>
      <c r="L22" s="15"/>
      <c r="M22" s="15"/>
      <c r="N22" s="15"/>
      <c r="O22" s="15">
        <f>+C$11+C$12*$F22</f>
        <v>-0.010658061390344264</v>
      </c>
      <c r="P22" s="15"/>
      <c r="Q22" s="17">
        <f>+C22-15018.5</f>
        <v>29855.896999999997</v>
      </c>
      <c r="R22" s="15"/>
      <c r="S22" s="15"/>
      <c r="T22" s="15"/>
      <c r="Z22">
        <v>9</v>
      </c>
      <c r="AA22" t="s">
        <v>34</v>
      </c>
      <c r="AC22" t="s">
        <v>33</v>
      </c>
    </row>
    <row r="23" spans="1:29" ht="12.75">
      <c r="A23" s="15" t="s">
        <v>35</v>
      </c>
      <c r="B23" s="15"/>
      <c r="C23" s="16">
        <v>44876.38</v>
      </c>
      <c r="D23" s="16"/>
      <c r="E23" s="15">
        <f>+(C23-C$7)/C$8</f>
        <v>-945.0276613941743</v>
      </c>
      <c r="F23" s="15">
        <f>ROUND(2*E23,0)/2</f>
        <v>-945</v>
      </c>
      <c r="G23" s="15">
        <f>+C23-(C$7+F23*C$8)</f>
        <v>-0.011002999999618623</v>
      </c>
      <c r="H23" s="15"/>
      <c r="I23" s="15">
        <f>+G23</f>
        <v>-0.011002999999618623</v>
      </c>
      <c r="J23" s="15"/>
      <c r="K23" s="15"/>
      <c r="L23" s="15"/>
      <c r="M23" s="15"/>
      <c r="N23" s="15"/>
      <c r="O23" s="15">
        <f>+C$11+C$12*$F23</f>
        <v>-0.010592052937589858</v>
      </c>
      <c r="P23" s="15"/>
      <c r="Q23" s="17">
        <f>+C23-15018.5</f>
        <v>29857.879999999997</v>
      </c>
      <c r="R23" s="15"/>
      <c r="S23" s="15"/>
      <c r="T23" s="15"/>
      <c r="Z23">
        <v>19</v>
      </c>
      <c r="AA23" t="s">
        <v>34</v>
      </c>
      <c r="AC23" t="s">
        <v>33</v>
      </c>
    </row>
    <row r="24" spans="1:27" ht="12.75">
      <c r="A24" s="15" t="s">
        <v>36</v>
      </c>
      <c r="B24" s="15" t="s">
        <v>37</v>
      </c>
      <c r="C24" s="16">
        <v>45251.295</v>
      </c>
      <c r="D24" s="16"/>
      <c r="E24" s="15">
        <f>+(C24-C$7)/C$8</f>
        <v>-2.4963886583060155</v>
      </c>
      <c r="F24" s="15">
        <f>ROUND(2*E24,0)/2</f>
        <v>-2.5</v>
      </c>
      <c r="G24" s="15">
        <f>+C24-(C$7+F24*C$8)</f>
        <v>0.0014364999951794744</v>
      </c>
      <c r="H24" s="15"/>
      <c r="I24" s="15">
        <f>+G24</f>
        <v>0.0014364999951794744</v>
      </c>
      <c r="J24" s="15"/>
      <c r="K24" s="15"/>
      <c r="L24" s="15"/>
      <c r="M24" s="15"/>
      <c r="N24" s="15"/>
      <c r="O24" s="15">
        <f>+C$11+C$12*$F24</f>
        <v>0.0018505404066157345</v>
      </c>
      <c r="P24" s="15"/>
      <c r="Q24" s="17">
        <f>+C24-15018.5</f>
        <v>30232.795</v>
      </c>
      <c r="R24" s="15"/>
      <c r="S24" s="15"/>
      <c r="T24" s="15"/>
      <c r="Z24">
        <v>14</v>
      </c>
      <c r="AA24" t="s">
        <v>34</v>
      </c>
    </row>
    <row r="25" spans="1:20" ht="12.75">
      <c r="A25" s="15" t="s">
        <v>12</v>
      </c>
      <c r="B25" s="15"/>
      <c r="C25" s="16">
        <v>45252.288</v>
      </c>
      <c r="D25" s="16" t="s">
        <v>14</v>
      </c>
      <c r="E25" s="15">
        <f>+(C25-C$7)/C$8</f>
        <v>0</v>
      </c>
      <c r="F25" s="15">
        <f>ROUND(2*E25,0)/2</f>
        <v>0</v>
      </c>
      <c r="G25" s="15">
        <f>+C25-(C$7+F25*C$8)</f>
        <v>0</v>
      </c>
      <c r="H25" s="15">
        <f>+G25</f>
        <v>0</v>
      </c>
      <c r="I25" s="15"/>
      <c r="J25" s="15"/>
      <c r="K25" s="15"/>
      <c r="L25" s="15"/>
      <c r="M25" s="15"/>
      <c r="N25" s="15"/>
      <c r="O25" s="15">
        <f>+C$11+C$12*$F25</f>
        <v>0.0018835446329929376</v>
      </c>
      <c r="P25" s="15"/>
      <c r="Q25" s="17">
        <f>+C25-15018.5</f>
        <v>30233.788</v>
      </c>
      <c r="R25" s="15"/>
      <c r="S25" s="15"/>
      <c r="T25" s="15"/>
    </row>
    <row r="26" spans="1:20" ht="12.75">
      <c r="A26" s="15"/>
      <c r="B26" s="15"/>
      <c r="C26" s="16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5"/>
      <c r="S26" s="15"/>
      <c r="T26" s="15"/>
    </row>
    <row r="27" spans="1:20" ht="12.75">
      <c r="A27" s="15"/>
      <c r="B27" s="15"/>
      <c r="C27" s="16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5"/>
      <c r="S27" s="15"/>
      <c r="T27" s="15"/>
    </row>
    <row r="28" spans="1:20" ht="12.75">
      <c r="A28" s="15"/>
      <c r="B28" s="15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B29" s="15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3:4" ht="12.75">
      <c r="C30" s="13"/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2022-11-23T03:57:20Z</dcterms:modified>
  <cp:category/>
  <cp:version/>
  <cp:contentType/>
  <cp:contentStatus/>
</cp:coreProperties>
</file>