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21D38D6D-51B8-4DDA-85E4-B0A642081B19}" xr6:coauthVersionLast="47" xr6:coauthVersionMax="47" xr10:uidLastSave="{00000000-0000-0000-0000-000000000000}"/>
  <bookViews>
    <workbookView xWindow="13965" yWindow="645" windowWidth="13320" windowHeight="14505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Q53" i="1" l="1"/>
  <c r="Q52" i="1"/>
  <c r="Q43" i="1"/>
  <c r="Q44" i="1"/>
  <c r="Q45" i="1"/>
  <c r="Q46" i="1"/>
  <c r="Q48" i="1"/>
  <c r="Q51" i="1"/>
  <c r="Q50" i="1"/>
  <c r="Q39" i="1"/>
  <c r="Q40" i="1"/>
  <c r="Q42" i="1"/>
  <c r="Q49" i="1"/>
  <c r="C4" i="1"/>
  <c r="C7" i="1"/>
  <c r="D4" i="1"/>
  <c r="C8" i="1" s="1"/>
  <c r="D9" i="1"/>
  <c r="C9" i="1"/>
  <c r="Q47" i="1"/>
  <c r="Q38" i="1"/>
  <c r="Q31" i="1"/>
  <c r="Q30" i="1"/>
  <c r="G22" i="2"/>
  <c r="C22" i="2"/>
  <c r="G16" i="2"/>
  <c r="C16" i="2"/>
  <c r="G15" i="2"/>
  <c r="C15" i="2"/>
  <c r="G14" i="2"/>
  <c r="C14" i="2"/>
  <c r="G21" i="2"/>
  <c r="C21" i="2"/>
  <c r="E21" i="2"/>
  <c r="G13" i="2"/>
  <c r="C13" i="2"/>
  <c r="G20" i="2"/>
  <c r="C20" i="2"/>
  <c r="E20" i="2"/>
  <c r="G19" i="2"/>
  <c r="C19" i="2"/>
  <c r="G18" i="2"/>
  <c r="C18" i="2"/>
  <c r="G12" i="2"/>
  <c r="C12" i="2"/>
  <c r="G17" i="2"/>
  <c r="C17" i="2"/>
  <c r="E17" i="2"/>
  <c r="G11" i="2"/>
  <c r="C11" i="2"/>
  <c r="E11" i="2"/>
  <c r="H22" i="2"/>
  <c r="B22" i="2"/>
  <c r="D22" i="2"/>
  <c r="A22" i="2"/>
  <c r="H16" i="2"/>
  <c r="B16" i="2"/>
  <c r="D16" i="2"/>
  <c r="A16" i="2"/>
  <c r="H15" i="2"/>
  <c r="B15" i="2"/>
  <c r="D15" i="2"/>
  <c r="A15" i="2"/>
  <c r="H14" i="2"/>
  <c r="B14" i="2"/>
  <c r="D14" i="2"/>
  <c r="A14" i="2"/>
  <c r="H21" i="2"/>
  <c r="B21" i="2"/>
  <c r="D21" i="2"/>
  <c r="A21" i="2"/>
  <c r="H13" i="2"/>
  <c r="B13" i="2"/>
  <c r="D13" i="2"/>
  <c r="A13" i="2"/>
  <c r="H20" i="2"/>
  <c r="B20" i="2"/>
  <c r="D20" i="2"/>
  <c r="A20" i="2"/>
  <c r="H19" i="2"/>
  <c r="B19" i="2"/>
  <c r="D19" i="2"/>
  <c r="A19" i="2"/>
  <c r="H18" i="2"/>
  <c r="B18" i="2"/>
  <c r="D18" i="2"/>
  <c r="A18" i="2"/>
  <c r="H12" i="2"/>
  <c r="B12" i="2"/>
  <c r="D12" i="2"/>
  <c r="A12" i="2"/>
  <c r="H17" i="2"/>
  <c r="B17" i="2"/>
  <c r="D17" i="2"/>
  <c r="A17" i="2"/>
  <c r="H11" i="2"/>
  <c r="B11" i="2"/>
  <c r="D11" i="2"/>
  <c r="A11" i="2"/>
  <c r="Q41" i="1"/>
  <c r="Q37" i="1"/>
  <c r="Q36" i="1"/>
  <c r="Q34" i="1"/>
  <c r="Q35" i="1"/>
  <c r="F16" i="1"/>
  <c r="C17" i="1"/>
  <c r="Q32" i="1"/>
  <c r="Q28" i="1"/>
  <c r="Q33" i="1"/>
  <c r="Q29" i="1"/>
  <c r="Q22" i="1"/>
  <c r="Q23" i="1"/>
  <c r="Q24" i="1"/>
  <c r="Q25" i="1"/>
  <c r="Q26" i="1"/>
  <c r="Q27" i="1"/>
  <c r="B2" i="1"/>
  <c r="Q21" i="1"/>
  <c r="E53" i="1" l="1"/>
  <c r="F53" i="1" s="1"/>
  <c r="G53" i="1" s="1"/>
  <c r="L53" i="1" s="1"/>
  <c r="E22" i="1"/>
  <c r="F22" i="1" s="1"/>
  <c r="G22" i="1" s="1"/>
  <c r="K22" i="1" s="1"/>
  <c r="E25" i="1"/>
  <c r="F25" i="1" s="1"/>
  <c r="G25" i="1" s="1"/>
  <c r="K25" i="1" s="1"/>
  <c r="E42" i="1"/>
  <c r="F42" i="1" s="1"/>
  <c r="G42" i="1" s="1"/>
  <c r="K42" i="1" s="1"/>
  <c r="E51" i="1"/>
  <c r="F51" i="1" s="1"/>
  <c r="E34" i="1"/>
  <c r="F34" i="1" s="1"/>
  <c r="G34" i="1" s="1"/>
  <c r="K34" i="1" s="1"/>
  <c r="E24" i="1"/>
  <c r="F24" i="1" s="1"/>
  <c r="E40" i="1"/>
  <c r="F40" i="1" s="1"/>
  <c r="G40" i="1" s="1"/>
  <c r="K40" i="1" s="1"/>
  <c r="E28" i="1"/>
  <c r="F28" i="1" s="1"/>
  <c r="G28" i="1" s="1"/>
  <c r="K28" i="1" s="1"/>
  <c r="E48" i="1"/>
  <c r="F48" i="1" s="1"/>
  <c r="G48" i="1" s="1"/>
  <c r="L48" i="1" s="1"/>
  <c r="E21" i="1"/>
  <c r="F21" i="1" s="1"/>
  <c r="G21" i="1" s="1"/>
  <c r="E47" i="1"/>
  <c r="F47" i="1" s="1"/>
  <c r="G47" i="1" s="1"/>
  <c r="L47" i="1" s="1"/>
  <c r="G32" i="1"/>
  <c r="K32" i="1" s="1"/>
  <c r="G26" i="1"/>
  <c r="K26" i="1" s="1"/>
  <c r="E23" i="1"/>
  <c r="F23" i="1" s="1"/>
  <c r="G23" i="1" s="1"/>
  <c r="K23" i="1" s="1"/>
  <c r="E31" i="1"/>
  <c r="E35" i="1"/>
  <c r="E46" i="1"/>
  <c r="F46" i="1" s="1"/>
  <c r="G46" i="1" s="1"/>
  <c r="L46" i="1" s="1"/>
  <c r="E43" i="1"/>
  <c r="F43" i="1" s="1"/>
  <c r="G43" i="1" s="1"/>
  <c r="L43" i="1" s="1"/>
  <c r="E33" i="1"/>
  <c r="E39" i="1"/>
  <c r="F39" i="1" s="1"/>
  <c r="G39" i="1" s="1"/>
  <c r="K39" i="1" s="1"/>
  <c r="E32" i="1"/>
  <c r="F32" i="1" s="1"/>
  <c r="E26" i="1"/>
  <c r="F26" i="1" s="1"/>
  <c r="E49" i="1"/>
  <c r="F49" i="1" s="1"/>
  <c r="G49" i="1"/>
  <c r="L49" i="1" s="1"/>
  <c r="E29" i="1"/>
  <c r="E38" i="1"/>
  <c r="E36" i="1"/>
  <c r="G24" i="1"/>
  <c r="K24" i="1" s="1"/>
  <c r="E37" i="1"/>
  <c r="G51" i="1"/>
  <c r="L51" i="1" s="1"/>
  <c r="E52" i="1"/>
  <c r="F52" i="1" s="1"/>
  <c r="G52" i="1" s="1"/>
  <c r="L52" i="1" s="1"/>
  <c r="F17" i="1"/>
  <c r="E41" i="1"/>
  <c r="F41" i="1" s="1"/>
  <c r="G41" i="1" s="1"/>
  <c r="L41" i="1" s="1"/>
  <c r="E27" i="1"/>
  <c r="F27" i="1" s="1"/>
  <c r="G27" i="1" s="1"/>
  <c r="K27" i="1" s="1"/>
  <c r="E45" i="1"/>
  <c r="F45" i="1" s="1"/>
  <c r="G45" i="1" s="1"/>
  <c r="L45" i="1" s="1"/>
  <c r="E30" i="1"/>
  <c r="E50" i="1"/>
  <c r="F50" i="1" s="1"/>
  <c r="G50" i="1" s="1"/>
  <c r="L50" i="1" s="1"/>
  <c r="E44" i="1"/>
  <c r="F44" i="1" s="1"/>
  <c r="G44" i="1" s="1"/>
  <c r="L44" i="1" s="1"/>
  <c r="F38" i="1" l="1"/>
  <c r="G38" i="1" s="1"/>
  <c r="E22" i="2"/>
  <c r="E13" i="2"/>
  <c r="F33" i="1"/>
  <c r="G33" i="1" s="1"/>
  <c r="L33" i="1" s="1"/>
  <c r="F29" i="1"/>
  <c r="G29" i="1" s="1"/>
  <c r="K29" i="1" s="1"/>
  <c r="E12" i="2"/>
  <c r="F35" i="1"/>
  <c r="G35" i="1" s="1"/>
  <c r="K35" i="1" s="1"/>
  <c r="E14" i="2"/>
  <c r="H21" i="1"/>
  <c r="K21" i="1"/>
  <c r="E16" i="2"/>
  <c r="F37" i="1"/>
  <c r="G37" i="1" s="1"/>
  <c r="L37" i="1" s="1"/>
  <c r="E19" i="2"/>
  <c r="F31" i="1"/>
  <c r="G31" i="1" s="1"/>
  <c r="K31" i="1" s="1"/>
  <c r="E18" i="2"/>
  <c r="F30" i="1"/>
  <c r="G30" i="1" s="1"/>
  <c r="K30" i="1" s="1"/>
  <c r="F36" i="1"/>
  <c r="G36" i="1" s="1"/>
  <c r="K36" i="1" s="1"/>
  <c r="E15" i="2"/>
  <c r="C12" i="1"/>
  <c r="C11" i="1"/>
  <c r="O50" i="1" l="1"/>
  <c r="O52" i="1"/>
  <c r="O49" i="1"/>
  <c r="O33" i="1"/>
  <c r="O45" i="1"/>
  <c r="C15" i="1"/>
  <c r="O44" i="1"/>
  <c r="O51" i="1"/>
  <c r="O42" i="1"/>
  <c r="O41" i="1"/>
  <c r="O53" i="1"/>
  <c r="O43" i="1"/>
  <c r="O37" i="1"/>
  <c r="O40" i="1"/>
  <c r="O46" i="1"/>
  <c r="O48" i="1"/>
  <c r="O39" i="1"/>
  <c r="O47" i="1"/>
  <c r="C16" i="1"/>
  <c r="D18" i="1" s="1"/>
  <c r="K38" i="1"/>
  <c r="F18" i="1" l="1"/>
  <c r="F19" i="1" s="1"/>
  <c r="C18" i="1"/>
</calcChain>
</file>

<file path=xl/sharedStrings.xml><?xml version="1.0" encoding="utf-8"?>
<sst xmlns="http://schemas.openxmlformats.org/spreadsheetml/2006/main" count="211" uniqueCount="129">
  <si>
    <t>JAVSO..44…69</t>
  </si>
  <si>
    <t>JAVSO..45..121</t>
  </si>
  <si>
    <t>JAVSO..43...77</t>
  </si>
  <si>
    <t>Nelson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</si>
  <si>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</si>
  <si>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</si>
  <si>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</si>
  <si>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</si>
  <si>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</si>
  <si>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</si>
  <si>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</si>
  <si>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</si>
  <si>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</si>
  <si>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</si>
  <si>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</si>
  <si>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</si>
  <si>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</si>
  <si>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</si>
  <si>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</si>
  <si>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</si>
  <si>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</si>
  <si>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</si>
  <si>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</si>
  <si>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</si>
  <si>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</si>
  <si>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</si>
  <si>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</si>
  <si>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</si>
  <si>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</si>
  <si>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</si>
  <si>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</si>
  <si>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</si>
  <si>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</si>
  <si>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</si>
  <si>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</si>
  <si>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</si>
  <si>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</si>
  <si>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</si>
  <si>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</si>
  <si>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CP Psc / GSC 2281-0184               </t>
  </si>
  <si>
    <t xml:space="preserve">EB:       </t>
  </si>
  <si>
    <t>IBVS 5871</t>
  </si>
  <si>
    <t>IBVS 5729</t>
  </si>
  <si>
    <t>II</t>
  </si>
  <si>
    <t>OEJV 0107</t>
  </si>
  <si>
    <t>IBVS 5929</t>
  </si>
  <si>
    <t>Add cycle</t>
  </si>
  <si>
    <t>Old Cycle</t>
  </si>
  <si>
    <t>IBVS 5960</t>
  </si>
  <si>
    <t>OEJV 0137</t>
  </si>
  <si>
    <t>IBVS 6011</t>
  </si>
  <si>
    <t>Checked byToMcat 2013-10-16 -- NO OTHER PERIOD POSSIBLE</t>
  </si>
  <si>
    <t>BAD?</t>
  </si>
  <si>
    <t>IBVS 6092</t>
  </si>
  <si>
    <t>IBVS 6154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</si>
  <si>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</si>
  <si>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</si>
  <si>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</si>
  <si>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</si>
  <si>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</si>
  <si>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</si>
  <si>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</si>
  <si>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</si>
  <si>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</si>
  <si>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</si>
  <si>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</si>
  <si>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</si>
  <si>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2452193.427 </t>
  </si>
  <si>
    <t> 10.10.2001 22:14 </t>
  </si>
  <si>
    <t>E </t>
  </si>
  <si>
    <t>?</t>
  </si>
  <si>
    <t> R.Diethelm </t>
  </si>
  <si>
    <t> BBS 126 </t>
  </si>
  <si>
    <t>2454758.4607 </t>
  </si>
  <si>
    <t> 18.10.2008 23:03 </t>
  </si>
  <si>
    <t> 0.0006 </t>
  </si>
  <si>
    <t>C </t>
  </si>
  <si>
    <t>R</t>
  </si>
  <si>
    <t> R.Ehrenberger </t>
  </si>
  <si>
    <t>OEJV 0107 </t>
  </si>
  <si>
    <t>2454768.7235 </t>
  </si>
  <si>
    <t> 29.10.2008 05:21 </t>
  </si>
  <si>
    <t> 0.0033 </t>
  </si>
  <si>
    <t>IBVS 5871 </t>
  </si>
  <si>
    <t>2454815.9141 </t>
  </si>
  <si>
    <t> 15.12.2008 09:56 </t>
  </si>
  <si>
    <t> -0.0026 </t>
  </si>
  <si>
    <t>Rc</t>
  </si>
  <si>
    <t> K.Nakajima </t>
  </si>
  <si>
    <t>VSB 48 </t>
  </si>
  <si>
    <t>2454818.9911 </t>
  </si>
  <si>
    <t> 18.12.2008 11:47 </t>
  </si>
  <si>
    <t> -0.0037 </t>
  </si>
  <si>
    <t>2454843.2804 </t>
  </si>
  <si>
    <t> 11.01.2009 18:43 </t>
  </si>
  <si>
    <t> M.Lehky </t>
  </si>
  <si>
    <t>2455188.7005 </t>
  </si>
  <si>
    <t> 23.12.2009 04:48 </t>
  </si>
  <si>
    <t> -0.0005 </t>
  </si>
  <si>
    <t> R.Nelson </t>
  </si>
  <si>
    <t>IBVS 5929 </t>
  </si>
  <si>
    <t>2455462.3032 </t>
  </si>
  <si>
    <t> 22.09.2010 19:16 </t>
  </si>
  <si>
    <t> -0.0010 </t>
  </si>
  <si>
    <t>OEJV 0137 </t>
  </si>
  <si>
    <t>2455528.6505 </t>
  </si>
  <si>
    <t> 28.11.2010 03:36 </t>
  </si>
  <si>
    <t> -0.0025 </t>
  </si>
  <si>
    <t>IBVS 5960 </t>
  </si>
  <si>
    <t>2455828.9306 </t>
  </si>
  <si>
    <t> 24.09.2011 10:20 </t>
  </si>
  <si>
    <t> -0.0018 </t>
  </si>
  <si>
    <t>IBVS 6011 </t>
  </si>
  <si>
    <t>2456582.7085 </t>
  </si>
  <si>
    <t> 17.10.2013 05:00 </t>
  </si>
  <si>
    <t> -0.0006 </t>
  </si>
  <si>
    <t>IBVS 6092 </t>
  </si>
  <si>
    <t>2456917.8733 </t>
  </si>
  <si>
    <t> 17.09.2014 08:57 </t>
  </si>
  <si>
    <t> 0.0003 </t>
  </si>
  <si>
    <t> B.Manske </t>
  </si>
  <si>
    <t> JAAVSO 43-1 </t>
  </si>
  <si>
    <t>IBVS 6234</t>
  </si>
  <si>
    <t>RHN 2019</t>
  </si>
  <si>
    <t>IBVS 6262</t>
  </si>
  <si>
    <t>RHN 2020</t>
  </si>
  <si>
    <t>OEJV 0211</t>
  </si>
  <si>
    <t>JAVSO 49, 256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</si>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</sst>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4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6" fillId="0" borderId="0"/>
    <xf numFmtId="0" fontId="29" fillId="23" borderId="5" applyNumberFormat="0" applyFont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16" fillId="0" borderId="0" xfId="0" applyFont="1" applyAlignment="1">
      <alignment horizontal="left"/>
    </xf>
    <xf numFmtId="0" fontId="5" fillId="0" borderId="0" xfId="0" applyFont="1">
      <alignment vertical="top"/>
    </xf>
    <xf numFmtId="0" fontId="17" fillId="0" borderId="0" xfId="0" applyFont="1" applyAlignment="1">
      <alignment horizontal="left" vertical="center"/>
    </xf>
    <xf numFmtId="14" fontId="5" fillId="0" borderId="0" xfId="0" applyNumberFormat="1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1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1" fillId="24" borderId="17" xfId="38" applyFill="1" applyBorder="1" applyAlignment="1" applyProtection="1">
      <alignment horizontal="right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9" fillId="0" borderId="0" xfId="42" applyFont="1" applyAlignment="1">
      <alignment horizontal="left" vertical="center"/>
    </xf>
    <xf numFmtId="0" fontId="39" fillId="0" borderId="0" xfId="42" applyFont="1" applyAlignment="1">
      <alignment horizontal="center" vertical="center"/>
    </xf>
    <xf numFmtId="0" fontId="17" fillId="0" borderId="0" xfId="42" applyFont="1"/>
    <xf numFmtId="0" fontId="17" fillId="0" borderId="0" xfId="42" applyFont="1" applyAlignment="1">
      <alignment horizontal="center"/>
    </xf>
    <xf numFmtId="0" fontId="17" fillId="0" borderId="0" xfId="42" applyFont="1" applyAlignment="1">
      <alignment horizontal="lef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176" fontId="40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CP Psc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Active!$D$21:$D$217</c:f>
                <c:numCache>
                  <c:formatCode>General</c:formatCode>
                  <c:ptCount val="19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Active!$D$21:$D$217</c:f>
                <c:numCache>
                  <c:formatCode>General</c:formatCode>
                  <c:ptCount val="19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Active!$H$21:$H$977</c:f>
              <c:numCache>
                <c:formatCode>General</c:formatCode>
                <c:ptCount val="95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0A-4871-887F-12B98EF6F0A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Active!$I$21:$I$977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0A-4871-887F-12B98EF6F0A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Active!$J$21:$J$977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0A-4871-887F-12B98EF6F0A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Active!$K$21:$K$977</c:f>
              <c:numCache>
                <c:formatCode>General</c:formatCode>
                <c:ptCount val="957"/>
                <c:pt idx="0">
                  <c:v>0</c:v>
                </c:pt>
                <c:pt idx="1">
                  <c:v>2.1007999966968782E-3</c:v>
                </c:pt>
                <c:pt idx="2">
                  <c:v>6.3419999787583947E-4</c:v>
                </c:pt>
                <c:pt idx="3">
                  <c:v>-1.073200000973884E-3</c:v>
                </c:pt>
                <c:pt idx="4">
                  <c:v>2.7509999927133322E-4</c:v>
                </c:pt>
                <c:pt idx="5">
                  <c:v>6.2862999984645285E-3</c:v>
                </c:pt>
                <c:pt idx="6">
                  <c:v>-1.8433000004733913E-3</c:v>
                </c:pt>
                <c:pt idx="7">
                  <c:v>3.3626000004005618E-3</c:v>
                </c:pt>
                <c:pt idx="8">
                  <c:v>5.96159999986412E-3</c:v>
                </c:pt>
                <c:pt idx="9">
                  <c:v>5.1000002713408321E-5</c:v>
                </c:pt>
                <c:pt idx="10">
                  <c:v>-9.8230000003241003E-4</c:v>
                </c:pt>
                <c:pt idx="11">
                  <c:v>6.1150000037741847E-3</c:v>
                </c:pt>
                <c:pt idx="13">
                  <c:v>2.2079999980633147E-3</c:v>
                </c:pt>
                <c:pt idx="14">
                  <c:v>7.4020000465679914E-4</c:v>
                </c:pt>
                <c:pt idx="15">
                  <c:v>1.5915999974822626E-3</c:v>
                </c:pt>
                <c:pt idx="17">
                  <c:v>4.5107999976607971E-3</c:v>
                </c:pt>
                <c:pt idx="18">
                  <c:v>4.6107999951345846E-3</c:v>
                </c:pt>
                <c:pt idx="19">
                  <c:v>6.1149999964982271E-3</c:v>
                </c:pt>
                <c:pt idx="21">
                  <c:v>6.6338000033283606E-3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0A-4871-887F-12B98EF6F0A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Active!$L$21:$L$977</c:f>
              <c:numCache>
                <c:formatCode>General</c:formatCode>
                <c:ptCount val="957"/>
                <c:pt idx="12">
                  <c:v>2.4179999963962473E-3</c:v>
                </c:pt>
                <c:pt idx="16">
                  <c:v>3.3368000003974885E-3</c:v>
                </c:pt>
                <c:pt idx="20">
                  <c:v>7.4859000014839694E-3</c:v>
                </c:pt>
                <c:pt idx="22">
                  <c:v>1.050100005522836E-2</c:v>
                </c:pt>
                <c:pt idx="23">
                  <c:v>1.0720999867771752E-2</c:v>
                </c:pt>
                <c:pt idx="24">
                  <c:v>1.0801000011269934E-2</c:v>
                </c:pt>
                <c:pt idx="25">
                  <c:v>1.1140999806229956E-2</c:v>
                </c:pt>
                <c:pt idx="26">
                  <c:v>1.3064099999610335E-2</c:v>
                </c:pt>
                <c:pt idx="27">
                  <c:v>1.0988999842084013E-2</c:v>
                </c:pt>
                <c:pt idx="28">
                  <c:v>1.2827400001697242E-2</c:v>
                </c:pt>
                <c:pt idx="29">
                  <c:v>1.5271800002665259E-2</c:v>
                </c:pt>
                <c:pt idx="30">
                  <c:v>1.5590200004226062E-2</c:v>
                </c:pt>
                <c:pt idx="31">
                  <c:v>7.0273999954224564E-3</c:v>
                </c:pt>
                <c:pt idx="32">
                  <c:v>1.8716999984462745E-3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0A-4871-887F-12B98EF6F0A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Active!$M$21:$M$977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0A-4871-887F-12B98EF6F0A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Active!$D$21:$D$977</c:f>
                <c:numCache>
                  <c:formatCode>General</c:formatCode>
                  <c:ptCount val="95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Active!$N$21:$N$977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0A-4871-887F-12B98EF6F0A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Active!$D$21:$D$87</c:f>
                <c:numCache>
                  <c:formatCode>General</c:formatCode>
                  <c:ptCount val="6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plus>
            <c:minus>
              <c:numRef>
                <c:f>Active!$D$21:$D$87</c:f>
                <c:numCache>
                  <c:formatCode>General</c:formatCode>
                  <c:ptCount val="67"/>
                  <c:pt idx="1">
                    <c:v>6.9999999999999999E-4</c:v>
                  </c:pt>
                  <c:pt idx="2">
                    <c:v>4.0000000000000002E-4</c:v>
                  </c:pt>
                  <c:pt idx="3">
                    <c:v>2.0000000000000001E-4</c:v>
                  </c:pt>
                  <c:pt idx="4">
                    <c:v>6.9999999999999999E-4</c:v>
                  </c:pt>
                  <c:pt idx="5">
                    <c:v>5.0000000000000001E-4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1E-3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2.0000000000000001E-4</c:v>
                  </c:pt>
                  <c:pt idx="16">
                    <c:v>2.0000000000000001E-4</c:v>
                  </c:pt>
                  <c:pt idx="18">
                    <c:v>2.9999999999999997E-4</c:v>
                  </c:pt>
                  <c:pt idx="19">
                    <c:v>2.0000000000000001E-4</c:v>
                  </c:pt>
                  <c:pt idx="20">
                    <c:v>1E-3</c:v>
                  </c:pt>
                  <c:pt idx="21">
                    <c:v>1E-4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2.0000000000000001E-4</c:v>
                  </c:pt>
                  <c:pt idx="26">
                    <c:v>2.9999999999999997E-4</c:v>
                  </c:pt>
                  <c:pt idx="27">
                    <c:v>1E-4</c:v>
                  </c:pt>
                  <c:pt idx="28">
                    <c:v>2.9999999999999997E-4</c:v>
                  </c:pt>
                  <c:pt idx="29">
                    <c:v>2.9999999999999997E-4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Active!$O$21:$O$977</c:f>
              <c:numCache>
                <c:formatCode>General</c:formatCode>
                <c:ptCount val="957"/>
                <c:pt idx="12">
                  <c:v>4.4454469621906714E-3</c:v>
                </c:pt>
                <c:pt idx="16">
                  <c:v>6.7971111293203398E-3</c:v>
                </c:pt>
                <c:pt idx="18">
                  <c:v>7.362525968326001E-3</c:v>
                </c:pt>
                <c:pt idx="19">
                  <c:v>8.0167917106039807E-3</c:v>
                </c:pt>
                <c:pt idx="20">
                  <c:v>8.0992961207854187E-3</c:v>
                </c:pt>
                <c:pt idx="21">
                  <c:v>8.6375941256755032E-3</c:v>
                </c:pt>
                <c:pt idx="22">
                  <c:v>9.1822386236564656E-3</c:v>
                </c:pt>
                <c:pt idx="23">
                  <c:v>9.1822386236564656E-3</c:v>
                </c:pt>
                <c:pt idx="24">
                  <c:v>9.1822386236564656E-3</c:v>
                </c:pt>
                <c:pt idx="25">
                  <c:v>9.1822386236564656E-3</c:v>
                </c:pt>
                <c:pt idx="26">
                  <c:v>9.3189767020690588E-3</c:v>
                </c:pt>
                <c:pt idx="27">
                  <c:v>9.3322466421681717E-3</c:v>
                </c:pt>
                <c:pt idx="28">
                  <c:v>9.9484334259008714E-3</c:v>
                </c:pt>
                <c:pt idx="29">
                  <c:v>1.0518463896245354E-2</c:v>
                </c:pt>
                <c:pt idx="30">
                  <c:v>1.1076955288242783E-2</c:v>
                </c:pt>
                <c:pt idx="31">
                  <c:v>1.1102341260606304E-2</c:v>
                </c:pt>
                <c:pt idx="32">
                  <c:v>1.1656793975182263E-2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0A-4871-887F-12B98EF6F0A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Active!$F$21:$F$977</c:f>
              <c:numCache>
                <c:formatCode>General</c:formatCode>
                <c:ptCount val="957"/>
                <c:pt idx="0">
                  <c:v>0</c:v>
                </c:pt>
                <c:pt idx="1">
                  <c:v>1108</c:v>
                </c:pt>
                <c:pt idx="2">
                  <c:v>1117</c:v>
                </c:pt>
                <c:pt idx="3">
                  <c:v>1118</c:v>
                </c:pt>
                <c:pt idx="4">
                  <c:v>1138.5</c:v>
                </c:pt>
                <c:pt idx="5">
                  <c:v>1150.5</c:v>
                </c:pt>
                <c:pt idx="6">
                  <c:v>1154.5</c:v>
                </c:pt>
                <c:pt idx="7">
                  <c:v>3301</c:v>
                </c:pt>
                <c:pt idx="8">
                  <c:v>3316</c:v>
                </c:pt>
                <c:pt idx="9">
                  <c:v>3385</c:v>
                </c:pt>
                <c:pt idx="10">
                  <c:v>3389.5</c:v>
                </c:pt>
                <c:pt idx="11">
                  <c:v>3425</c:v>
                </c:pt>
                <c:pt idx="12">
                  <c:v>3930</c:v>
                </c:pt>
                <c:pt idx="13">
                  <c:v>4330</c:v>
                </c:pt>
                <c:pt idx="14">
                  <c:v>4427</c:v>
                </c:pt>
                <c:pt idx="15">
                  <c:v>4866</c:v>
                </c:pt>
                <c:pt idx="16">
                  <c:v>5968</c:v>
                </c:pt>
                <c:pt idx="17">
                  <c:v>6458</c:v>
                </c:pt>
                <c:pt idx="18">
                  <c:v>6458</c:v>
                </c:pt>
                <c:pt idx="19">
                  <c:v>7025</c:v>
                </c:pt>
                <c:pt idx="20">
                  <c:v>7096.5</c:v>
                </c:pt>
                <c:pt idx="21">
                  <c:v>7563</c:v>
                </c:pt>
                <c:pt idx="22">
                  <c:v>8035</c:v>
                </c:pt>
                <c:pt idx="23">
                  <c:v>8035</c:v>
                </c:pt>
                <c:pt idx="24">
                  <c:v>8035</c:v>
                </c:pt>
                <c:pt idx="25">
                  <c:v>8035</c:v>
                </c:pt>
                <c:pt idx="26">
                  <c:v>8153.5</c:v>
                </c:pt>
                <c:pt idx="27">
                  <c:v>8165</c:v>
                </c:pt>
                <c:pt idx="28">
                  <c:v>8699</c:v>
                </c:pt>
                <c:pt idx="29">
                  <c:v>9193</c:v>
                </c:pt>
                <c:pt idx="30">
                  <c:v>9677</c:v>
                </c:pt>
                <c:pt idx="31">
                  <c:v>9699</c:v>
                </c:pt>
                <c:pt idx="32">
                  <c:v>10179.5</c:v>
                </c:pt>
              </c:numCache>
            </c:numRef>
          </c:xVal>
          <c:yVal>
            <c:numRef>
              <c:f>Active!$U$21:$U$977</c:f>
              <c:numCache>
                <c:formatCode>General</c:formatCode>
                <c:ptCount val="95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20A-4871-887F-12B98EF6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069280"/>
        <c:axId val="1"/>
      </c:scatterChart>
      <c:valAx>
        <c:axId val="45606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0692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398496240601504"/>
          <c:y val="0.92397937099967764"/>
          <c:w val="0.7533834586466164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DC272399-20E2-C5D7-16F0-AA442462A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60" TargetMode="External"/><Relationship Id="rId3" Type="http://schemas.openxmlformats.org/officeDocument/2006/relationships/hyperlink" Target="http://vsolj.cetus-net.org/no48.pdf" TargetMode="External"/><Relationship Id="rId7" Type="http://schemas.openxmlformats.org/officeDocument/2006/relationships/hyperlink" Target="http://var.astro.cz/oejv/issues/oejv0137.pdf" TargetMode="External"/><Relationship Id="rId2" Type="http://schemas.openxmlformats.org/officeDocument/2006/relationships/hyperlink" Target="http://www.konkoly.hu/cgi-bin/IBVS?5871" TargetMode="External"/><Relationship Id="rId1" Type="http://schemas.openxmlformats.org/officeDocument/2006/relationships/hyperlink" Target="http://var.astro.cz/oejv/issues/oejv0107.pdf" TargetMode="External"/><Relationship Id="rId6" Type="http://schemas.openxmlformats.org/officeDocument/2006/relationships/hyperlink" Target="http://www.konkoly.hu/cgi-bin/IBVS?5929" TargetMode="External"/><Relationship Id="rId5" Type="http://schemas.openxmlformats.org/officeDocument/2006/relationships/hyperlink" Target="http://var.astro.cz/oejv/issues/oejv0107.pdf" TargetMode="External"/><Relationship Id="rId10" Type="http://schemas.openxmlformats.org/officeDocument/2006/relationships/hyperlink" Target="http://www.konkoly.hu/cgi-bin/IBVS?6092" TargetMode="External"/><Relationship Id="rId4" Type="http://schemas.openxmlformats.org/officeDocument/2006/relationships/hyperlink" Target="http://vsolj.cetus-net.org/no48.pdf" TargetMode="External"/><Relationship Id="rId9" Type="http://schemas.openxmlformats.org/officeDocument/2006/relationships/hyperlink" Target="http://www.konkoly.hu/cgi-bin/IBVS?6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18"/>
  <sheetViews>
    <sheetView tabSelected="1" workbookViewId="0">
      <pane xSplit="14" ySplit="21" topLeftCell="O37" activePane="bottomRight" state="frozen"/>
      <selection pane="topRight" activeCell="O1" sqref="O1"/>
      <selection pane="bottomLeft" activeCell="A22" sqref="A22"/>
      <selection pane="bottomRight" activeCell="E10" sqref="E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8" ht="20.25" x14ac:dyDescent="0.3">
      <c r="A1" s="1" t="s">
        <v>39</v>
      </c>
      <c r="F1" s="3">
        <v>52500.548999999999</v>
      </c>
      <c r="G1" s="3">
        <v>0.68400740000000004</v>
      </c>
      <c r="H1" s="3" t="s">
        <v>40</v>
      </c>
    </row>
    <row r="2" spans="1:8" x14ac:dyDescent="0.2">
      <c r="A2" t="s">
        <v>26</v>
      </c>
      <c r="B2" t="str">
        <f>H1</f>
        <v xml:space="preserve">EB:       </v>
      </c>
      <c r="C2" s="3"/>
      <c r="D2" s="3"/>
    </row>
    <row r="3" spans="1:8" ht="13.5" thickBot="1" x14ac:dyDescent="0.25"/>
    <row r="4" spans="1:8" ht="14.25" thickTop="1" thickBot="1" x14ac:dyDescent="0.25">
      <c r="A4" s="5" t="s">
        <v>38</v>
      </c>
      <c r="C4" s="8">
        <f>F1</f>
        <v>52500.548999999999</v>
      </c>
      <c r="D4" s="9">
        <f>G1</f>
        <v>0.68400740000000004</v>
      </c>
    </row>
    <row r="5" spans="1:8" ht="13.5" thickTop="1" x14ac:dyDescent="0.2">
      <c r="A5" s="11" t="s">
        <v>30</v>
      </c>
      <c r="B5" s="12"/>
      <c r="C5" s="13">
        <v>-9.5</v>
      </c>
      <c r="D5" s="12" t="s">
        <v>31</v>
      </c>
    </row>
    <row r="6" spans="1:8" x14ac:dyDescent="0.2">
      <c r="A6" s="5" t="s">
        <v>4</v>
      </c>
      <c r="C6" s="42" t="s">
        <v>51</v>
      </c>
    </row>
    <row r="7" spans="1:8" x14ac:dyDescent="0.2">
      <c r="A7" t="s">
        <v>5</v>
      </c>
      <c r="C7">
        <f>C4</f>
        <v>52500.548999999999</v>
      </c>
    </row>
    <row r="8" spans="1:8" x14ac:dyDescent="0.2">
      <c r="A8" t="s">
        <v>6</v>
      </c>
      <c r="C8">
        <f>D4</f>
        <v>0.68400740000000004</v>
      </c>
      <c r="D8" s="29"/>
    </row>
    <row r="9" spans="1:8" x14ac:dyDescent="0.2">
      <c r="A9" s="26" t="s">
        <v>35</v>
      </c>
      <c r="B9" s="27">
        <v>38</v>
      </c>
      <c r="C9" s="24" t="str">
        <f>"F"&amp;B9</f>
        <v>F38</v>
      </c>
      <c r="D9" s="25" t="str">
        <f>"G"&amp;B9</f>
        <v>G38</v>
      </c>
    </row>
    <row r="10" spans="1:8" ht="13.5" thickBot="1" x14ac:dyDescent="0.25">
      <c r="A10" s="12"/>
      <c r="B10" s="12"/>
      <c r="C10" s="4" t="s">
        <v>22</v>
      </c>
      <c r="D10" s="4" t="s">
        <v>23</v>
      </c>
      <c r="E10" s="12"/>
    </row>
    <row r="11" spans="1:8" x14ac:dyDescent="0.2">
      <c r="A11" s="12" t="s">
        <v>18</v>
      </c>
      <c r="B11" s="12"/>
      <c r="C11" s="23">
        <f ca="1">INTERCEPT(INDIRECT($D$9):G987,INDIRECT($C$9):F987)</f>
        <v>-8.941082820167201E-5</v>
      </c>
      <c r="D11" s="3"/>
      <c r="E11" s="12"/>
    </row>
    <row r="12" spans="1:8" x14ac:dyDescent="0.2">
      <c r="A12" s="12" t="s">
        <v>19</v>
      </c>
      <c r="B12" s="12"/>
      <c r="C12" s="23">
        <f ca="1">SLOPE(INDIRECT($D$9):G987,INDIRECT($C$9):F987)</f>
        <v>1.153907834705431E-6</v>
      </c>
      <c r="D12" s="3"/>
      <c r="E12" s="12"/>
    </row>
    <row r="13" spans="1:8" x14ac:dyDescent="0.2">
      <c r="A13" s="12" t="s">
        <v>21</v>
      </c>
      <c r="B13" s="12"/>
      <c r="C13" s="3" t="s">
        <v>16</v>
      </c>
    </row>
    <row r="14" spans="1:8" x14ac:dyDescent="0.2">
      <c r="A14" s="12"/>
      <c r="B14" s="12"/>
      <c r="C14" s="12"/>
    </row>
    <row r="15" spans="1:8" x14ac:dyDescent="0.2">
      <c r="A15" s="14" t="s">
        <v>20</v>
      </c>
      <c r="B15" s="12"/>
      <c r="C15" s="15">
        <f ca="1">(C7+C11)+(C8+C12)*INT(MAX(F21:F3528))</f>
        <v>59463.071980817018</v>
      </c>
      <c r="E15" s="16" t="s">
        <v>46</v>
      </c>
      <c r="F15" s="13">
        <v>1</v>
      </c>
    </row>
    <row r="16" spans="1:8" x14ac:dyDescent="0.2">
      <c r="A16" s="18" t="s">
        <v>7</v>
      </c>
      <c r="B16" s="12"/>
      <c r="C16" s="19">
        <f ca="1">+C8+C12</f>
        <v>0.68400855390783477</v>
      </c>
      <c r="E16" s="16" t="s">
        <v>32</v>
      </c>
      <c r="F16" s="17">
        <f ca="1">NOW()+15018.5+$C$5/24</f>
        <v>59968.525671759257</v>
      </c>
    </row>
    <row r="17" spans="1:21" ht="13.5" thickBot="1" x14ac:dyDescent="0.25">
      <c r="A17" s="16" t="s">
        <v>29</v>
      </c>
      <c r="B17" s="12"/>
      <c r="C17" s="12">
        <f>COUNT(C21:C2186)</f>
        <v>33</v>
      </c>
      <c r="E17" s="16" t="s">
        <v>47</v>
      </c>
      <c r="F17" s="17">
        <f ca="1">ROUND(2*(F16-$C$7)/$C$8,0)/2+F15</f>
        <v>10919</v>
      </c>
    </row>
    <row r="18" spans="1:21" ht="14.25" thickTop="1" thickBot="1" x14ac:dyDescent="0.25">
      <c r="A18" s="18" t="s">
        <v>8</v>
      </c>
      <c r="B18" s="12"/>
      <c r="C18" s="21">
        <f ca="1">+C15</f>
        <v>59463.071980817018</v>
      </c>
      <c r="D18" s="22">
        <f ca="1">+C16</f>
        <v>0.68400855390783477</v>
      </c>
      <c r="E18" s="16" t="s">
        <v>33</v>
      </c>
      <c r="F18" s="25">
        <f ca="1">ROUND(2*(F16-$C$15)/$C$16,0)/2+F15</f>
        <v>740</v>
      </c>
    </row>
    <row r="19" spans="1:21" ht="13.5" thickTop="1" x14ac:dyDescent="0.2">
      <c r="E19" s="16" t="s">
        <v>34</v>
      </c>
      <c r="F19" s="20">
        <f ca="1">+$C$15+$C$16*F18-15018.5-$C$5/24</f>
        <v>44951.134144042153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62</v>
      </c>
      <c r="I20" s="7" t="s">
        <v>65</v>
      </c>
      <c r="J20" s="7" t="s">
        <v>59</v>
      </c>
      <c r="K20" s="7" t="s">
        <v>57</v>
      </c>
      <c r="L20" s="7" t="s">
        <v>3</v>
      </c>
      <c r="M20" s="7" t="s">
        <v>27</v>
      </c>
      <c r="N20" s="7" t="s">
        <v>28</v>
      </c>
      <c r="O20" s="7" t="s">
        <v>25</v>
      </c>
      <c r="P20" s="6" t="s">
        <v>24</v>
      </c>
      <c r="Q20" s="4" t="s">
        <v>17</v>
      </c>
      <c r="U20" s="63" t="s">
        <v>52</v>
      </c>
    </row>
    <row r="21" spans="1:21" x14ac:dyDescent="0.2">
      <c r="A21" s="31" t="s">
        <v>37</v>
      </c>
      <c r="B21" s="30" t="s">
        <v>36</v>
      </c>
      <c r="C21" s="31">
        <v>52500.548999999999</v>
      </c>
      <c r="D21" s="28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K21">
        <f>+G21</f>
        <v>0</v>
      </c>
      <c r="Q21" s="2">
        <f>+C21-15018.5</f>
        <v>37482.048999999999</v>
      </c>
    </row>
    <row r="22" spans="1:21" x14ac:dyDescent="0.2">
      <c r="A22" s="31" t="s">
        <v>42</v>
      </c>
      <c r="B22" s="32" t="s">
        <v>36</v>
      </c>
      <c r="C22" s="33">
        <v>53258.431299999997</v>
      </c>
      <c r="D22" s="33">
        <v>6.9999999999999999E-4</v>
      </c>
      <c r="E22">
        <f>+(C22-C$7)/C$8</f>
        <v>1108.0030713117978</v>
      </c>
      <c r="F22">
        <f>ROUND(2*E22,0)/2</f>
        <v>1108</v>
      </c>
      <c r="G22">
        <f>+C22-(C$7+F22*C$8)</f>
        <v>2.1007999966968782E-3</v>
      </c>
      <c r="K22">
        <f>+G22</f>
        <v>2.1007999966968782E-3</v>
      </c>
      <c r="Q22" s="2">
        <f>+C22-15018.5</f>
        <v>38239.931299999997</v>
      </c>
    </row>
    <row r="23" spans="1:21" x14ac:dyDescent="0.2">
      <c r="A23" s="31" t="s">
        <v>42</v>
      </c>
      <c r="B23" s="32" t="s">
        <v>36</v>
      </c>
      <c r="C23" s="33">
        <v>53264.585899999998</v>
      </c>
      <c r="D23" s="33">
        <v>4.0000000000000002E-4</v>
      </c>
      <c r="E23">
        <f>+(C23-C$7)/C$8</f>
        <v>1117.0009271829501</v>
      </c>
      <c r="F23">
        <f>ROUND(2*E23,0)/2</f>
        <v>1117</v>
      </c>
      <c r="G23">
        <f>+C23-(C$7+F23*C$8)</f>
        <v>6.3419999787583947E-4</v>
      </c>
      <c r="K23">
        <f>+G23</f>
        <v>6.3419999787583947E-4</v>
      </c>
      <c r="Q23" s="2">
        <f>+C23-15018.5</f>
        <v>38246.085899999998</v>
      </c>
    </row>
    <row r="24" spans="1:21" x14ac:dyDescent="0.2">
      <c r="A24" s="31" t="s">
        <v>42</v>
      </c>
      <c r="B24" s="32" t="s">
        <v>36</v>
      </c>
      <c r="C24" s="33">
        <v>53265.268199999999</v>
      </c>
      <c r="D24" s="33">
        <v>2.0000000000000001E-4</v>
      </c>
      <c r="E24">
        <f>+(C24-C$7)/C$8</f>
        <v>1117.9984310111258</v>
      </c>
      <c r="F24">
        <f>ROUND(2*E24,0)/2</f>
        <v>1118</v>
      </c>
      <c r="G24">
        <f>+C24-(C$7+F24*C$8)</f>
        <v>-1.073200000973884E-3</v>
      </c>
      <c r="K24">
        <f>+G24</f>
        <v>-1.073200000973884E-3</v>
      </c>
      <c r="Q24" s="2">
        <f>+C24-15018.5</f>
        <v>38246.768199999999</v>
      </c>
    </row>
    <row r="25" spans="1:21" x14ac:dyDescent="0.2">
      <c r="A25" s="31" t="s">
        <v>42</v>
      </c>
      <c r="B25" s="32" t="s">
        <v>43</v>
      </c>
      <c r="C25" s="33">
        <v>53279.291700000002</v>
      </c>
      <c r="D25" s="33">
        <v>6.9999999999999999E-4</v>
      </c>
      <c r="E25">
        <f>+(C25-C$7)/C$8</f>
        <v>1138.500402188635</v>
      </c>
      <c r="F25">
        <f>ROUND(2*E25,0)/2</f>
        <v>1138.5</v>
      </c>
      <c r="G25">
        <f>+C25-(C$7+F25*C$8)</f>
        <v>2.7509999927133322E-4</v>
      </c>
      <c r="K25">
        <f>+G25</f>
        <v>2.7509999927133322E-4</v>
      </c>
      <c r="Q25" s="2">
        <f>+C25-15018.5</f>
        <v>38260.791700000002</v>
      </c>
    </row>
    <row r="26" spans="1:21" x14ac:dyDescent="0.2">
      <c r="A26" s="31" t="s">
        <v>42</v>
      </c>
      <c r="B26" s="32" t="s">
        <v>43</v>
      </c>
      <c r="C26" s="33">
        <v>53287.505799999999</v>
      </c>
      <c r="D26" s="33">
        <v>5.0000000000000001E-4</v>
      </c>
      <c r="E26">
        <f>+(C26-C$7)/C$8</f>
        <v>1150.5091903976477</v>
      </c>
      <c r="F26">
        <f>ROUND(2*E26,0)/2</f>
        <v>1150.5</v>
      </c>
      <c r="G26">
        <f>+C26-(C$7+F26*C$8)</f>
        <v>6.2862999984645285E-3</v>
      </c>
      <c r="K26">
        <f>+G26</f>
        <v>6.2862999984645285E-3</v>
      </c>
      <c r="Q26" s="2">
        <f>+C26-15018.5</f>
        <v>38269.005799999999</v>
      </c>
    </row>
    <row r="27" spans="1:21" s="34" customFormat="1" x14ac:dyDescent="0.2">
      <c r="A27" s="31" t="s">
        <v>42</v>
      </c>
      <c r="B27" s="32" t="s">
        <v>43</v>
      </c>
      <c r="C27" s="33">
        <v>53290.233699999997</v>
      </c>
      <c r="D27" s="33">
        <v>5.0000000000000001E-4</v>
      </c>
      <c r="E27">
        <f>+(C27-C$7)/C$8</f>
        <v>1154.4973051461109</v>
      </c>
      <c r="F27">
        <f>ROUND(2*E27,0)/2</f>
        <v>1154.5</v>
      </c>
      <c r="G27">
        <f>+C27-(C$7+F27*C$8)</f>
        <v>-1.8433000004733913E-3</v>
      </c>
      <c r="H27"/>
      <c r="I27"/>
      <c r="J27"/>
      <c r="K27">
        <f>+G27</f>
        <v>-1.8433000004733913E-3</v>
      </c>
      <c r="L27"/>
      <c r="M27"/>
      <c r="N27"/>
      <c r="O27"/>
      <c r="P27"/>
      <c r="Q27" s="2">
        <f>+C27-15018.5</f>
        <v>38271.733699999997</v>
      </c>
      <c r="R27"/>
      <c r="S27"/>
      <c r="T27"/>
      <c r="U27"/>
    </row>
    <row r="28" spans="1:21" s="34" customFormat="1" x14ac:dyDescent="0.2">
      <c r="A28" s="36" t="s">
        <v>44</v>
      </c>
      <c r="B28" s="30" t="s">
        <v>36</v>
      </c>
      <c r="C28" s="31">
        <v>54758.460789999997</v>
      </c>
      <c r="D28" s="31">
        <v>2.0000000000000001E-4</v>
      </c>
      <c r="E28" s="34">
        <f>+(C28-C$7)/C$8</f>
        <v>3301.0049160286835</v>
      </c>
      <c r="F28" s="34">
        <f>ROUND(2*E28,0)/2</f>
        <v>3301</v>
      </c>
      <c r="G28">
        <f>+C28-(C$7+F28*C$8)</f>
        <v>3.3626000004005618E-3</v>
      </c>
      <c r="K28">
        <f>+G28</f>
        <v>3.3626000004005618E-3</v>
      </c>
      <c r="Q28" s="38">
        <f>+C28-15018.5</f>
        <v>39739.960789999997</v>
      </c>
    </row>
    <row r="29" spans="1:21" s="34" customFormat="1" x14ac:dyDescent="0.2">
      <c r="A29" s="31" t="s">
        <v>41</v>
      </c>
      <c r="B29" s="30" t="s">
        <v>36</v>
      </c>
      <c r="C29" s="31">
        <v>54768.7235</v>
      </c>
      <c r="D29" s="31">
        <v>1E-3</v>
      </c>
      <c r="E29" s="34">
        <f>+(C29-C$7)/C$8</f>
        <v>3316.0087156951822</v>
      </c>
      <c r="F29" s="34">
        <f>ROUND(2*E29,0)/2</f>
        <v>3316</v>
      </c>
      <c r="G29">
        <f>+C29-(C$7+F29*C$8)</f>
        <v>5.96159999986412E-3</v>
      </c>
      <c r="I29"/>
      <c r="K29" s="34">
        <f>G29</f>
        <v>5.96159999986412E-3</v>
      </c>
      <c r="Q29" s="38">
        <f>+C29-15018.5</f>
        <v>39750.2235</v>
      </c>
      <c r="R29"/>
    </row>
    <row r="30" spans="1:21" x14ac:dyDescent="0.2">
      <c r="A30" s="58" t="s">
        <v>89</v>
      </c>
      <c r="B30" s="59" t="s">
        <v>36</v>
      </c>
      <c r="C30" s="58">
        <v>54815.914100000002</v>
      </c>
      <c r="D30" s="37"/>
      <c r="E30" s="34">
        <f>+(C30-C$7)/C$8</f>
        <v>3385.0000745606008</v>
      </c>
      <c r="F30" s="34">
        <f>ROUND(2*E30,0)/2</f>
        <v>3385</v>
      </c>
      <c r="G30" s="34">
        <f>+C30-(C$7+F30*C$8)</f>
        <v>5.1000002713408321E-5</v>
      </c>
      <c r="H30" s="34"/>
      <c r="I30" s="34"/>
      <c r="J30" s="34"/>
      <c r="K30" s="34">
        <f>+G30</f>
        <v>5.1000002713408321E-5</v>
      </c>
      <c r="L30" s="34"/>
      <c r="M30" s="34"/>
      <c r="N30" s="34"/>
      <c r="O30" s="34"/>
      <c r="P30" s="34"/>
      <c r="Q30" s="38">
        <f>+C30-15018.5</f>
        <v>39797.414100000002</v>
      </c>
    </row>
    <row r="31" spans="1:21" x14ac:dyDescent="0.2">
      <c r="A31" s="58" t="s">
        <v>89</v>
      </c>
      <c r="B31" s="59" t="s">
        <v>43</v>
      </c>
      <c r="C31" s="58">
        <v>54818.991099999999</v>
      </c>
      <c r="D31" s="37"/>
      <c r="E31" s="34">
        <f>+(C31-C$7)/C$8</f>
        <v>3389.4985639044257</v>
      </c>
      <c r="F31" s="34">
        <f>ROUND(2*E31,0)/2</f>
        <v>3389.5</v>
      </c>
      <c r="G31" s="34">
        <f>+C31-(C$7+F31*C$8)</f>
        <v>-9.8230000003241003E-4</v>
      </c>
      <c r="H31" s="34"/>
      <c r="I31" s="34"/>
      <c r="J31" s="34"/>
      <c r="K31" s="34">
        <f>+G31</f>
        <v>-9.8230000003241003E-4</v>
      </c>
      <c r="L31" s="34"/>
      <c r="M31" s="34"/>
      <c r="N31" s="34"/>
      <c r="O31" s="34"/>
      <c r="P31" s="34"/>
      <c r="Q31" s="38">
        <f>+C31-15018.5</f>
        <v>39800.491099999999</v>
      </c>
    </row>
    <row r="32" spans="1:21" x14ac:dyDescent="0.2">
      <c r="A32" s="36" t="s">
        <v>44</v>
      </c>
      <c r="B32" s="30" t="s">
        <v>36</v>
      </c>
      <c r="C32" s="31">
        <v>54843.280460000002</v>
      </c>
      <c r="D32" s="31">
        <v>2.0000000000000001E-4</v>
      </c>
      <c r="E32" s="34">
        <f>+(C32-C$7)/C$8</f>
        <v>3425.0089399617646</v>
      </c>
      <c r="F32" s="34">
        <f>ROUND(2*E32,0)/2</f>
        <v>3425</v>
      </c>
      <c r="G32">
        <f>+C32-(C$7+F32*C$8)</f>
        <v>6.1150000037741847E-3</v>
      </c>
      <c r="H32" s="34"/>
      <c r="I32" s="34"/>
      <c r="J32" s="34"/>
      <c r="K32" s="34">
        <f>G32</f>
        <v>6.1150000037741847E-3</v>
      </c>
      <c r="L32" s="34"/>
      <c r="M32" s="34"/>
      <c r="N32" s="34"/>
      <c r="O32" s="34"/>
      <c r="P32" s="34"/>
      <c r="Q32" s="38">
        <f>+C32-15018.5</f>
        <v>39824.780460000002</v>
      </c>
      <c r="R32" s="34"/>
      <c r="S32" s="34"/>
      <c r="T32" s="34"/>
      <c r="U32" s="34"/>
    </row>
    <row r="33" spans="1:21" s="34" customFormat="1" x14ac:dyDescent="0.2">
      <c r="A33" s="35" t="s">
        <v>45</v>
      </c>
      <c r="C33" s="31">
        <v>55188.700499999999</v>
      </c>
      <c r="D33" s="31">
        <v>2.0000000000000001E-4</v>
      </c>
      <c r="E33" s="34">
        <f>+(C33-C$7)/C$8</f>
        <v>3930.0035350494741</v>
      </c>
      <c r="F33" s="34">
        <f>ROUND(2*E33,0)/2</f>
        <v>3930</v>
      </c>
      <c r="G33">
        <f>+C33-(C$7+F33*C$8)</f>
        <v>2.4179999963962473E-3</v>
      </c>
      <c r="L33">
        <f>+G33</f>
        <v>2.4179999963962473E-3</v>
      </c>
      <c r="O33" s="34">
        <f ca="1">+C$11+C$12*$F33</f>
        <v>4.4454469621906714E-3</v>
      </c>
      <c r="Q33" s="38">
        <f>+C33-15018.5</f>
        <v>40170.200499999999</v>
      </c>
      <c r="R33"/>
    </row>
    <row r="34" spans="1:21" s="34" customFormat="1" x14ac:dyDescent="0.2">
      <c r="A34" s="36" t="s">
        <v>49</v>
      </c>
      <c r="B34" s="30" t="s">
        <v>36</v>
      </c>
      <c r="C34" s="31">
        <v>55462.303249999997</v>
      </c>
      <c r="D34" s="31">
        <v>2.0000000000000001E-4</v>
      </c>
      <c r="E34" s="34">
        <f>+(C34-C$7)/C$8</f>
        <v>4330.0032280352489</v>
      </c>
      <c r="F34" s="34">
        <f>ROUND(2*E34,0)/2</f>
        <v>4330</v>
      </c>
      <c r="G34">
        <f>+C34-(C$7+F34*C$8)</f>
        <v>2.2079999980633147E-3</v>
      </c>
      <c r="K34" s="34">
        <f>+G34</f>
        <v>2.2079999980633147E-3</v>
      </c>
      <c r="Q34" s="38">
        <f>+C34-15018.5</f>
        <v>40443.803249999997</v>
      </c>
    </row>
    <row r="35" spans="1:21" x14ac:dyDescent="0.2">
      <c r="A35" s="36" t="s">
        <v>48</v>
      </c>
      <c r="B35" s="30" t="s">
        <v>36</v>
      </c>
      <c r="C35" s="31">
        <v>55528.650500000003</v>
      </c>
      <c r="D35" s="31">
        <v>2.0000000000000001E-4</v>
      </c>
      <c r="E35" s="34">
        <f>+(C35-C$7)/C$8</f>
        <v>4427.0010821520409</v>
      </c>
      <c r="F35" s="34">
        <f>ROUND(2*E35,0)/2</f>
        <v>4427</v>
      </c>
      <c r="G35">
        <f>+C35-(C$7+F35*C$8)</f>
        <v>7.4020000465679914E-4</v>
      </c>
      <c r="H35" s="34"/>
      <c r="I35" s="34"/>
      <c r="J35" s="34"/>
      <c r="K35">
        <f>+G35</f>
        <v>7.4020000465679914E-4</v>
      </c>
      <c r="L35" s="34"/>
      <c r="M35" s="34"/>
      <c r="N35" s="34"/>
      <c r="O35" s="34"/>
      <c r="P35" s="34"/>
      <c r="Q35" s="38">
        <f>+C35-15018.5</f>
        <v>40510.150500000003</v>
      </c>
      <c r="S35" s="34"/>
      <c r="T35" s="34"/>
      <c r="U35" s="34"/>
    </row>
    <row r="36" spans="1:21" x14ac:dyDescent="0.2">
      <c r="A36" s="39" t="s">
        <v>50</v>
      </c>
      <c r="B36" s="40" t="s">
        <v>36</v>
      </c>
      <c r="C36" s="39">
        <v>55828.9306</v>
      </c>
      <c r="D36" s="39">
        <v>2.0000000000000001E-4</v>
      </c>
      <c r="E36" s="34">
        <f>+(C36-C$7)/C$8</f>
        <v>4866.0023268754112</v>
      </c>
      <c r="F36" s="34">
        <f>ROUND(2*E36,0)/2</f>
        <v>4866</v>
      </c>
      <c r="G36">
        <f>+C36-(C$7+F36*C$8)</f>
        <v>1.5915999974822626E-3</v>
      </c>
      <c r="H36" s="34"/>
      <c r="I36" s="34"/>
      <c r="J36" s="34"/>
      <c r="K36">
        <f>+G36</f>
        <v>1.5915999974822626E-3</v>
      </c>
      <c r="L36" s="34"/>
      <c r="M36" s="34"/>
      <c r="N36" s="34"/>
      <c r="O36" s="34"/>
      <c r="P36" s="34"/>
      <c r="Q36" s="38">
        <f>+C36-15018.5</f>
        <v>40810.4306</v>
      </c>
      <c r="S36" s="34"/>
      <c r="T36" s="34"/>
      <c r="U36" s="34"/>
    </row>
    <row r="37" spans="1:21" x14ac:dyDescent="0.2">
      <c r="A37" s="41" t="s">
        <v>53</v>
      </c>
      <c r="B37" s="40"/>
      <c r="C37" s="39">
        <v>56582.708500000001</v>
      </c>
      <c r="D37" s="39">
        <v>2.0000000000000001E-4</v>
      </c>
      <c r="E37" s="34">
        <f>+(C37-C$7)/C$8</f>
        <v>5968.0048783097982</v>
      </c>
      <c r="F37" s="34">
        <f>ROUND(2*E37,0)/2</f>
        <v>5968</v>
      </c>
      <c r="G37">
        <f>+C37-(C$7+F37*C$8)</f>
        <v>3.3368000003974885E-3</v>
      </c>
      <c r="H37" s="34"/>
      <c r="I37" s="34"/>
      <c r="J37" s="34"/>
      <c r="L37">
        <f>+G37</f>
        <v>3.3368000003974885E-3</v>
      </c>
      <c r="M37" s="34"/>
      <c r="N37" s="34"/>
      <c r="O37" s="34">
        <f ca="1">+C$11+C$12*$F37</f>
        <v>6.7971111293203398E-3</v>
      </c>
      <c r="P37" s="34"/>
      <c r="Q37" s="38">
        <f>+C37-15018.5</f>
        <v>41564.208500000001</v>
      </c>
    </row>
    <row r="38" spans="1:21" x14ac:dyDescent="0.2">
      <c r="A38" s="60" t="s">
        <v>121</v>
      </c>
      <c r="B38" s="62" t="s">
        <v>36</v>
      </c>
      <c r="C38" s="61">
        <v>56917.873299999999</v>
      </c>
      <c r="D38" s="10"/>
      <c r="E38" s="34">
        <f>+(C38-C$7)/C$8</f>
        <v>6458.0065946654959</v>
      </c>
      <c r="F38" s="34">
        <f>ROUND(2*E38,0)/2</f>
        <v>6458</v>
      </c>
      <c r="G38" s="34">
        <f>+C38-(C$7+F38*C$8)</f>
        <v>4.5107999976607971E-3</v>
      </c>
      <c r="H38" s="34"/>
      <c r="I38" s="34"/>
      <c r="J38" s="34"/>
      <c r="K38">
        <f>+G38</f>
        <v>4.5107999976607971E-3</v>
      </c>
      <c r="L38" s="34"/>
      <c r="M38" s="34"/>
      <c r="N38" s="34"/>
      <c r="O38" s="34"/>
      <c r="P38" s="34"/>
      <c r="Q38" s="38">
        <f>+C38-15018.5</f>
        <v>41899.373299999999</v>
      </c>
    </row>
    <row r="39" spans="1:21" x14ac:dyDescent="0.2">
      <c r="A39" s="64" t="s">
        <v>2</v>
      </c>
      <c r="B39" s="65" t="s">
        <v>36</v>
      </c>
      <c r="C39" s="64">
        <v>56917.873399999997</v>
      </c>
      <c r="D39" s="64">
        <v>2.9999999999999997E-4</v>
      </c>
      <c r="E39" s="34">
        <f>+(C39-C$7)/C$8</f>
        <v>6458.006740862741</v>
      </c>
      <c r="F39" s="34">
        <f>ROUND(2*E39,0)/2</f>
        <v>6458</v>
      </c>
      <c r="G39" s="34">
        <f>+C39-(C$7+F39*C$8)</f>
        <v>4.6107999951345846E-3</v>
      </c>
      <c r="H39" s="34"/>
      <c r="I39" s="34"/>
      <c r="K39" s="34">
        <f>+G39</f>
        <v>4.6107999951345846E-3</v>
      </c>
      <c r="L39" s="34"/>
      <c r="M39" s="34"/>
      <c r="N39" s="34"/>
      <c r="O39" s="34">
        <f ca="1">+C$11+C$12*$F39</f>
        <v>7.362525968326001E-3</v>
      </c>
      <c r="P39" s="34"/>
      <c r="Q39" s="38">
        <f>+C39-15018.5</f>
        <v>41899.373399999997</v>
      </c>
    </row>
    <row r="40" spans="1:21" x14ac:dyDescent="0.2">
      <c r="A40" s="64" t="s">
        <v>0</v>
      </c>
      <c r="B40" s="65" t="s">
        <v>36</v>
      </c>
      <c r="C40" s="64">
        <v>57305.7071</v>
      </c>
      <c r="D40" s="64">
        <v>2.0000000000000001E-4</v>
      </c>
      <c r="E40" s="34">
        <f>+(C40-C$7)/C$8</f>
        <v>7025.0089399617609</v>
      </c>
      <c r="F40" s="34">
        <f>ROUND(2*E40,0)/2</f>
        <v>7025</v>
      </c>
      <c r="G40" s="34">
        <f>+C40-(C$7+F40*C$8)</f>
        <v>6.1149999964982271E-3</v>
      </c>
      <c r="H40" s="34"/>
      <c r="I40" s="34"/>
      <c r="K40" s="34">
        <f>+G40</f>
        <v>6.1149999964982271E-3</v>
      </c>
      <c r="L40" s="34"/>
      <c r="M40" s="34"/>
      <c r="N40" s="34"/>
      <c r="O40" s="34">
        <f ca="1">+C$11+C$12*$F40</f>
        <v>8.0167917106039807E-3</v>
      </c>
      <c r="P40" s="34"/>
      <c r="Q40" s="38">
        <f>+C40-15018.5</f>
        <v>42287.2071</v>
      </c>
    </row>
    <row r="41" spans="1:21" x14ac:dyDescent="0.2">
      <c r="A41" s="35" t="s">
        <v>54</v>
      </c>
      <c r="B41" s="44"/>
      <c r="C41" s="43">
        <v>57354.614999999998</v>
      </c>
      <c r="D41" s="43">
        <v>1E-3</v>
      </c>
      <c r="E41" s="34">
        <f>+(C41-C$7)/C$8</f>
        <v>7096.5109441798413</v>
      </c>
      <c r="F41" s="34">
        <f>ROUND(2*E41,0)/2</f>
        <v>7096.5</v>
      </c>
      <c r="G41" s="34">
        <f>+C41-(C$7+F41*C$8)</f>
        <v>7.4859000014839694E-3</v>
      </c>
      <c r="H41" s="34"/>
      <c r="I41" s="34"/>
      <c r="J41" s="34"/>
      <c r="L41">
        <f>+G41</f>
        <v>7.4859000014839694E-3</v>
      </c>
      <c r="M41" s="34"/>
      <c r="N41" s="34"/>
      <c r="O41" s="34">
        <f ca="1">+C$11+C$12*$F41</f>
        <v>8.0992961207854187E-3</v>
      </c>
      <c r="P41" s="34"/>
      <c r="Q41" s="38">
        <f>+C41-15018.5</f>
        <v>42336.114999999998</v>
      </c>
    </row>
    <row r="42" spans="1:21" x14ac:dyDescent="0.2">
      <c r="A42" s="64" t="s">
        <v>1</v>
      </c>
      <c r="B42" s="65" t="s">
        <v>36</v>
      </c>
      <c r="C42" s="64">
        <v>57673.703600000001</v>
      </c>
      <c r="D42" s="64">
        <v>1E-4</v>
      </c>
      <c r="E42" s="34">
        <f>+(C42-C$7)/C$8</f>
        <v>7563.0096984330894</v>
      </c>
      <c r="F42" s="34">
        <f>ROUND(2*E42,0)/2</f>
        <v>7563</v>
      </c>
      <c r="G42" s="34">
        <f>+C42-(C$7+F42*C$8)</f>
        <v>6.6338000033283606E-3</v>
      </c>
      <c r="H42" s="34"/>
      <c r="I42" s="34"/>
      <c r="K42" s="34">
        <f>+G42</f>
        <v>6.6338000033283606E-3</v>
      </c>
      <c r="L42" s="34"/>
      <c r="M42" s="34"/>
      <c r="N42" s="34"/>
      <c r="O42" s="34">
        <f ca="1">+C$11+C$12*$F42</f>
        <v>8.6375941256755032E-3</v>
      </c>
      <c r="P42" s="34"/>
      <c r="Q42" s="38">
        <f>+C42-15018.5</f>
        <v>42655.203600000001</v>
      </c>
    </row>
    <row r="43" spans="1:21" x14ac:dyDescent="0.2">
      <c r="A43" s="66" t="s">
        <v>126</v>
      </c>
      <c r="B43" s="67" t="s">
        <v>36</v>
      </c>
      <c r="C43" s="68">
        <v>57996.558960000053</v>
      </c>
      <c r="D43" s="68">
        <v>2.9999999999999997E-4</v>
      </c>
      <c r="E43" s="34">
        <f>+(C43-C$7)/C$8</f>
        <v>8035.015352173169</v>
      </c>
      <c r="F43" s="34">
        <f>ROUND(2*E43,0)/2</f>
        <v>8035</v>
      </c>
      <c r="G43" s="34">
        <f>+C43-(C$7+F43*C$8)</f>
        <v>1.050100005522836E-2</v>
      </c>
      <c r="L43" s="34">
        <f>+G43</f>
        <v>1.050100005522836E-2</v>
      </c>
      <c r="O43" s="34">
        <f ca="1">+C$11+C$12*$F43</f>
        <v>9.1822386236564656E-3</v>
      </c>
      <c r="Q43" s="38">
        <f>+C43-15018.5</f>
        <v>42978.058960000053</v>
      </c>
    </row>
    <row r="44" spans="1:21" x14ac:dyDescent="0.2">
      <c r="A44" s="66" t="s">
        <v>126</v>
      </c>
      <c r="B44" s="67" t="s">
        <v>36</v>
      </c>
      <c r="C44" s="68">
        <v>57996.559179999866</v>
      </c>
      <c r="D44" s="68">
        <v>2.9999999999999997E-4</v>
      </c>
      <c r="E44" s="34">
        <f>+(C44-C$7)/C$8</f>
        <v>8035.0156738068417</v>
      </c>
      <c r="F44" s="34">
        <f>ROUND(2*E44,0)/2</f>
        <v>8035</v>
      </c>
      <c r="G44" s="34">
        <f>+C44-(C$7+F44*C$8)</f>
        <v>1.0720999867771752E-2</v>
      </c>
      <c r="L44" s="34">
        <f>+G44</f>
        <v>1.0720999867771752E-2</v>
      </c>
      <c r="O44" s="34">
        <f ca="1">+C$11+C$12*$F44</f>
        <v>9.1822386236564656E-3</v>
      </c>
      <c r="Q44" s="38">
        <f>+C44-15018.5</f>
        <v>42978.059179999866</v>
      </c>
    </row>
    <row r="45" spans="1:21" x14ac:dyDescent="0.2">
      <c r="A45" s="66" t="s">
        <v>126</v>
      </c>
      <c r="B45" s="67" t="s">
        <v>36</v>
      </c>
      <c r="C45" s="68">
        <v>57996.559260000009</v>
      </c>
      <c r="D45" s="68">
        <v>2.9999999999999997E-4</v>
      </c>
      <c r="E45" s="34">
        <f>+(C45-C$7)/C$8</f>
        <v>8035.0157907648509</v>
      </c>
      <c r="F45" s="34">
        <f>ROUND(2*E45,0)/2</f>
        <v>8035</v>
      </c>
      <c r="G45" s="34">
        <f>+C45-(C$7+F45*C$8)</f>
        <v>1.0801000011269934E-2</v>
      </c>
      <c r="L45" s="34">
        <f>+G45</f>
        <v>1.0801000011269934E-2</v>
      </c>
      <c r="O45" s="34">
        <f ca="1">+C$11+C$12*$F45</f>
        <v>9.1822386236564656E-3</v>
      </c>
      <c r="Q45" s="38">
        <f>+C45-15018.5</f>
        <v>42978.059260000009</v>
      </c>
    </row>
    <row r="46" spans="1:21" x14ac:dyDescent="0.2">
      <c r="A46" s="66" t="s">
        <v>126</v>
      </c>
      <c r="B46" s="67" t="s">
        <v>36</v>
      </c>
      <c r="C46" s="68">
        <v>57996.559599999804</v>
      </c>
      <c r="D46" s="68">
        <v>2.0000000000000001E-4</v>
      </c>
      <c r="E46" s="34">
        <f>+(C46-C$7)/C$8</f>
        <v>8035.0162878351966</v>
      </c>
      <c r="F46" s="34">
        <f>ROUND(2*E46,0)/2</f>
        <v>8035</v>
      </c>
      <c r="G46" s="34">
        <f>+C46-(C$7+F46*C$8)</f>
        <v>1.1140999806229956E-2</v>
      </c>
      <c r="L46" s="34">
        <f>+G46</f>
        <v>1.1140999806229956E-2</v>
      </c>
      <c r="O46" s="34">
        <f ca="1">+C$11+C$12*$F46</f>
        <v>9.1822386236564656E-3</v>
      </c>
      <c r="Q46" s="38">
        <f>+C46-15018.5</f>
        <v>42978.059599999804</v>
      </c>
    </row>
    <row r="47" spans="1:21" x14ac:dyDescent="0.2">
      <c r="A47" s="5" t="s">
        <v>122</v>
      </c>
      <c r="C47" s="10">
        <v>58077.616399999999</v>
      </c>
      <c r="D47" s="10">
        <v>2.9999999999999997E-4</v>
      </c>
      <c r="E47" s="34">
        <f>+(C47-C$7)/C$8</f>
        <v>8153.5190993547722</v>
      </c>
      <c r="F47" s="34">
        <f>ROUND(2*E47,0)/2</f>
        <v>8153.5</v>
      </c>
      <c r="G47" s="34">
        <f>+C47-(C$7+F47*C$8)</f>
        <v>1.3064099999610335E-2</v>
      </c>
      <c r="H47" s="34"/>
      <c r="I47" s="34"/>
      <c r="L47" s="34">
        <f>+G47</f>
        <v>1.3064099999610335E-2</v>
      </c>
      <c r="M47" s="34"/>
      <c r="N47" s="34"/>
      <c r="O47" s="34">
        <f ca="1">+C$11+C$12*$F47</f>
        <v>9.3189767020690588E-3</v>
      </c>
      <c r="P47" s="34"/>
      <c r="Q47" s="38">
        <f>+C47-15018.5</f>
        <v>43059.116399999999</v>
      </c>
    </row>
    <row r="48" spans="1:21" x14ac:dyDescent="0.2">
      <c r="A48" s="66" t="s">
        <v>126</v>
      </c>
      <c r="B48" s="67" t="s">
        <v>36</v>
      </c>
      <c r="C48" s="68">
        <v>58085.480409999844</v>
      </c>
      <c r="D48" s="68">
        <v>1E-4</v>
      </c>
      <c r="E48" s="34">
        <f>+(C48-C$7)/C$8</f>
        <v>8165.0160656154367</v>
      </c>
      <c r="F48" s="34">
        <f>ROUND(2*E48,0)/2</f>
        <v>8165</v>
      </c>
      <c r="G48" s="34">
        <f>+C48-(C$7+F48*C$8)</f>
        <v>1.0988999842084013E-2</v>
      </c>
      <c r="L48" s="34">
        <f>+G48</f>
        <v>1.0988999842084013E-2</v>
      </c>
      <c r="O48" s="34">
        <f ca="1">+C$11+C$12*$F48</f>
        <v>9.3322466421681717E-3</v>
      </c>
      <c r="Q48" s="38">
        <f>+C48-15018.5</f>
        <v>43066.980409999844</v>
      </c>
    </row>
    <row r="49" spans="1:17" x14ac:dyDescent="0.2">
      <c r="A49" s="5" t="s">
        <v>124</v>
      </c>
      <c r="C49" s="10">
        <v>58450.742200000001</v>
      </c>
      <c r="D49" s="10">
        <v>2.9999999999999997E-4</v>
      </c>
      <c r="E49" s="34">
        <f>+(C49-C$7)/C$8</f>
        <v>8699.018753305887</v>
      </c>
      <c r="F49" s="34">
        <f>ROUND(2*E49,0)/2</f>
        <v>8699</v>
      </c>
      <c r="G49" s="34">
        <f>+C49-(C$7+F49*C$8)</f>
        <v>1.2827400001697242E-2</v>
      </c>
      <c r="H49" s="34"/>
      <c r="I49" s="34"/>
      <c r="L49" s="34">
        <f>+G49</f>
        <v>1.2827400001697242E-2</v>
      </c>
      <c r="M49" s="34"/>
      <c r="N49" s="34"/>
      <c r="O49" s="34">
        <f ca="1">+C$11+C$12*$F49</f>
        <v>9.9484334259008714E-3</v>
      </c>
      <c r="P49" s="34"/>
      <c r="Q49" s="38">
        <f>+C49-15018.5</f>
        <v>43432.242200000001</v>
      </c>
    </row>
    <row r="50" spans="1:17" ht="12" customHeight="1" x14ac:dyDescent="0.2">
      <c r="A50" s="5" t="s">
        <v>123</v>
      </c>
      <c r="C50" s="10">
        <v>58788.6443</v>
      </c>
      <c r="D50" s="10">
        <v>2.9999999999999997E-4</v>
      </c>
      <c r="E50" s="34">
        <f>+(C50-C$7)/C$8</f>
        <v>9193.0223269514336</v>
      </c>
      <c r="F50" s="34">
        <f>ROUND(2*E50,0)/2</f>
        <v>9193</v>
      </c>
      <c r="G50" s="34">
        <f>+C50-(C$7+F50*C$8)</f>
        <v>1.5271800002665259E-2</v>
      </c>
      <c r="H50" s="34"/>
      <c r="I50" s="34"/>
      <c r="L50" s="34">
        <f>+G50</f>
        <v>1.5271800002665259E-2</v>
      </c>
      <c r="M50" s="34"/>
      <c r="N50" s="34"/>
      <c r="O50" s="34">
        <f ca="1">+C$11+C$12*$F50</f>
        <v>1.0518463896245354E-2</v>
      </c>
      <c r="P50" s="34"/>
      <c r="Q50" s="38">
        <f>+C50-15018.5</f>
        <v>43770.1443</v>
      </c>
    </row>
    <row r="51" spans="1:17" ht="12" customHeight="1" x14ac:dyDescent="0.2">
      <c r="A51" s="5" t="s">
        <v>125</v>
      </c>
      <c r="C51" s="10">
        <v>59119.7042</v>
      </c>
      <c r="D51" s="10">
        <v>4.0000000000000002E-4</v>
      </c>
      <c r="E51" s="34">
        <f>+(C51-C$7)/C$8</f>
        <v>9677.0227924434748</v>
      </c>
      <c r="F51" s="34">
        <f>ROUND(2*E51,0)/2</f>
        <v>9677</v>
      </c>
      <c r="G51" s="34">
        <f>+C51-(C$7+F51*C$8)</f>
        <v>1.5590200004226062E-2</v>
      </c>
      <c r="L51" s="34">
        <f>+G51</f>
        <v>1.5590200004226062E-2</v>
      </c>
      <c r="O51" s="34">
        <f ca="1">+C$11+C$12*$F51</f>
        <v>1.1076955288242783E-2</v>
      </c>
      <c r="Q51" s="38">
        <f>+C51-15018.5</f>
        <v>44101.2042</v>
      </c>
    </row>
    <row r="52" spans="1:17" ht="12" customHeight="1" x14ac:dyDescent="0.2">
      <c r="A52" s="69" t="s">
        <v>127</v>
      </c>
      <c r="B52" s="70" t="s">
        <v>36</v>
      </c>
      <c r="C52" s="71">
        <v>59134.743799999997</v>
      </c>
      <c r="D52" s="71">
        <v>1E-4</v>
      </c>
      <c r="E52" s="34">
        <f>+(C52-C$7)/C$8</f>
        <v>9699.0102738654532</v>
      </c>
      <c r="F52" s="34">
        <f>ROUND(2*E52,0)/2</f>
        <v>9699</v>
      </c>
      <c r="G52" s="34">
        <f>+C52-(C$7+F52*C$8)</f>
        <v>7.0273999954224564E-3</v>
      </c>
      <c r="L52" s="34">
        <f>+G52</f>
        <v>7.0273999954224564E-3</v>
      </c>
      <c r="O52" s="34">
        <f ca="1">+C$11+C$12*$F52</f>
        <v>1.1102341260606304E-2</v>
      </c>
      <c r="Q52" s="38">
        <f>+C52-15018.5</f>
        <v>44116.243799999997</v>
      </c>
    </row>
    <row r="53" spans="1:17" ht="12" customHeight="1" x14ac:dyDescent="0.2">
      <c r="A53" s="72" t="s">
        <v>128</v>
      </c>
      <c r="B53" s="73" t="s">
        <v>43</v>
      </c>
      <c r="C53" s="74">
        <v>59463.404199999997</v>
      </c>
      <c r="D53" s="72">
        <v>1.5E-3</v>
      </c>
      <c r="E53" s="34">
        <f>+(C53-C$7)/C$8</f>
        <v>10179.502736373901</v>
      </c>
      <c r="F53" s="34">
        <f>ROUND(2*E53,0)/2</f>
        <v>10179.5</v>
      </c>
      <c r="G53" s="34">
        <f>+C53-(C$7+F53*C$8)</f>
        <v>1.8716999984462745E-3</v>
      </c>
      <c r="L53" s="34">
        <f>+G53</f>
        <v>1.8716999984462745E-3</v>
      </c>
      <c r="O53" s="34">
        <f ca="1">+C$11+C$12*$F53</f>
        <v>1.1656793975182263E-2</v>
      </c>
      <c r="Q53" s="38">
        <f>+C53-15018.5</f>
        <v>44444.904199999997</v>
      </c>
    </row>
    <row r="54" spans="1:17" ht="12" customHeight="1" x14ac:dyDescent="0.2">
      <c r="C54" s="10"/>
      <c r="D54" s="10"/>
    </row>
    <row r="55" spans="1:17" ht="12" customHeight="1" x14ac:dyDescent="0.2">
      <c r="C55" s="10"/>
      <c r="D55" s="10"/>
    </row>
    <row r="56" spans="1:17" x14ac:dyDescent="0.2">
      <c r="C56" s="10"/>
      <c r="D56" s="10"/>
    </row>
    <row r="57" spans="1:17" x14ac:dyDescent="0.2">
      <c r="C57" s="10"/>
      <c r="D57" s="10"/>
    </row>
    <row r="58" spans="1:17" x14ac:dyDescent="0.2">
      <c r="C58" s="10"/>
      <c r="D58" s="10"/>
    </row>
    <row r="59" spans="1:17" x14ac:dyDescent="0.2">
      <c r="C59" s="10"/>
      <c r="D59" s="10"/>
    </row>
    <row r="60" spans="1:17" x14ac:dyDescent="0.2">
      <c r="C60" s="10"/>
      <c r="D60" s="10"/>
    </row>
    <row r="61" spans="1:17" x14ac:dyDescent="0.2">
      <c r="C61" s="10"/>
      <c r="D61" s="10"/>
    </row>
    <row r="62" spans="1:17" x14ac:dyDescent="0.2">
      <c r="C62" s="10"/>
      <c r="D62" s="10"/>
    </row>
    <row r="63" spans="1:17" x14ac:dyDescent="0.2">
      <c r="C63" s="10"/>
      <c r="D63" s="10"/>
    </row>
    <row r="64" spans="1:17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</sheetData>
  <protectedRanges>
    <protectedRange sqref="A47:D50" name="Range1"/>
  </protectedRanges>
  <sortState xmlns:xlrd2="http://schemas.microsoft.com/office/spreadsheetml/2017/richdata2" ref="A21:U53">
    <sortCondition ref="C21:C53"/>
  </sortState>
  <phoneticPr fontId="8" type="noConversion"/>
  <hyperlinks>
    <hyperlink ref="H63232" r:id="rId1" display="http://vsolj.cetus-net.org/bulletin.html"/>
    <hyperlink ref="H63225" r:id="rId2" display="https://www.aavso.org/ejaavso"/>
    <hyperlink ref="I63232" r:id="rId3" display="http://vsolj.cetus-net.org/bulletin.html"/>
    <hyperlink ref="AQ56883" r:id="rId4" display="http://cdsbib.u-strasbg.fr/cgi-bin/cdsbib?1990RMxAA..21..381G"/>
    <hyperlink ref="H63229" r:id="rId5" display="https://www.aavso.org/ejaavso"/>
    <hyperlink ref="AP4247" r:id="rId6" display="http://cdsbib.u-strasbg.fr/cgi-bin/cdsbib?1990RMxAA..21..381G"/>
    <hyperlink ref="AP4250" r:id="rId7" display="http://cdsbib.u-strasbg.fr/cgi-bin/cdsbib?1990RMxAA..21..381G"/>
    <hyperlink ref="AP4248" r:id="rId8" display="http://cdsbib.u-strasbg.fr/cgi-bin/cdsbib?1990RMxAA..21..381G"/>
    <hyperlink ref="AP4232" r:id="rId9" display="http://cdsbib.u-strasbg.fr/cgi-bin/cdsbib?1990RMxAA..21..381G"/>
    <hyperlink ref="AQ4461" r:id="rId10" display="http://cdsbib.u-strasbg.fr/cgi-bin/cdsbib?1990RMxAA..21..381G"/>
    <hyperlink ref="AQ4465" r:id="rId11" display="http://cdsbib.u-strasbg.fr/cgi-bin/cdsbib?1990RMxAA..21..381G"/>
    <hyperlink ref="AQ64145" r:id="rId12" display="http://cdsbib.u-strasbg.fr/cgi-bin/cdsbib?1990RMxAA..21..381G"/>
    <hyperlink ref="I1353" r:id="rId13" display="http://vsolj.cetus-net.org/bulletin.html"/>
    <hyperlink ref="H1353" r:id="rId14" display="http://vsolj.cetus-net.org/bulletin.html"/>
    <hyperlink ref="AQ64806" r:id="rId15" display="http://cdsbib.u-strasbg.fr/cgi-bin/cdsbib?1990RMxAA..21..381G"/>
    <hyperlink ref="AQ64805" r:id="rId16" display="http://cdsbib.u-strasbg.fr/cgi-bin/cdsbib?1990RMxAA..21..381G"/>
    <hyperlink ref="AP2523" r:id="rId17" display="http://cdsbib.u-strasbg.fr/cgi-bin/cdsbib?1990RMxAA..21..381G"/>
    <hyperlink ref="AP2541" r:id="rId18" display="http://cdsbib.u-strasbg.fr/cgi-bin/cdsbib?1990RMxAA..21..381G"/>
    <hyperlink ref="AP2542" r:id="rId19" display="http://cdsbib.u-strasbg.fr/cgi-bin/cdsbib?1990RMxAA..21..381G"/>
    <hyperlink ref="AP2538" r:id="rId20" display="http://cdsbib.u-strasbg.fr/cgi-bin/cdsbib?1990RMxAA..21..381G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0"/>
  <sheetViews>
    <sheetView workbookViewId="0">
      <selection activeCell="A17" sqref="A17:C22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45" t="s">
        <v>55</v>
      </c>
      <c r="I1" s="46" t="s">
        <v>56</v>
      </c>
      <c r="J1" s="47" t="s">
        <v>57</v>
      </c>
    </row>
    <row r="2" spans="1:16" x14ac:dyDescent="0.2">
      <c r="I2" s="48" t="s">
        <v>58</v>
      </c>
      <c r="J2" s="49" t="s">
        <v>59</v>
      </c>
    </row>
    <row r="3" spans="1:16" x14ac:dyDescent="0.2">
      <c r="A3" s="50" t="s">
        <v>60</v>
      </c>
      <c r="I3" s="48" t="s">
        <v>61</v>
      </c>
      <c r="J3" s="49" t="s">
        <v>62</v>
      </c>
    </row>
    <row r="4" spans="1:16" x14ac:dyDescent="0.2">
      <c r="I4" s="48" t="s">
        <v>63</v>
      </c>
      <c r="J4" s="49" t="s">
        <v>62</v>
      </c>
    </row>
    <row r="5" spans="1:16" ht="13.5" thickBot="1" x14ac:dyDescent="0.25">
      <c r="I5" s="51" t="s">
        <v>64</v>
      </c>
      <c r="J5" s="52" t="s">
        <v>65</v>
      </c>
    </row>
    <row r="10" spans="1:16" ht="13.5" thickBot="1" x14ac:dyDescent="0.25"/>
    <row r="11" spans="1:16" ht="12.75" customHeight="1" thickBot="1" x14ac:dyDescent="0.25">
      <c r="A11" s="10" t="str">
        <f t="shared" ref="A11:A22" si="0">P11</f>
        <v> BBS 126 </v>
      </c>
      <c r="B11" s="3" t="str">
        <f t="shared" ref="B11:B22" si="1">IF(H11=INT(H11),"I","II")</f>
        <v>I</v>
      </c>
      <c r="C11" s="10">
        <f t="shared" ref="C11:C22" si="2">1*G11</f>
        <v>52193.427000000003</v>
      </c>
      <c r="D11" s="12" t="str">
        <f t="shared" ref="D11:D22" si="3">VLOOKUP(F11,I$1:J$5,2,FALSE)</f>
        <v>vis</v>
      </c>
      <c r="E11" s="53" t="e">
        <f>VLOOKUP(C11,Active!C$21:E$968,3,FALSE)</f>
        <v>#N/A</v>
      </c>
      <c r="F11" s="3" t="s">
        <v>64</v>
      </c>
      <c r="G11" s="12" t="str">
        <f t="shared" ref="G11:G22" si="4">MID(I11,3,LEN(I11)-3)</f>
        <v>52193.427</v>
      </c>
      <c r="H11" s="10">
        <f t="shared" ref="H11:H22" si="5">1*K11</f>
        <v>-449</v>
      </c>
      <c r="I11" s="54" t="s">
        <v>67</v>
      </c>
      <c r="J11" s="55" t="s">
        <v>68</v>
      </c>
      <c r="K11" s="54">
        <v>-449</v>
      </c>
      <c r="L11" s="54" t="s">
        <v>66</v>
      </c>
      <c r="M11" s="55" t="s">
        <v>69</v>
      </c>
      <c r="N11" s="55" t="s">
        <v>70</v>
      </c>
      <c r="O11" s="56" t="s">
        <v>71</v>
      </c>
      <c r="P11" s="56" t="s">
        <v>72</v>
      </c>
    </row>
    <row r="12" spans="1:16" ht="12.75" customHeight="1" thickBot="1" x14ac:dyDescent="0.25">
      <c r="A12" s="10" t="str">
        <f t="shared" si="0"/>
        <v>IBVS 5871 </v>
      </c>
      <c r="B12" s="3" t="str">
        <f t="shared" si="1"/>
        <v>I</v>
      </c>
      <c r="C12" s="10">
        <f t="shared" si="2"/>
        <v>54768.7235</v>
      </c>
      <c r="D12" s="12" t="str">
        <f t="shared" si="3"/>
        <v>vis</v>
      </c>
      <c r="E12" s="53">
        <f>VLOOKUP(C12,Active!C$21:E$968,3,FALSE)</f>
        <v>3316.0087156951822</v>
      </c>
      <c r="F12" s="3" t="s">
        <v>64</v>
      </c>
      <c r="G12" s="12" t="str">
        <f t="shared" si="4"/>
        <v>54768.7235</v>
      </c>
      <c r="H12" s="10">
        <f t="shared" si="5"/>
        <v>3316</v>
      </c>
      <c r="I12" s="54" t="s">
        <v>80</v>
      </c>
      <c r="J12" s="55" t="s">
        <v>81</v>
      </c>
      <c r="K12" s="54">
        <v>3316</v>
      </c>
      <c r="L12" s="54" t="s">
        <v>82</v>
      </c>
      <c r="M12" s="55" t="s">
        <v>76</v>
      </c>
      <c r="N12" s="55" t="s">
        <v>64</v>
      </c>
      <c r="O12" s="56" t="s">
        <v>71</v>
      </c>
      <c r="P12" s="57" t="s">
        <v>83</v>
      </c>
    </row>
    <row r="13" spans="1:16" ht="12.75" customHeight="1" thickBot="1" x14ac:dyDescent="0.25">
      <c r="A13" s="10" t="str">
        <f t="shared" si="0"/>
        <v>IBVS 5929 </v>
      </c>
      <c r="B13" s="3" t="str">
        <f t="shared" si="1"/>
        <v>I</v>
      </c>
      <c r="C13" s="10">
        <f t="shared" si="2"/>
        <v>55188.700499999999</v>
      </c>
      <c r="D13" s="12" t="str">
        <f t="shared" si="3"/>
        <v>vis</v>
      </c>
      <c r="E13" s="53">
        <f>VLOOKUP(C13,Active!C$21:E$968,3,FALSE)</f>
        <v>3930.0035350494741</v>
      </c>
      <c r="F13" s="3" t="s">
        <v>64</v>
      </c>
      <c r="G13" s="12" t="str">
        <f t="shared" si="4"/>
        <v>55188.7005</v>
      </c>
      <c r="H13" s="10">
        <f t="shared" si="5"/>
        <v>3930</v>
      </c>
      <c r="I13" s="54" t="s">
        <v>96</v>
      </c>
      <c r="J13" s="55" t="s">
        <v>97</v>
      </c>
      <c r="K13" s="54">
        <v>3930</v>
      </c>
      <c r="L13" s="54" t="s">
        <v>98</v>
      </c>
      <c r="M13" s="55" t="s">
        <v>76</v>
      </c>
      <c r="N13" s="55" t="s">
        <v>77</v>
      </c>
      <c r="O13" s="56" t="s">
        <v>99</v>
      </c>
      <c r="P13" s="57" t="s">
        <v>100</v>
      </c>
    </row>
    <row r="14" spans="1:16" ht="12.75" customHeight="1" thickBot="1" x14ac:dyDescent="0.25">
      <c r="A14" s="10" t="str">
        <f t="shared" si="0"/>
        <v>IBVS 5960 </v>
      </c>
      <c r="B14" s="3" t="str">
        <f t="shared" si="1"/>
        <v>I</v>
      </c>
      <c r="C14" s="10">
        <f t="shared" si="2"/>
        <v>55528.650500000003</v>
      </c>
      <c r="D14" s="12" t="str">
        <f t="shared" si="3"/>
        <v>vis</v>
      </c>
      <c r="E14" s="53">
        <f>VLOOKUP(C14,Active!C$21:E$968,3,FALSE)</f>
        <v>4427.0010821520409</v>
      </c>
      <c r="F14" s="3" t="s">
        <v>64</v>
      </c>
      <c r="G14" s="12" t="str">
        <f t="shared" si="4"/>
        <v>55528.6505</v>
      </c>
      <c r="H14" s="10">
        <f t="shared" si="5"/>
        <v>4427</v>
      </c>
      <c r="I14" s="54" t="s">
        <v>105</v>
      </c>
      <c r="J14" s="55" t="s">
        <v>106</v>
      </c>
      <c r="K14" s="54">
        <v>4427</v>
      </c>
      <c r="L14" s="54" t="s">
        <v>107</v>
      </c>
      <c r="M14" s="55" t="s">
        <v>76</v>
      </c>
      <c r="N14" s="55" t="s">
        <v>64</v>
      </c>
      <c r="O14" s="56" t="s">
        <v>71</v>
      </c>
      <c r="P14" s="57" t="s">
        <v>108</v>
      </c>
    </row>
    <row r="15" spans="1:16" ht="12.75" customHeight="1" thickBot="1" x14ac:dyDescent="0.25">
      <c r="A15" s="10" t="str">
        <f t="shared" si="0"/>
        <v>IBVS 6011 </v>
      </c>
      <c r="B15" s="3" t="str">
        <f t="shared" si="1"/>
        <v>I</v>
      </c>
      <c r="C15" s="10">
        <f t="shared" si="2"/>
        <v>55828.9306</v>
      </c>
      <c r="D15" s="12" t="str">
        <f t="shared" si="3"/>
        <v>vis</v>
      </c>
      <c r="E15" s="53">
        <f>VLOOKUP(C15,Active!C$21:E$968,3,FALSE)</f>
        <v>4866.0023268754112</v>
      </c>
      <c r="F15" s="3" t="s">
        <v>64</v>
      </c>
      <c r="G15" s="12" t="str">
        <f t="shared" si="4"/>
        <v>55828.9306</v>
      </c>
      <c r="H15" s="10">
        <f t="shared" si="5"/>
        <v>4866</v>
      </c>
      <c r="I15" s="54" t="s">
        <v>109</v>
      </c>
      <c r="J15" s="55" t="s">
        <v>110</v>
      </c>
      <c r="K15" s="54">
        <v>4866</v>
      </c>
      <c r="L15" s="54" t="s">
        <v>111</v>
      </c>
      <c r="M15" s="55" t="s">
        <v>76</v>
      </c>
      <c r="N15" s="55" t="s">
        <v>64</v>
      </c>
      <c r="O15" s="56" t="s">
        <v>71</v>
      </c>
      <c r="P15" s="57" t="s">
        <v>112</v>
      </c>
    </row>
    <row r="16" spans="1:16" ht="12.75" customHeight="1" thickBot="1" x14ac:dyDescent="0.25">
      <c r="A16" s="10" t="str">
        <f t="shared" si="0"/>
        <v>IBVS 6092 </v>
      </c>
      <c r="B16" s="3" t="str">
        <f t="shared" si="1"/>
        <v>I</v>
      </c>
      <c r="C16" s="10">
        <f t="shared" si="2"/>
        <v>56582.708500000001</v>
      </c>
      <c r="D16" s="12" t="str">
        <f t="shared" si="3"/>
        <v>vis</v>
      </c>
      <c r="E16" s="53">
        <f>VLOOKUP(C16,Active!C$21:E$968,3,FALSE)</f>
        <v>5968.0048783097982</v>
      </c>
      <c r="F16" s="3" t="s">
        <v>64</v>
      </c>
      <c r="G16" s="12" t="str">
        <f t="shared" si="4"/>
        <v>56582.7085</v>
      </c>
      <c r="H16" s="10">
        <f t="shared" si="5"/>
        <v>5968</v>
      </c>
      <c r="I16" s="54" t="s">
        <v>113</v>
      </c>
      <c r="J16" s="55" t="s">
        <v>114</v>
      </c>
      <c r="K16" s="54">
        <v>5968</v>
      </c>
      <c r="L16" s="54" t="s">
        <v>115</v>
      </c>
      <c r="M16" s="55" t="s">
        <v>76</v>
      </c>
      <c r="N16" s="55" t="s">
        <v>77</v>
      </c>
      <c r="O16" s="56" t="s">
        <v>99</v>
      </c>
      <c r="P16" s="57" t="s">
        <v>116</v>
      </c>
    </row>
    <row r="17" spans="1:16" ht="12.75" customHeight="1" thickBot="1" x14ac:dyDescent="0.25">
      <c r="A17" s="10" t="str">
        <f t="shared" si="0"/>
        <v>OEJV 0107 </v>
      </c>
      <c r="B17" s="3" t="str">
        <f t="shared" si="1"/>
        <v>I</v>
      </c>
      <c r="C17" s="10">
        <f t="shared" si="2"/>
        <v>54758.460700000003</v>
      </c>
      <c r="D17" s="12" t="str">
        <f t="shared" si="3"/>
        <v>vis</v>
      </c>
      <c r="E17" s="53" t="e">
        <f>VLOOKUP(C17,Active!C$21:E$968,3,FALSE)</f>
        <v>#N/A</v>
      </c>
      <c r="F17" s="3" t="s">
        <v>64</v>
      </c>
      <c r="G17" s="12" t="str">
        <f t="shared" si="4"/>
        <v>54758.4607</v>
      </c>
      <c r="H17" s="10">
        <f t="shared" si="5"/>
        <v>3301</v>
      </c>
      <c r="I17" s="54" t="s">
        <v>73</v>
      </c>
      <c r="J17" s="55" t="s">
        <v>74</v>
      </c>
      <c r="K17" s="54">
        <v>3301</v>
      </c>
      <c r="L17" s="54" t="s">
        <v>75</v>
      </c>
      <c r="M17" s="55" t="s">
        <v>76</v>
      </c>
      <c r="N17" s="55" t="s">
        <v>77</v>
      </c>
      <c r="O17" s="56" t="s">
        <v>78</v>
      </c>
      <c r="P17" s="57" t="s">
        <v>79</v>
      </c>
    </row>
    <row r="18" spans="1:16" ht="12.75" customHeight="1" thickBot="1" x14ac:dyDescent="0.25">
      <c r="A18" s="10" t="str">
        <f t="shared" si="0"/>
        <v>VSB 48 </v>
      </c>
      <c r="B18" s="3" t="str">
        <f t="shared" si="1"/>
        <v>I</v>
      </c>
      <c r="C18" s="10">
        <f t="shared" si="2"/>
        <v>54815.914100000002</v>
      </c>
      <c r="D18" s="12" t="str">
        <f t="shared" si="3"/>
        <v>vis</v>
      </c>
      <c r="E18" s="53">
        <f>VLOOKUP(C18,Active!C$21:E$968,3,FALSE)</f>
        <v>3385.0000745606008</v>
      </c>
      <c r="F18" s="3" t="s">
        <v>64</v>
      </c>
      <c r="G18" s="12" t="str">
        <f t="shared" si="4"/>
        <v>54815.9141</v>
      </c>
      <c r="H18" s="10">
        <f t="shared" si="5"/>
        <v>3385</v>
      </c>
      <c r="I18" s="54" t="s">
        <v>84</v>
      </c>
      <c r="J18" s="55" t="s">
        <v>85</v>
      </c>
      <c r="K18" s="54">
        <v>3385</v>
      </c>
      <c r="L18" s="54" t="s">
        <v>86</v>
      </c>
      <c r="M18" s="55" t="s">
        <v>76</v>
      </c>
      <c r="N18" s="55" t="s">
        <v>87</v>
      </c>
      <c r="O18" s="56" t="s">
        <v>88</v>
      </c>
      <c r="P18" s="57" t="s">
        <v>89</v>
      </c>
    </row>
    <row r="19" spans="1:16" ht="12.75" customHeight="1" thickBot="1" x14ac:dyDescent="0.25">
      <c r="A19" s="10" t="str">
        <f t="shared" si="0"/>
        <v>VSB 48 </v>
      </c>
      <c r="B19" s="3" t="str">
        <f t="shared" si="1"/>
        <v>II</v>
      </c>
      <c r="C19" s="10">
        <f t="shared" si="2"/>
        <v>54818.991099999999</v>
      </c>
      <c r="D19" s="12" t="str">
        <f t="shared" si="3"/>
        <v>vis</v>
      </c>
      <c r="E19" s="53">
        <f>VLOOKUP(C19,Active!C$21:E$968,3,FALSE)</f>
        <v>3389.4985639044257</v>
      </c>
      <c r="F19" s="3" t="s">
        <v>64</v>
      </c>
      <c r="G19" s="12" t="str">
        <f t="shared" si="4"/>
        <v>54818.9911</v>
      </c>
      <c r="H19" s="10">
        <f t="shared" si="5"/>
        <v>3389.5</v>
      </c>
      <c r="I19" s="54" t="s">
        <v>90</v>
      </c>
      <c r="J19" s="55" t="s">
        <v>91</v>
      </c>
      <c r="K19" s="54">
        <v>3389.5</v>
      </c>
      <c r="L19" s="54" t="s">
        <v>92</v>
      </c>
      <c r="M19" s="55" t="s">
        <v>76</v>
      </c>
      <c r="N19" s="55" t="s">
        <v>87</v>
      </c>
      <c r="O19" s="56" t="s">
        <v>88</v>
      </c>
      <c r="P19" s="57" t="s">
        <v>89</v>
      </c>
    </row>
    <row r="20" spans="1:16" ht="12.75" customHeight="1" thickBot="1" x14ac:dyDescent="0.25">
      <c r="A20" s="10" t="str">
        <f t="shared" si="0"/>
        <v>OEJV 0107 </v>
      </c>
      <c r="B20" s="3" t="str">
        <f t="shared" si="1"/>
        <v>I</v>
      </c>
      <c r="C20" s="10">
        <f t="shared" si="2"/>
        <v>54843.280400000003</v>
      </c>
      <c r="D20" s="12" t="str">
        <f t="shared" si="3"/>
        <v>vis</v>
      </c>
      <c r="E20" s="53" t="e">
        <f>VLOOKUP(C20,Active!C$21:E$968,3,FALSE)</f>
        <v>#N/A</v>
      </c>
      <c r="F20" s="3" t="s">
        <v>64</v>
      </c>
      <c r="G20" s="12" t="str">
        <f t="shared" si="4"/>
        <v>54843.2804</v>
      </c>
      <c r="H20" s="10">
        <f t="shared" si="5"/>
        <v>3425</v>
      </c>
      <c r="I20" s="54" t="s">
        <v>93</v>
      </c>
      <c r="J20" s="55" t="s">
        <v>94</v>
      </c>
      <c r="K20" s="54">
        <v>3425</v>
      </c>
      <c r="L20" s="54" t="s">
        <v>82</v>
      </c>
      <c r="M20" s="55" t="s">
        <v>76</v>
      </c>
      <c r="N20" s="55" t="s">
        <v>77</v>
      </c>
      <c r="O20" s="56" t="s">
        <v>95</v>
      </c>
      <c r="P20" s="57" t="s">
        <v>79</v>
      </c>
    </row>
    <row r="21" spans="1:16" ht="12.75" customHeight="1" thickBot="1" x14ac:dyDescent="0.25">
      <c r="A21" s="10" t="str">
        <f t="shared" si="0"/>
        <v>OEJV 0137 </v>
      </c>
      <c r="B21" s="3" t="str">
        <f t="shared" si="1"/>
        <v>I</v>
      </c>
      <c r="C21" s="10">
        <f t="shared" si="2"/>
        <v>55462.303200000002</v>
      </c>
      <c r="D21" s="12" t="str">
        <f t="shared" si="3"/>
        <v>vis</v>
      </c>
      <c r="E21" s="53" t="e">
        <f>VLOOKUP(C21,Active!C$21:E$968,3,FALSE)</f>
        <v>#N/A</v>
      </c>
      <c r="F21" s="3" t="s">
        <v>64</v>
      </c>
      <c r="G21" s="12" t="str">
        <f t="shared" si="4"/>
        <v>55462.3032</v>
      </c>
      <c r="H21" s="10">
        <f t="shared" si="5"/>
        <v>4330</v>
      </c>
      <c r="I21" s="54" t="s">
        <v>101</v>
      </c>
      <c r="J21" s="55" t="s">
        <v>102</v>
      </c>
      <c r="K21" s="54">
        <v>4330</v>
      </c>
      <c r="L21" s="54" t="s">
        <v>103</v>
      </c>
      <c r="M21" s="55" t="s">
        <v>76</v>
      </c>
      <c r="N21" s="55" t="s">
        <v>77</v>
      </c>
      <c r="O21" s="56" t="s">
        <v>95</v>
      </c>
      <c r="P21" s="57" t="s">
        <v>104</v>
      </c>
    </row>
    <row r="22" spans="1:16" ht="12.75" customHeight="1" thickBot="1" x14ac:dyDescent="0.25">
      <c r="A22" s="10" t="str">
        <f t="shared" si="0"/>
        <v> JAAVSO 43-1 </v>
      </c>
      <c r="B22" s="3" t="str">
        <f t="shared" si="1"/>
        <v>I</v>
      </c>
      <c r="C22" s="10">
        <f t="shared" si="2"/>
        <v>56917.873299999999</v>
      </c>
      <c r="D22" s="12" t="str">
        <f t="shared" si="3"/>
        <v>vis</v>
      </c>
      <c r="E22" s="53">
        <f>VLOOKUP(C22,Active!C$21:E$968,3,FALSE)</f>
        <v>6458.0065946654959</v>
      </c>
      <c r="F22" s="3" t="s">
        <v>64</v>
      </c>
      <c r="G22" s="12" t="str">
        <f t="shared" si="4"/>
        <v>56917.8733</v>
      </c>
      <c r="H22" s="10">
        <f t="shared" si="5"/>
        <v>6458</v>
      </c>
      <c r="I22" s="54" t="s">
        <v>117</v>
      </c>
      <c r="J22" s="55" t="s">
        <v>118</v>
      </c>
      <c r="K22" s="54">
        <v>6458</v>
      </c>
      <c r="L22" s="54" t="s">
        <v>119</v>
      </c>
      <c r="M22" s="55" t="s">
        <v>76</v>
      </c>
      <c r="N22" s="55" t="s">
        <v>64</v>
      </c>
      <c r="O22" s="56" t="s">
        <v>120</v>
      </c>
      <c r="P22" s="56" t="s">
        <v>121</v>
      </c>
    </row>
    <row r="23" spans="1:16" x14ac:dyDescent="0.2">
      <c r="B23" s="3"/>
      <c r="E23" s="53"/>
      <c r="F23" s="3"/>
    </row>
    <row r="24" spans="1:16" x14ac:dyDescent="0.2">
      <c r="B24" s="3"/>
      <c r="E24" s="53"/>
      <c r="F24" s="3"/>
    </row>
    <row r="25" spans="1:16" x14ac:dyDescent="0.2">
      <c r="B25" s="3"/>
      <c r="E25" s="53"/>
      <c r="F25" s="3"/>
    </row>
    <row r="26" spans="1:16" x14ac:dyDescent="0.2">
      <c r="B26" s="3"/>
      <c r="E26" s="53"/>
      <c r="F26" s="3"/>
    </row>
    <row r="27" spans="1:16" x14ac:dyDescent="0.2">
      <c r="B27" s="3"/>
      <c r="E27" s="53"/>
      <c r="F27" s="3"/>
    </row>
    <row r="28" spans="1:16" x14ac:dyDescent="0.2">
      <c r="B28" s="3"/>
      <c r="E28" s="53"/>
      <c r="F28" s="3"/>
    </row>
    <row r="29" spans="1:16" x14ac:dyDescent="0.2">
      <c r="B29" s="3"/>
      <c r="E29" s="53"/>
      <c r="F29" s="3"/>
    </row>
    <row r="30" spans="1:16" x14ac:dyDescent="0.2">
      <c r="B30" s="3"/>
      <c r="E30" s="53"/>
      <c r="F30" s="3"/>
    </row>
    <row r="31" spans="1:16" x14ac:dyDescent="0.2">
      <c r="B31" s="3"/>
      <c r="E31" s="53"/>
      <c r="F31" s="3"/>
    </row>
    <row r="32" spans="1:16" x14ac:dyDescent="0.2">
      <c r="B32" s="3"/>
      <c r="E32" s="53"/>
      <c r="F32" s="3"/>
    </row>
    <row r="33" spans="2:6" x14ac:dyDescent="0.2">
      <c r="B33" s="3"/>
      <c r="E33" s="53"/>
      <c r="F33" s="3"/>
    </row>
    <row r="34" spans="2:6" x14ac:dyDescent="0.2">
      <c r="B34" s="3"/>
      <c r="E34" s="53"/>
      <c r="F34" s="3"/>
    </row>
    <row r="35" spans="2:6" x14ac:dyDescent="0.2">
      <c r="B35" s="3"/>
      <c r="E35" s="53"/>
      <c r="F35" s="3"/>
    </row>
    <row r="36" spans="2:6" x14ac:dyDescent="0.2">
      <c r="B36" s="3"/>
      <c r="E36" s="53"/>
      <c r="F36" s="3"/>
    </row>
    <row r="37" spans="2:6" x14ac:dyDescent="0.2">
      <c r="B37" s="3"/>
      <c r="E37" s="53"/>
      <c r="F37" s="3"/>
    </row>
    <row r="38" spans="2:6" x14ac:dyDescent="0.2">
      <c r="B38" s="3"/>
      <c r="E38" s="53"/>
      <c r="F38" s="3"/>
    </row>
    <row r="39" spans="2:6" x14ac:dyDescent="0.2">
      <c r="B39" s="3"/>
      <c r="E39" s="53"/>
      <c r="F39" s="3"/>
    </row>
    <row r="40" spans="2:6" x14ac:dyDescent="0.2">
      <c r="B40" s="3"/>
      <c r="E40" s="53"/>
      <c r="F40" s="3"/>
    </row>
    <row r="41" spans="2:6" x14ac:dyDescent="0.2">
      <c r="B41" s="3"/>
      <c r="E41" s="53"/>
      <c r="F41" s="3"/>
    </row>
    <row r="42" spans="2:6" x14ac:dyDescent="0.2">
      <c r="B42" s="3"/>
      <c r="E42" s="53"/>
      <c r="F42" s="3"/>
    </row>
    <row r="43" spans="2:6" x14ac:dyDescent="0.2">
      <c r="B43" s="3"/>
      <c r="E43" s="53"/>
      <c r="F43" s="3"/>
    </row>
    <row r="44" spans="2:6" x14ac:dyDescent="0.2">
      <c r="B44" s="3"/>
      <c r="E44" s="53"/>
      <c r="F44" s="3"/>
    </row>
    <row r="45" spans="2:6" x14ac:dyDescent="0.2">
      <c r="B45" s="3"/>
      <c r="E45" s="53"/>
      <c r="F45" s="3"/>
    </row>
    <row r="46" spans="2:6" x14ac:dyDescent="0.2">
      <c r="B46" s="3"/>
      <c r="E46" s="53"/>
      <c r="F46" s="3"/>
    </row>
    <row r="47" spans="2:6" x14ac:dyDescent="0.2">
      <c r="B47" s="3"/>
      <c r="E47" s="53"/>
      <c r="F47" s="3"/>
    </row>
    <row r="48" spans="2:6" x14ac:dyDescent="0.2">
      <c r="B48" s="3"/>
      <c r="E48" s="53"/>
      <c r="F48" s="3"/>
    </row>
    <row r="49" spans="2:6" x14ac:dyDescent="0.2">
      <c r="B49" s="3"/>
      <c r="E49" s="53"/>
      <c r="F49" s="3"/>
    </row>
    <row r="50" spans="2:6" x14ac:dyDescent="0.2">
      <c r="B50" s="3"/>
      <c r="E50" s="53"/>
      <c r="F50" s="3"/>
    </row>
    <row r="51" spans="2:6" x14ac:dyDescent="0.2">
      <c r="B51" s="3"/>
      <c r="E51" s="53"/>
      <c r="F51" s="3"/>
    </row>
    <row r="52" spans="2:6" x14ac:dyDescent="0.2">
      <c r="B52" s="3"/>
      <c r="E52" s="5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</sheetData>
  <phoneticPr fontId="8" type="noConversion"/>
  <hyperlinks>
    <hyperlink ref="P17" r:id="rId1" display="http://var.astro.cz/oejv/issues/oejv0107.pdf"/>
    <hyperlink ref="P12" r:id="rId2" display="http://www.konkoly.hu/cgi-bin/IBVS?5871"/>
    <hyperlink ref="P18" r:id="rId3" display="http://vsolj.cetus-net.org/no48.pdf"/>
    <hyperlink ref="P19" r:id="rId4" display="http://vsolj.cetus-net.org/no48.pdf"/>
    <hyperlink ref="P20" r:id="rId5" display="http://var.astro.cz/oejv/issues/oejv0107.pdf"/>
    <hyperlink ref="P13" r:id="rId6" display="http://www.konkoly.hu/cgi-bin/IBVS?5929"/>
    <hyperlink ref="P21" r:id="rId7" display="http://var.astro.cz/oejv/issues/oejv0137.pdf"/>
    <hyperlink ref="P14" r:id="rId8" display="http://www.konkoly.hu/cgi-bin/IBVS?5960"/>
    <hyperlink ref="P15" r:id="rId9" display="http://www.konkoly.hu/cgi-bin/IBVS?6011"/>
    <hyperlink ref="P16" r:id="rId10" display="http://www.konkoly.hu/cgi-bin/IBVS?609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2023-01-23T23:36:58Z</dcterms:modified>
</cp:coreProperties>
</file>