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EC142EC7-F9F5-4746-8AF2-08C5F45A4584}" xr6:coauthVersionLast="47" xr6:coauthVersionMax="47" xr10:uidLastSave="{00000000-0000-0000-0000-000000000000}"/>
  <bookViews>
    <workbookView xWindow="14760" yWindow="690" windowWidth="13320" windowHeight="14505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Q38" i="1" l="1"/>
  <c r="D9" i="1"/>
  <c r="C9" i="1"/>
  <c r="Q39" i="1"/>
  <c r="Q36" i="1"/>
  <c r="Q37" i="1"/>
  <c r="C4" i="1"/>
  <c r="C7" i="1" s="1"/>
  <c r="D4" i="1"/>
  <c r="C8" i="1" s="1"/>
  <c r="Q31" i="1"/>
  <c r="Q32" i="1"/>
  <c r="Q33" i="1"/>
  <c r="Q35" i="1"/>
  <c r="Q34" i="1"/>
  <c r="Q27" i="1"/>
  <c r="G21" i="2"/>
  <c r="C21" i="2"/>
  <c r="E21" i="2"/>
  <c r="G20" i="2"/>
  <c r="C20" i="2"/>
  <c r="G18" i="2"/>
  <c r="C18" i="2"/>
  <c r="G17" i="2"/>
  <c r="C17" i="2"/>
  <c r="G16" i="2"/>
  <c r="C16" i="2"/>
  <c r="G19" i="2"/>
  <c r="C19" i="2"/>
  <c r="G15" i="2"/>
  <c r="C15" i="2"/>
  <c r="G14" i="2"/>
  <c r="C14" i="2"/>
  <c r="G13" i="2"/>
  <c r="C13" i="2"/>
  <c r="G12" i="2"/>
  <c r="C12" i="2"/>
  <c r="G11" i="2"/>
  <c r="C11" i="2"/>
  <c r="H21" i="2"/>
  <c r="B21" i="2"/>
  <c r="D21" i="2"/>
  <c r="A21" i="2"/>
  <c r="H20" i="2"/>
  <c r="D20" i="2"/>
  <c r="B20" i="2"/>
  <c r="A20" i="2"/>
  <c r="H18" i="2"/>
  <c r="B18" i="2"/>
  <c r="D18" i="2"/>
  <c r="A18" i="2"/>
  <c r="H17" i="2"/>
  <c r="D17" i="2"/>
  <c r="B17" i="2"/>
  <c r="A17" i="2"/>
  <c r="H16" i="2"/>
  <c r="B16" i="2"/>
  <c r="D16" i="2"/>
  <c r="A16" i="2"/>
  <c r="H19" i="2"/>
  <c r="D19" i="2"/>
  <c r="B19" i="2"/>
  <c r="A19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D12" i="2"/>
  <c r="B12" i="2"/>
  <c r="A12" i="2"/>
  <c r="H11" i="2"/>
  <c r="B11" i="2"/>
  <c r="D11" i="2"/>
  <c r="A11" i="2"/>
  <c r="Q30" i="1"/>
  <c r="Q29" i="1"/>
  <c r="Q23" i="1"/>
  <c r="Q22" i="1"/>
  <c r="Q21" i="1"/>
  <c r="F16" i="1"/>
  <c r="C17" i="1"/>
  <c r="Q28" i="1"/>
  <c r="Q25" i="1"/>
  <c r="Q26" i="1"/>
  <c r="B2" i="1"/>
  <c r="Q24" i="1"/>
  <c r="E38" i="1" l="1"/>
  <c r="F38" i="1" s="1"/>
  <c r="E34" i="1"/>
  <c r="F34" i="1" s="1"/>
  <c r="G34" i="1" s="1"/>
  <c r="E37" i="1"/>
  <c r="F37" i="1" s="1"/>
  <c r="E26" i="1"/>
  <c r="E27" i="1"/>
  <c r="E23" i="1"/>
  <c r="E29" i="1"/>
  <c r="F29" i="1" s="1"/>
  <c r="G29" i="1" s="1"/>
  <c r="K29" i="1" s="1"/>
  <c r="E30" i="1"/>
  <c r="G38" i="1"/>
  <c r="K38" i="1" s="1"/>
  <c r="E22" i="1"/>
  <c r="E21" i="1"/>
  <c r="E33" i="1"/>
  <c r="F33" i="1" s="1"/>
  <c r="G33" i="1" s="1"/>
  <c r="K33" i="1" s="1"/>
  <c r="E35" i="1"/>
  <c r="F35" i="1" s="1"/>
  <c r="G35" i="1" s="1"/>
  <c r="K35" i="1" s="1"/>
  <c r="E32" i="1"/>
  <c r="F32" i="1" s="1"/>
  <c r="G32" i="1" s="1"/>
  <c r="K32" i="1" s="1"/>
  <c r="E31" i="1"/>
  <c r="E24" i="1"/>
  <c r="F24" i="1" s="1"/>
  <c r="G24" i="1" s="1"/>
  <c r="K24" i="1" s="1"/>
  <c r="E28" i="1"/>
  <c r="E25" i="1"/>
  <c r="E36" i="1"/>
  <c r="F36" i="1" s="1"/>
  <c r="G36" i="1" s="1"/>
  <c r="K36" i="1" s="1"/>
  <c r="E39" i="1"/>
  <c r="F39" i="1" s="1"/>
  <c r="G39" i="1" s="1"/>
  <c r="K39" i="1" s="1"/>
  <c r="G37" i="1"/>
  <c r="K37" i="1" s="1"/>
  <c r="F17" i="1"/>
  <c r="E17" i="2"/>
  <c r="C11" i="1"/>
  <c r="C12" i="1"/>
  <c r="C16" i="1" l="1"/>
  <c r="D18" i="1" s="1"/>
  <c r="O39" i="1"/>
  <c r="O30" i="1"/>
  <c r="O32" i="1"/>
  <c r="O37" i="1"/>
  <c r="O35" i="1"/>
  <c r="O24" i="1"/>
  <c r="O38" i="1"/>
  <c r="O34" i="1"/>
  <c r="O33" i="1"/>
  <c r="O36" i="1"/>
  <c r="O29" i="1"/>
  <c r="K34" i="1"/>
  <c r="F28" i="1"/>
  <c r="G28" i="1" s="1"/>
  <c r="K28" i="1" s="1"/>
  <c r="E16" i="2"/>
  <c r="E11" i="2"/>
  <c r="F21" i="1"/>
  <c r="G21" i="1" s="1"/>
  <c r="J21" i="1" s="1"/>
  <c r="E12" i="2"/>
  <c r="F22" i="1"/>
  <c r="G22" i="1" s="1"/>
  <c r="J22" i="1" s="1"/>
  <c r="E13" i="2"/>
  <c r="F23" i="1"/>
  <c r="G23" i="1" s="1"/>
  <c r="J23" i="1" s="1"/>
  <c r="E19" i="2"/>
  <c r="F27" i="1"/>
  <c r="G27" i="1" s="1"/>
  <c r="K27" i="1" s="1"/>
  <c r="E15" i="2"/>
  <c r="F26" i="1"/>
  <c r="G26" i="1" s="1"/>
  <c r="K26" i="1" s="1"/>
  <c r="F30" i="1"/>
  <c r="G30" i="1" s="1"/>
  <c r="K30" i="1" s="1"/>
  <c r="E18" i="2"/>
  <c r="F31" i="1"/>
  <c r="G31" i="1" s="1"/>
  <c r="K31" i="1" s="1"/>
  <c r="E20" i="2"/>
  <c r="F25" i="1"/>
  <c r="G25" i="1" s="1"/>
  <c r="K25" i="1" s="1"/>
  <c r="E14" i="2"/>
  <c r="O31" i="1" l="1"/>
  <c r="O27" i="1"/>
  <c r="O28" i="1"/>
  <c r="O22" i="1"/>
  <c r="C15" i="1"/>
  <c r="O26" i="1"/>
  <c r="O23" i="1"/>
  <c r="O21" i="1"/>
  <c r="O25" i="1"/>
  <c r="F18" i="1" l="1"/>
  <c r="F19" i="1" s="1"/>
  <c r="C18" i="1"/>
</calcChain>
</file>

<file path=xl/sharedStrings.xml><?xml version="1.0" encoding="utf-8"?>
<sst xmlns="http://schemas.openxmlformats.org/spreadsheetml/2006/main" count="185" uniqueCount="122">
  <si>
    <t>JAVSO..45..121</t>
  </si>
  <si>
    <t>JAVSO..43...77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</si>
  <si>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</si>
  <si>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</si>
  <si>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</si>
  <si>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</si>
  <si>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</si>
  <si>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</si>
  <si>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</si>
  <si>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</si>
  <si>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</si>
  <si>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</si>
  <si>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</si>
  <si>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</si>
  <si>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</si>
  <si>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</si>
  <si>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</si>
  <si>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</si>
  <si>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</si>
  <si>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</si>
  <si>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</si>
  <si>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</si>
  <si>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</si>
  <si>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</si>
  <si>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</si>
  <si>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</si>
  <si>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</si>
  <si>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</si>
  <si>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</si>
  <si>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</si>
  <si>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</si>
  <si>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</si>
  <si>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</si>
  <si>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</si>
  <si>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</si>
  <si>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</si>
  <si>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</si>
  <si>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</si>
  <si>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DS Psc / GSC 0015-0112               </t>
  </si>
  <si>
    <t xml:space="preserve">EW        </t>
  </si>
  <si>
    <t>IBVS 5871</t>
  </si>
  <si>
    <t>II</t>
  </si>
  <si>
    <t>IBVS 5929</t>
  </si>
  <si>
    <t>Add cycle</t>
  </si>
  <si>
    <t>Old Cycle</t>
  </si>
  <si>
    <t>IBVS 5296</t>
  </si>
  <si>
    <t>IBVS 5960</t>
  </si>
  <si>
    <t>IBVS 6011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</si>
  <si>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</si>
  <si>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</si>
  <si>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</si>
  <si>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</si>
  <si>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</si>
  <si>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</si>
  <si>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</si>
  <si>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</si>
  <si>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</si>
  <si>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</si>
  <si>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</si>
  <si>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2451140.3614 </t>
  </si>
  <si>
    <t> 22.11.1998 20:40 </t>
  </si>
  <si>
    <t> 0.0007 </t>
  </si>
  <si>
    <t>E </t>
  </si>
  <si>
    <t>-I</t>
  </si>
  <si>
    <t> W.Kleikamp </t>
  </si>
  <si>
    <t>BAVM 152 </t>
  </si>
  <si>
    <t>2451495.3511 </t>
  </si>
  <si>
    <t> 12.11.1999 20:25 </t>
  </si>
  <si>
    <t>-2934</t>
  </si>
  <si>
    <t> -0.0024 </t>
  </si>
  <si>
    <t>2451840.4126 </t>
  </si>
  <si>
    <t> 22.10.2000 21:54 </t>
  </si>
  <si>
    <t>-1926.5</t>
  </si>
  <si>
    <t> -0.0014 </t>
  </si>
  <si>
    <t>2454761.6990 </t>
  </si>
  <si>
    <t> 22.10.2008 04:46 </t>
  </si>
  <si>
    <t>6603</t>
  </si>
  <si>
    <t> 0.0013 </t>
  </si>
  <si>
    <t>C </t>
  </si>
  <si>
    <t> R.Diethelm </t>
  </si>
  <si>
    <t>IBVS 5871 </t>
  </si>
  <si>
    <t>2454761.8685 </t>
  </si>
  <si>
    <t> 22.10.2008 08:50 </t>
  </si>
  <si>
    <t>6603.5</t>
  </si>
  <si>
    <t> -0.0004 </t>
  </si>
  <si>
    <t>2454823.0048 </t>
  </si>
  <si>
    <t> 22.12.2008 12:06 </t>
  </si>
  <si>
    <t>6782</t>
  </si>
  <si>
    <t> 0.0011 </t>
  </si>
  <si>
    <t> K.Nakajima </t>
  </si>
  <si>
    <t>VSB 48 </t>
  </si>
  <si>
    <t>2455170.6345 </t>
  </si>
  <si>
    <t> 05.12.2009 03:13 </t>
  </si>
  <si>
    <t>7797</t>
  </si>
  <si>
    <t> 0.0016 </t>
  </si>
  <si>
    <t> R.Nelson </t>
  </si>
  <si>
    <t>IBVS 5929 </t>
  </si>
  <si>
    <t>2455527.6821 </t>
  </si>
  <si>
    <t> 27.11.2010 04:22 </t>
  </si>
  <si>
    <t>8839.5</t>
  </si>
  <si>
    <t> 0.0015 </t>
  </si>
  <si>
    <t>IBVS 5960 </t>
  </si>
  <si>
    <t>2455895.6851 </t>
  </si>
  <si>
    <t> 30.11.2011 04:26 </t>
  </si>
  <si>
    <t>9914</t>
  </si>
  <si>
    <t> -0.0029 </t>
  </si>
  <si>
    <t>IBVS 6011 </t>
  </si>
  <si>
    <t>2456561.8335 </t>
  </si>
  <si>
    <t> 26.09.2013 08:00 </t>
  </si>
  <si>
    <t>11859</t>
  </si>
  <si>
    <t> -0.0010 </t>
  </si>
  <si>
    <t> B.Manske </t>
  </si>
  <si>
    <t> JAAVSO 43-1 </t>
  </si>
  <si>
    <t>2456923.8444 </t>
  </si>
  <si>
    <t> 23.09.2014 08:15 </t>
  </si>
  <si>
    <t>12916</t>
  </si>
  <si>
    <t> -0.0040 </t>
  </si>
  <si>
    <t>IBVS 6196</t>
  </si>
  <si>
    <t>JAVSO..46..184</t>
  </si>
  <si>
    <t>JAVSO..48..256</t>
  </si>
  <si>
    <t>RHN 2021</t>
  </si>
  <si>
    <t>JAVSO 49,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</si>
</sst>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\(&quot;$&quot;#,##0\)"/>
  </numFmts>
  <fonts count="3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20" fillId="0" borderId="0"/>
    <xf numFmtId="0" fontId="6" fillId="0" borderId="0"/>
    <xf numFmtId="0" fontId="20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0" applyFo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35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DS Psc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Active!$D$21:$D$218</c:f>
                <c:numCache>
                  <c:formatCode>General</c:formatCode>
                  <c:ptCount val="19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Active!$D$21:$D$218</c:f>
                <c:numCache>
                  <c:formatCode>General</c:formatCode>
                  <c:ptCount val="19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Active!$H$21:$H$978</c:f>
              <c:numCache>
                <c:formatCode>General</c:formatCode>
                <c:ptCount val="95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32-49E5-B301-1AAE5216CAD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Active!$I$21:$I$978</c:f>
              <c:numCache>
                <c:formatCode>General</c:formatCode>
                <c:ptCount val="95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32-49E5-B301-1AAE5216CAD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Active!$J$21:$J$978</c:f>
              <c:numCache>
                <c:formatCode>General</c:formatCode>
                <c:ptCount val="958"/>
                <c:pt idx="0">
                  <c:v>7.0081000012578443E-4</c:v>
                </c:pt>
                <c:pt idx="1">
                  <c:v>-1.334120002866257E-3</c:v>
                </c:pt>
                <c:pt idx="2">
                  <c:v>6.647300033364445E-4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32-49E5-B301-1AAE5216CAD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Active!$K$21:$K$978</c:f>
              <c:numCache>
                <c:formatCode>General</c:formatCode>
                <c:ptCount val="958"/>
                <c:pt idx="3">
                  <c:v>0</c:v>
                </c:pt>
                <c:pt idx="4">
                  <c:v>1.1615539995545987E-2</c:v>
                </c:pt>
                <c:pt idx="5">
                  <c:v>9.8701299939421006E-3</c:v>
                </c:pt>
                <c:pt idx="6">
                  <c:v>1.1558760001207702E-2</c:v>
                </c:pt>
                <c:pt idx="7">
                  <c:v>1.3076459996227641E-2</c:v>
                </c:pt>
                <c:pt idx="8">
                  <c:v>1.3996609995956533E-2</c:v>
                </c:pt>
                <c:pt idx="9">
                  <c:v>1.0610520002956036E-2</c:v>
                </c:pt>
                <c:pt idx="10">
                  <c:v>1.4365620001626667E-2</c:v>
                </c:pt>
                <c:pt idx="11">
                  <c:v>1.2568879996251781E-2</c:v>
                </c:pt>
                <c:pt idx="12">
                  <c:v>1.2568879996251781E-2</c:v>
                </c:pt>
                <c:pt idx="13">
                  <c:v>1.4810459993896075E-2</c:v>
                </c:pt>
                <c:pt idx="14">
                  <c:v>1.518680000299355E-2</c:v>
                </c:pt>
                <c:pt idx="15">
                  <c:v>1.6404859998147003E-2</c:v>
                </c:pt>
                <c:pt idx="16">
                  <c:v>2.060514000186231E-2</c:v>
                </c:pt>
                <c:pt idx="17">
                  <c:v>2.2353320004185662E-2</c:v>
                </c:pt>
                <c:pt idx="18">
                  <c:v>2.589244999398943E-2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32-49E5-B301-1AAE5216CAD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Active!$L$21:$L$978</c:f>
              <c:numCache>
                <c:formatCode>General</c:formatCode>
                <c:ptCount val="95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32-49E5-B301-1AAE5216CAD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Active!$M$21:$M$978</c:f>
              <c:numCache>
                <c:formatCode>General</c:formatCode>
                <c:ptCount val="95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32-49E5-B301-1AAE5216CAD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Active!$D$21:$D$978</c:f>
                <c:numCache>
                  <c:formatCode>General</c:formatCode>
                  <c:ptCount val="958"/>
                  <c:pt idx="0">
                    <c:v>5.0000000000000001E-4</c:v>
                  </c:pt>
                  <c:pt idx="1">
                    <c:v>5.9999999999999995E-4</c:v>
                  </c:pt>
                  <c:pt idx="2">
                    <c:v>5.9999999999999995E-4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7">
                    <c:v>2.9999999999999997E-4</c:v>
                  </c:pt>
                  <c:pt idx="8">
                    <c:v>5.0000000000000001E-4</c:v>
                  </c:pt>
                  <c:pt idx="9">
                    <c:v>6.9999999999999999E-4</c:v>
                  </c:pt>
                  <c:pt idx="10">
                    <c:v>8.0000000000000004E-4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Active!$N$21:$N$978</c:f>
              <c:numCache>
                <c:formatCode>General</c:formatCode>
                <c:ptCount val="95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C32-49E5-B301-1AAE5216CAD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Active!$F$21:$F$978</c:f>
              <c:numCache>
                <c:formatCode>General</c:formatCode>
                <c:ptCount val="958"/>
                <c:pt idx="0">
                  <c:v>-3970.5</c:v>
                </c:pt>
                <c:pt idx="1">
                  <c:v>-2934</c:v>
                </c:pt>
                <c:pt idx="2">
                  <c:v>-1926.5</c:v>
                </c:pt>
                <c:pt idx="3">
                  <c:v>0</c:v>
                </c:pt>
                <c:pt idx="4">
                  <c:v>6603</c:v>
                </c:pt>
                <c:pt idx="5">
                  <c:v>6603.5</c:v>
                </c:pt>
                <c:pt idx="6">
                  <c:v>6782</c:v>
                </c:pt>
                <c:pt idx="7">
                  <c:v>7797</c:v>
                </c:pt>
                <c:pt idx="8">
                  <c:v>8839.5</c:v>
                </c:pt>
                <c:pt idx="9">
                  <c:v>9914</c:v>
                </c:pt>
                <c:pt idx="10">
                  <c:v>11859</c:v>
                </c:pt>
                <c:pt idx="11">
                  <c:v>12916</c:v>
                </c:pt>
                <c:pt idx="12">
                  <c:v>12916</c:v>
                </c:pt>
                <c:pt idx="13">
                  <c:v>14097</c:v>
                </c:pt>
                <c:pt idx="14">
                  <c:v>15260</c:v>
                </c:pt>
                <c:pt idx="15">
                  <c:v>16177</c:v>
                </c:pt>
                <c:pt idx="16">
                  <c:v>18323</c:v>
                </c:pt>
                <c:pt idx="17">
                  <c:v>19374</c:v>
                </c:pt>
                <c:pt idx="18">
                  <c:v>20527.5</c:v>
                </c:pt>
              </c:numCache>
            </c:numRef>
          </c:xVal>
          <c:yVal>
            <c:numRef>
              <c:f>Active!$O$21:$O$978</c:f>
              <c:numCache>
                <c:formatCode>General</c:formatCode>
                <c:ptCount val="958"/>
                <c:pt idx="0">
                  <c:v>-1.7956478005598644E-2</c:v>
                </c:pt>
                <c:pt idx="1">
                  <c:v>-1.6144843071797799E-2</c:v>
                </c:pt>
                <c:pt idx="2">
                  <c:v>-1.4383895463689407E-2</c:v>
                </c:pt>
                <c:pt idx="3">
                  <c:v>-1.1016683982775444E-2</c:v>
                </c:pt>
                <c:pt idx="4">
                  <c:v>5.242957257503289E-4</c:v>
                </c:pt>
                <c:pt idx="5">
                  <c:v>5.2516964515881941E-4</c:v>
                </c:pt>
                <c:pt idx="6">
                  <c:v>8.3715887398993528E-4</c:v>
                </c:pt>
                <c:pt idx="7">
                  <c:v>2.6112152732256852E-3</c:v>
                </c:pt>
                <c:pt idx="8">
                  <c:v>4.4333372399284129E-3</c:v>
                </c:pt>
                <c:pt idx="9">
                  <c:v>6.3113900487745365E-3</c:v>
                </c:pt>
                <c:pt idx="10">
                  <c:v>9.7109365478026469E-3</c:v>
                </c:pt>
                <c:pt idx="11">
                  <c:v>1.1558402177351601E-2</c:v>
                </c:pt>
                <c:pt idx="12">
                  <c:v>1.1558402177351601E-2</c:v>
                </c:pt>
                <c:pt idx="13">
                  <c:v>1.3622599820206204E-2</c:v>
                </c:pt>
                <c:pt idx="14">
                  <c:v>1.5655336364355149E-2</c:v>
                </c:pt>
                <c:pt idx="15">
                  <c:v>1.7258104559526758E-2</c:v>
                </c:pt>
                <c:pt idx="16">
                  <c:v>2.1008966660768055E-2</c:v>
                </c:pt>
                <c:pt idx="17">
                  <c:v>2.2845945257415123E-2</c:v>
                </c:pt>
                <c:pt idx="18">
                  <c:v>2.4862077332802747E-2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C32-49E5-B301-1AAE5216C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080464"/>
        <c:axId val="1"/>
      </c:scatterChart>
      <c:valAx>
        <c:axId val="75408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080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63909774436089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FC00961E-2461-5724-29F8-F65E9792D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60" TargetMode="External"/><Relationship Id="rId3" Type="http://schemas.openxmlformats.org/officeDocument/2006/relationships/hyperlink" Target="http://www.bav-astro.de/sfs/BAVM_link.php?BAVMnr=152" TargetMode="External"/><Relationship Id="rId7" Type="http://schemas.openxmlformats.org/officeDocument/2006/relationships/hyperlink" Target="http://www.konkoly.hu/cgi-bin/IBVS?5929" TargetMode="External"/><Relationship Id="rId2" Type="http://schemas.openxmlformats.org/officeDocument/2006/relationships/hyperlink" Target="http://www.bav-astro.de/sfs/BAVM_link.php?BAVMnr=152" TargetMode="External"/><Relationship Id="rId1" Type="http://schemas.openxmlformats.org/officeDocument/2006/relationships/hyperlink" Target="http://www.bav-astro.de/sfs/BAVM_link.php?BAVMnr=152" TargetMode="External"/><Relationship Id="rId6" Type="http://schemas.openxmlformats.org/officeDocument/2006/relationships/hyperlink" Target="http://vsolj.cetus-net.org/no48.pdf" TargetMode="External"/><Relationship Id="rId5" Type="http://schemas.openxmlformats.org/officeDocument/2006/relationships/hyperlink" Target="http://www.konkoly.hu/cgi-bin/IBVS?5871" TargetMode="External"/><Relationship Id="rId4" Type="http://schemas.openxmlformats.org/officeDocument/2006/relationships/hyperlink" Target="http://www.konkoly.hu/cgi-bin/IBVS?5871" TargetMode="External"/><Relationship Id="rId9" Type="http://schemas.openxmlformats.org/officeDocument/2006/relationships/hyperlink" Target="http://www.konkoly.hu/cgi-bin/IBVS?6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919"/>
  <sheetViews>
    <sheetView tabSelected="1" topLeftCell="A13" workbookViewId="0">
      <selection activeCell="A40" activeCellId="1" sqref="A38:IV38 A40:IV4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8" ht="20.25" x14ac:dyDescent="0.3">
      <c r="A1" s="1" t="s">
        <v>38</v>
      </c>
      <c r="F1" s="3">
        <v>52500.220500000003</v>
      </c>
      <c r="G1" s="3">
        <v>0.34249081999999997</v>
      </c>
      <c r="H1" s="3" t="s">
        <v>39</v>
      </c>
    </row>
    <row r="2" spans="1:8" x14ac:dyDescent="0.2">
      <c r="A2" t="s">
        <v>24</v>
      </c>
      <c r="B2" t="str">
        <f>H1</f>
        <v xml:space="preserve">EW        </v>
      </c>
      <c r="C2" s="3"/>
      <c r="D2" s="3"/>
    </row>
    <row r="3" spans="1:8" ht="13.5" thickBot="1" x14ac:dyDescent="0.25"/>
    <row r="4" spans="1:8" ht="14.25" thickTop="1" thickBot="1" x14ac:dyDescent="0.25">
      <c r="A4" s="5" t="s">
        <v>37</v>
      </c>
      <c r="C4" s="8">
        <f>F1</f>
        <v>52500.220500000003</v>
      </c>
      <c r="D4" s="9">
        <f>G1</f>
        <v>0.34249081999999997</v>
      </c>
    </row>
    <row r="5" spans="1:8" ht="13.5" thickTop="1" x14ac:dyDescent="0.2">
      <c r="A5" s="11" t="s">
        <v>29</v>
      </c>
      <c r="B5" s="12"/>
      <c r="C5" s="13">
        <v>-9.5</v>
      </c>
      <c r="D5" s="12" t="s">
        <v>30</v>
      </c>
    </row>
    <row r="6" spans="1:8" x14ac:dyDescent="0.2">
      <c r="A6" s="5" t="s">
        <v>2</v>
      </c>
    </row>
    <row r="7" spans="1:8" x14ac:dyDescent="0.2">
      <c r="A7" t="s">
        <v>3</v>
      </c>
      <c r="C7">
        <f>C4</f>
        <v>52500.220500000003</v>
      </c>
    </row>
    <row r="8" spans="1:8" x14ac:dyDescent="0.2">
      <c r="A8" t="s">
        <v>4</v>
      </c>
      <c r="C8">
        <f>D4</f>
        <v>0.34249081999999997</v>
      </c>
      <c r="D8" s="29"/>
    </row>
    <row r="9" spans="1:8" x14ac:dyDescent="0.2">
      <c r="A9" s="26" t="s">
        <v>34</v>
      </c>
      <c r="B9" s="27">
        <v>34</v>
      </c>
      <c r="C9" s="24" t="str">
        <f>"F"&amp;B9</f>
        <v>F34</v>
      </c>
      <c r="D9" s="25" t="str">
        <f>"G"&amp;B9</f>
        <v>G34</v>
      </c>
    </row>
    <row r="10" spans="1:8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8" x14ac:dyDescent="0.2">
      <c r="A11" s="12" t="s">
        <v>16</v>
      </c>
      <c r="B11" s="12"/>
      <c r="C11" s="23">
        <f ca="1">INTERCEPT(INDIRECT($D$9):G988,INDIRECT($C$9):F988)</f>
        <v>-1.1016683982775444E-2</v>
      </c>
      <c r="D11" s="3"/>
      <c r="E11" s="12"/>
    </row>
    <row r="12" spans="1:8" x14ac:dyDescent="0.2">
      <c r="A12" s="12" t="s">
        <v>17</v>
      </c>
      <c r="B12" s="12"/>
      <c r="C12" s="23">
        <f ca="1">SLOPE(INDIRECT($D$9):G988,INDIRECT($C$9):F988)</f>
        <v>1.7478388169810348E-6</v>
      </c>
      <c r="D12" s="3"/>
      <c r="E12" s="12"/>
    </row>
    <row r="13" spans="1:8" x14ac:dyDescent="0.2">
      <c r="A13" s="12" t="s">
        <v>19</v>
      </c>
      <c r="B13" s="12"/>
      <c r="C13" s="3" t="s">
        <v>14</v>
      </c>
    </row>
    <row r="14" spans="1:8" x14ac:dyDescent="0.2">
      <c r="A14" s="12"/>
      <c r="B14" s="12"/>
      <c r="C14" s="12"/>
    </row>
    <row r="15" spans="1:8" x14ac:dyDescent="0.2">
      <c r="A15" s="14" t="s">
        <v>18</v>
      </c>
      <c r="B15" s="12"/>
      <c r="C15" s="15">
        <f ca="1">(C7+C11)+(C8+C12)*INT(MAX(F21:F3529))</f>
        <v>59530.554423343419</v>
      </c>
      <c r="E15" s="16" t="s">
        <v>43</v>
      </c>
      <c r="F15" s="13">
        <v>1</v>
      </c>
    </row>
    <row r="16" spans="1:8" x14ac:dyDescent="0.2">
      <c r="A16" s="18" t="s">
        <v>5</v>
      </c>
      <c r="B16" s="12"/>
      <c r="C16" s="19">
        <f ca="1">+C8+C12</f>
        <v>0.34249256783881693</v>
      </c>
      <c r="E16" s="16" t="s">
        <v>31</v>
      </c>
      <c r="F16" s="17">
        <f ca="1">NOW()+15018.5+$C$5/24</f>
        <v>59968.526653587964</v>
      </c>
    </row>
    <row r="17" spans="1:17" ht="13.5" thickBot="1" x14ac:dyDescent="0.25">
      <c r="A17" s="16" t="s">
        <v>28</v>
      </c>
      <c r="B17" s="12"/>
      <c r="C17" s="12">
        <f>COUNT(C21:C2187)</f>
        <v>19</v>
      </c>
      <c r="E17" s="16" t="s">
        <v>44</v>
      </c>
      <c r="F17" s="17">
        <f ca="1">ROUND(2*(F16-$C$7)/$C$8,0)/2+F15</f>
        <v>21807</v>
      </c>
    </row>
    <row r="18" spans="1:17" ht="14.25" thickTop="1" thickBot="1" x14ac:dyDescent="0.25">
      <c r="A18" s="18" t="s">
        <v>6</v>
      </c>
      <c r="B18" s="12"/>
      <c r="C18" s="21">
        <f ca="1">+C15</f>
        <v>59530.554423343419</v>
      </c>
      <c r="D18" s="22">
        <f ca="1">+C16</f>
        <v>0.34249256783881693</v>
      </c>
      <c r="E18" s="16" t="s">
        <v>32</v>
      </c>
      <c r="F18" s="25">
        <f ca="1">ROUND(2*(F16-$C$15)/$C$16,0)/2+F15</f>
        <v>1280</v>
      </c>
    </row>
    <row r="19" spans="1:17" ht="13.5" thickTop="1" x14ac:dyDescent="0.2">
      <c r="E19" s="16" t="s">
        <v>33</v>
      </c>
      <c r="F19" s="20">
        <f ca="1">+$C$15+$C$16*F18-15018.5-$C$5/24</f>
        <v>44950.840743510438</v>
      </c>
    </row>
    <row r="20" spans="1:17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55</v>
      </c>
      <c r="I20" s="7" t="s">
        <v>58</v>
      </c>
      <c r="J20" s="7" t="s">
        <v>52</v>
      </c>
      <c r="K20" s="7" t="s">
        <v>50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x14ac:dyDescent="0.2">
      <c r="A21" s="57" t="s">
        <v>45</v>
      </c>
      <c r="B21" s="58"/>
      <c r="C21" s="59">
        <v>51140.361400000002</v>
      </c>
      <c r="D21" s="59">
        <v>5.0000000000000001E-4</v>
      </c>
      <c r="E21">
        <f>+(C21-C$7)/C$8</f>
        <v>-3970.4979537845761</v>
      </c>
      <c r="F21">
        <f>ROUND(2*E21,0)/2</f>
        <v>-3970.5</v>
      </c>
      <c r="G21">
        <f>+C21-(C$7+F21*C$8)</f>
        <v>7.0081000012578443E-4</v>
      </c>
      <c r="J21">
        <f>+G21</f>
        <v>7.0081000012578443E-4</v>
      </c>
      <c r="O21">
        <f ca="1">+C$11+C$12*$F21</f>
        <v>-1.7956478005598644E-2</v>
      </c>
      <c r="Q21" s="2">
        <f>+C21-15018.5</f>
        <v>36121.861400000002</v>
      </c>
    </row>
    <row r="22" spans="1:17" x14ac:dyDescent="0.2">
      <c r="A22" s="57" t="s">
        <v>45</v>
      </c>
      <c r="B22" s="58"/>
      <c r="C22" s="59">
        <v>51495.3511</v>
      </c>
      <c r="D22" s="59">
        <v>5.9999999999999995E-4</v>
      </c>
      <c r="E22">
        <f>+(C22-C$7)/C$8</f>
        <v>-2934.0038953452922</v>
      </c>
      <c r="F22">
        <f>ROUND(2*E22,0)/2</f>
        <v>-2934</v>
      </c>
      <c r="G22">
        <f>+C22-(C$7+F22*C$8)</f>
        <v>-1.334120002866257E-3</v>
      </c>
      <c r="J22">
        <f>+G22</f>
        <v>-1.334120002866257E-3</v>
      </c>
      <c r="O22">
        <f ca="1">+C$11+C$12*$F22</f>
        <v>-1.6144843071797799E-2</v>
      </c>
      <c r="Q22" s="2">
        <f>+C22-15018.5</f>
        <v>36476.8511</v>
      </c>
    </row>
    <row r="23" spans="1:17" x14ac:dyDescent="0.2">
      <c r="A23" s="57" t="s">
        <v>45</v>
      </c>
      <c r="B23" s="58"/>
      <c r="C23" s="59">
        <v>51840.412600000003</v>
      </c>
      <c r="D23" s="59">
        <v>5.9999999999999995E-4</v>
      </c>
      <c r="E23">
        <f>+(C23-C$7)/C$8</f>
        <v>-1926.4980591304602</v>
      </c>
      <c r="F23">
        <f>ROUND(2*E23,0)/2</f>
        <v>-1926.5</v>
      </c>
      <c r="G23">
        <f>+C23-(C$7+F23*C$8)</f>
        <v>6.647300033364445E-4</v>
      </c>
      <c r="J23">
        <f>+G23</f>
        <v>6.647300033364445E-4</v>
      </c>
      <c r="O23">
        <f ca="1">+C$11+C$12*$F23</f>
        <v>-1.4383895463689407E-2</v>
      </c>
      <c r="Q23" s="2">
        <f>+C23-15018.5</f>
        <v>36821.912600000003</v>
      </c>
    </row>
    <row r="24" spans="1:17" x14ac:dyDescent="0.2">
      <c r="A24" s="31" t="s">
        <v>36</v>
      </c>
      <c r="B24" s="30" t="s">
        <v>35</v>
      </c>
      <c r="C24" s="31">
        <v>52500.220500000003</v>
      </c>
      <c r="D24" s="28"/>
      <c r="E24">
        <f>+(C24-C$7)/C$8</f>
        <v>0</v>
      </c>
      <c r="F24">
        <f>ROUND(2*E24,0)/2</f>
        <v>0</v>
      </c>
      <c r="G24">
        <f>+C24-(C$7+F24*C$8)</f>
        <v>0</v>
      </c>
      <c r="K24">
        <f>+G24</f>
        <v>0</v>
      </c>
      <c r="O24">
        <f ca="1">+C$11+C$12*$F24</f>
        <v>-1.1016683982775444E-2</v>
      </c>
      <c r="Q24" s="2">
        <f>+C24-15018.5</f>
        <v>37481.720500000003</v>
      </c>
    </row>
    <row r="25" spans="1:17" x14ac:dyDescent="0.2">
      <c r="A25" s="31" t="s">
        <v>40</v>
      </c>
      <c r="B25" s="30" t="s">
        <v>35</v>
      </c>
      <c r="C25" s="31">
        <v>54761.699000000001</v>
      </c>
      <c r="D25" s="31">
        <v>4.0000000000000002E-4</v>
      </c>
      <c r="E25">
        <f>+(C25-C$7)/C$8</f>
        <v>6603.0339148944131</v>
      </c>
      <c r="F25">
        <f>ROUND(2*E25,0)/2</f>
        <v>6603</v>
      </c>
      <c r="G25">
        <f>+C25-(C$7+F25*C$8)</f>
        <v>1.1615539995545987E-2</v>
      </c>
      <c r="K25">
        <f>+G25</f>
        <v>1.1615539995545987E-2</v>
      </c>
      <c r="O25">
        <f ca="1">+C$11+C$12*$F25</f>
        <v>5.242957257503289E-4</v>
      </c>
      <c r="Q25" s="2">
        <f>+C25-15018.5</f>
        <v>39743.199000000001</v>
      </c>
    </row>
    <row r="26" spans="1:17" x14ac:dyDescent="0.2">
      <c r="A26" s="31" t="s">
        <v>40</v>
      </c>
      <c r="B26" s="30" t="s">
        <v>41</v>
      </c>
      <c r="C26" s="31">
        <v>54761.868499999997</v>
      </c>
      <c r="D26" s="31">
        <v>2.9999999999999997E-4</v>
      </c>
      <c r="E26">
        <f>+(C26-C$7)/C$8</f>
        <v>6603.5288186702173</v>
      </c>
      <c r="F26">
        <f>ROUND(2*E26,0)/2</f>
        <v>6603.5</v>
      </c>
      <c r="G26">
        <f>+C26-(C$7+F26*C$8)</f>
        <v>9.8701299939421006E-3</v>
      </c>
      <c r="K26">
        <f>+G26</f>
        <v>9.8701299939421006E-3</v>
      </c>
      <c r="O26">
        <f ca="1">+C$11+C$12*$F26</f>
        <v>5.2516964515881941E-4</v>
      </c>
      <c r="Q26" s="2">
        <f>+C26-15018.5</f>
        <v>39743.368499999997</v>
      </c>
    </row>
    <row r="27" spans="1:17" x14ac:dyDescent="0.2">
      <c r="A27" s="46" t="s">
        <v>90</v>
      </c>
      <c r="B27" s="48" t="s">
        <v>35</v>
      </c>
      <c r="C27" s="47">
        <v>54823.004800000002</v>
      </c>
      <c r="D27" s="10"/>
      <c r="E27">
        <f>+(C27-C$7)/C$8</f>
        <v>6782.0337491089531</v>
      </c>
      <c r="F27">
        <f>ROUND(2*E27,0)/2</f>
        <v>6782</v>
      </c>
      <c r="G27">
        <f>+C27-(C$7+F27*C$8)</f>
        <v>1.1558760001207702E-2</v>
      </c>
      <c r="K27">
        <f>+G27</f>
        <v>1.1558760001207702E-2</v>
      </c>
      <c r="O27">
        <f ca="1">+C$11+C$12*$F27</f>
        <v>8.3715887398993528E-4</v>
      </c>
      <c r="Q27" s="2">
        <f>+C27-15018.5</f>
        <v>39804.504800000002</v>
      </c>
    </row>
    <row r="28" spans="1:17" x14ac:dyDescent="0.2">
      <c r="A28" s="32" t="s">
        <v>42</v>
      </c>
      <c r="C28" s="10">
        <v>55170.6345</v>
      </c>
      <c r="D28" s="10">
        <v>2.9999999999999997E-4</v>
      </c>
      <c r="E28">
        <f>+(C28-C$7)/C$8</f>
        <v>7797.0381804685958</v>
      </c>
      <c r="F28">
        <f>ROUND(2*E28,0)/2</f>
        <v>7797</v>
      </c>
      <c r="G28">
        <f>+C28-(C$7+F28*C$8)</f>
        <v>1.3076459996227641E-2</v>
      </c>
      <c r="K28">
        <f>+G28</f>
        <v>1.3076459996227641E-2</v>
      </c>
      <c r="O28">
        <f ca="1">+C$11+C$12*$F28</f>
        <v>2.6112152732256852E-3</v>
      </c>
      <c r="Q28" s="2">
        <f>+C28-15018.5</f>
        <v>40152.1345</v>
      </c>
    </row>
    <row r="29" spans="1:17" x14ac:dyDescent="0.2">
      <c r="A29" s="49" t="s">
        <v>46</v>
      </c>
      <c r="B29" s="50" t="s">
        <v>41</v>
      </c>
      <c r="C29" s="51">
        <v>55527.682099999998</v>
      </c>
      <c r="D29" s="51">
        <v>5.0000000000000001E-4</v>
      </c>
      <c r="E29">
        <f>+(C29-C$7)/C$8</f>
        <v>8839.5408671099431</v>
      </c>
      <c r="F29">
        <f>ROUND(2*E29,0)/2</f>
        <v>8839.5</v>
      </c>
      <c r="G29">
        <f>+C29-(C$7+F29*C$8)</f>
        <v>1.3996609995956533E-2</v>
      </c>
      <c r="K29">
        <f>+G29</f>
        <v>1.3996609995956533E-2</v>
      </c>
      <c r="O29">
        <f ca="1">+C$11+C$12*$F29</f>
        <v>4.4333372399284129E-3</v>
      </c>
      <c r="Q29" s="2">
        <f>+C29-15018.5</f>
        <v>40509.182099999998</v>
      </c>
    </row>
    <row r="30" spans="1:17" x14ac:dyDescent="0.2">
      <c r="A30" s="52" t="s">
        <v>47</v>
      </c>
      <c r="B30" s="53" t="s">
        <v>35</v>
      </c>
      <c r="C30" s="52">
        <v>55895.685100000002</v>
      </c>
      <c r="D30" s="52">
        <v>6.9999999999999999E-4</v>
      </c>
      <c r="E30">
        <f>+(C30-C$7)/C$8</f>
        <v>9914.0309804508033</v>
      </c>
      <c r="F30">
        <f>ROUND(2*E30,0)/2</f>
        <v>9914</v>
      </c>
      <c r="G30">
        <f>+C30-(C$7+F30*C$8)</f>
        <v>1.0610520002956036E-2</v>
      </c>
      <c r="K30">
        <f>+G30</f>
        <v>1.0610520002956036E-2</v>
      </c>
      <c r="O30">
        <f ca="1">+C$11+C$12*$F30</f>
        <v>6.3113900487745365E-3</v>
      </c>
      <c r="Q30" s="2">
        <f>+C30-15018.5</f>
        <v>40877.185100000002</v>
      </c>
    </row>
    <row r="31" spans="1:17" x14ac:dyDescent="0.2">
      <c r="A31" s="60" t="s">
        <v>1</v>
      </c>
      <c r="B31" s="61" t="s">
        <v>35</v>
      </c>
      <c r="C31" s="60">
        <v>56561.833500000001</v>
      </c>
      <c r="D31" s="60">
        <v>8.0000000000000004E-4</v>
      </c>
      <c r="E31">
        <f>+(C31-C$7)/C$8</f>
        <v>11859.041944540288</v>
      </c>
      <c r="F31">
        <f>ROUND(2*E31,0)/2</f>
        <v>11859</v>
      </c>
      <c r="G31">
        <f>+C31-(C$7+F31*C$8)</f>
        <v>1.4365620001626667E-2</v>
      </c>
      <c r="K31">
        <f>+G31</f>
        <v>1.4365620001626667E-2</v>
      </c>
      <c r="O31">
        <f ca="1">+C$11+C$12*$F31</f>
        <v>9.7109365478026469E-3</v>
      </c>
      <c r="Q31" s="2">
        <f>+C31-15018.5</f>
        <v>41543.333500000001</v>
      </c>
    </row>
    <row r="32" spans="1:17" x14ac:dyDescent="0.2">
      <c r="A32" s="60" t="s">
        <v>1</v>
      </c>
      <c r="B32" s="61" t="s">
        <v>35</v>
      </c>
      <c r="C32" s="60">
        <v>56923.844499999999</v>
      </c>
      <c r="D32" s="60">
        <v>4.0000000000000002E-4</v>
      </c>
      <c r="E32">
        <f>+(C32-C$7)/C$8</f>
        <v>12916.03669844347</v>
      </c>
      <c r="F32">
        <f>ROUND(2*E32,0)/2</f>
        <v>12916</v>
      </c>
      <c r="G32">
        <f>+C32-(C$7+F32*C$8)</f>
        <v>1.2568879996251781E-2</v>
      </c>
      <c r="K32">
        <f>+G32</f>
        <v>1.2568879996251781E-2</v>
      </c>
      <c r="O32">
        <f ca="1">+C$11+C$12*$F32</f>
        <v>1.1558402177351601E-2</v>
      </c>
      <c r="Q32" s="2">
        <f>+C32-15018.5</f>
        <v>41905.344499999999</v>
      </c>
    </row>
    <row r="33" spans="1:17" x14ac:dyDescent="0.2">
      <c r="A33" s="60" t="s">
        <v>1</v>
      </c>
      <c r="B33" s="61" t="s">
        <v>35</v>
      </c>
      <c r="C33" s="60">
        <v>56923.844499999999</v>
      </c>
      <c r="D33" s="60">
        <v>4.0000000000000002E-4</v>
      </c>
      <c r="E33">
        <f>+(C33-C$7)/C$8</f>
        <v>12916.03669844347</v>
      </c>
      <c r="F33">
        <f>ROUND(2*E33,0)/2</f>
        <v>12916</v>
      </c>
      <c r="G33">
        <f>+C33-(C$7+F33*C$8)</f>
        <v>1.2568879996251781E-2</v>
      </c>
      <c r="K33">
        <f>+G33</f>
        <v>1.2568879996251781E-2</v>
      </c>
      <c r="O33">
        <f ca="1">+C$11+C$12*$F33</f>
        <v>1.1558402177351601E-2</v>
      </c>
      <c r="Q33" s="2">
        <f>+C33-15018.5</f>
        <v>41905.344499999999</v>
      </c>
    </row>
    <row r="34" spans="1:17" x14ac:dyDescent="0.2">
      <c r="A34" s="54" t="s">
        <v>117</v>
      </c>
      <c r="B34" s="55" t="s">
        <v>35</v>
      </c>
      <c r="C34" s="56">
        <v>57328.328399999999</v>
      </c>
      <c r="D34" s="56">
        <v>2.9999999999999997E-4</v>
      </c>
      <c r="E34">
        <f>+(C34-C$7)/C$8</f>
        <v>14097.043243378015</v>
      </c>
      <c r="F34">
        <f>ROUND(2*E34,0)/2</f>
        <v>14097</v>
      </c>
      <c r="G34">
        <f>+C34-(C$7+F34*C$8)</f>
        <v>1.4810459993896075E-2</v>
      </c>
      <c r="K34">
        <f>+G34</f>
        <v>1.4810459993896075E-2</v>
      </c>
      <c r="O34">
        <f ca="1">+C$11+C$12*$F34</f>
        <v>1.3622599820206204E-2</v>
      </c>
      <c r="Q34" s="2">
        <f>+C34-15018.5</f>
        <v>42309.828399999999</v>
      </c>
    </row>
    <row r="35" spans="1:17" x14ac:dyDescent="0.2">
      <c r="A35" s="60" t="s">
        <v>0</v>
      </c>
      <c r="B35" s="61" t="s">
        <v>35</v>
      </c>
      <c r="C35" s="60">
        <v>57726.645600000003</v>
      </c>
      <c r="D35" s="60">
        <v>1E-4</v>
      </c>
      <c r="E35">
        <f>+(C35-C$7)/C$8</f>
        <v>15260.0443422104</v>
      </c>
      <c r="F35">
        <f>ROUND(2*E35,0)/2</f>
        <v>15260</v>
      </c>
      <c r="G35">
        <f>+C35-(C$7+F35*C$8)</f>
        <v>1.518680000299355E-2</v>
      </c>
      <c r="K35">
        <f>+G35</f>
        <v>1.518680000299355E-2</v>
      </c>
      <c r="O35">
        <f ca="1">+C$11+C$12*$F35</f>
        <v>1.5655336364355149E-2</v>
      </c>
      <c r="Q35" s="2">
        <f>+C35-15018.5</f>
        <v>42708.145600000003</v>
      </c>
    </row>
    <row r="36" spans="1:17" x14ac:dyDescent="0.2">
      <c r="A36" s="62" t="s">
        <v>118</v>
      </c>
      <c r="B36" s="63" t="s">
        <v>35</v>
      </c>
      <c r="C36" s="64">
        <v>58040.710899999998</v>
      </c>
      <c r="D36" s="64">
        <v>1E-4</v>
      </c>
      <c r="E36">
        <f>+(C36-C$7)/C$8</f>
        <v>16177.047898685272</v>
      </c>
      <c r="F36">
        <f>ROUND(2*E36,0)/2</f>
        <v>16177</v>
      </c>
      <c r="G36">
        <f>+C36-(C$7+F36*C$8)</f>
        <v>1.6404859998147003E-2</v>
      </c>
      <c r="K36">
        <f>+G36</f>
        <v>1.6404859998147003E-2</v>
      </c>
      <c r="O36">
        <f ca="1">+C$11+C$12*$F36</f>
        <v>1.7258104559526758E-2</v>
      </c>
      <c r="Q36" s="2">
        <f>+C36-15018.5</f>
        <v>43022.210899999998</v>
      </c>
    </row>
    <row r="37" spans="1:17" x14ac:dyDescent="0.2">
      <c r="A37" s="65" t="s">
        <v>119</v>
      </c>
      <c r="B37" s="66" t="s">
        <v>35</v>
      </c>
      <c r="C37" s="67">
        <v>58775.700400000002</v>
      </c>
      <c r="D37" s="67">
        <v>2.0000000000000001E-4</v>
      </c>
      <c r="E37">
        <f>+(C37-C$7)/C$8</f>
        <v>18323.06016260523</v>
      </c>
      <c r="F37">
        <f>ROUND(2*E37,0)/2</f>
        <v>18323</v>
      </c>
      <c r="G37">
        <f>+C37-(C$7+F37*C$8)</f>
        <v>2.060514000186231E-2</v>
      </c>
      <c r="K37">
        <f>+G37</f>
        <v>2.060514000186231E-2</v>
      </c>
      <c r="O37">
        <f ca="1">+C$11+C$12*$F37</f>
        <v>2.1008966660768055E-2</v>
      </c>
      <c r="Q37" s="2">
        <f>+C37-15018.5</f>
        <v>43757.200400000002</v>
      </c>
    </row>
    <row r="38" spans="1:17" ht="12" customHeight="1" x14ac:dyDescent="0.2">
      <c r="A38" s="62" t="s">
        <v>121</v>
      </c>
      <c r="B38" s="63" t="s">
        <v>35</v>
      </c>
      <c r="C38" s="64">
        <v>59135.66</v>
      </c>
      <c r="D38" s="64">
        <v>1E-4</v>
      </c>
      <c r="E38">
        <f>+(C38-C$7)/C$8</f>
        <v>19374.06526691723</v>
      </c>
      <c r="F38">
        <f>ROUND(2*E38,0)/2</f>
        <v>19374</v>
      </c>
      <c r="G38">
        <f>+C38-(C$7+F38*C$8)</f>
        <v>2.2353320004185662E-2</v>
      </c>
      <c r="K38">
        <f>+G38</f>
        <v>2.2353320004185662E-2</v>
      </c>
      <c r="O38">
        <f ca="1">+C$11+C$12*$F38</f>
        <v>2.2845945257415123E-2</v>
      </c>
      <c r="Q38" s="2">
        <f>+C38-15018.5</f>
        <v>44117.16</v>
      </c>
    </row>
    <row r="39" spans="1:17" ht="12" customHeight="1" x14ac:dyDescent="0.2">
      <c r="A39" s="5" t="s">
        <v>120</v>
      </c>
      <c r="C39" s="10">
        <v>59530.726699999999</v>
      </c>
      <c r="D39" s="10">
        <v>2.0000000000000001E-4</v>
      </c>
      <c r="E39">
        <f>+(C39-C$7)/C$8</f>
        <v>20527.575600420463</v>
      </c>
      <c r="F39">
        <f>ROUND(2*E39,0)/2</f>
        <v>20527.5</v>
      </c>
      <c r="G39">
        <f>+C39-(C$7+F39*C$8)</f>
        <v>2.589244999398943E-2</v>
      </c>
      <c r="K39">
        <f>+G39</f>
        <v>2.589244999398943E-2</v>
      </c>
      <c r="O39">
        <f ca="1">+C$11+C$12*$F39</f>
        <v>2.4862077332802747E-2</v>
      </c>
      <c r="Q39" s="2">
        <f>+C39-15018.5</f>
        <v>44512.226699999999</v>
      </c>
    </row>
    <row r="40" spans="1:17" ht="12" customHeight="1" x14ac:dyDescent="0.2">
      <c r="C40" s="10"/>
      <c r="D40" s="10"/>
    </row>
    <row r="41" spans="1:17" ht="12" customHeight="1" x14ac:dyDescent="0.2">
      <c r="C41" s="10"/>
      <c r="D41" s="10"/>
    </row>
    <row r="42" spans="1:17" ht="12" customHeight="1" x14ac:dyDescent="0.2">
      <c r="C42" s="10"/>
      <c r="D42" s="10"/>
    </row>
    <row r="43" spans="1:17" x14ac:dyDescent="0.2">
      <c r="C43" s="10"/>
      <c r="D43" s="10"/>
    </row>
    <row r="44" spans="1:17" x14ac:dyDescent="0.2">
      <c r="C44" s="10"/>
      <c r="D44" s="10"/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</sheetData>
  <protectedRanges>
    <protectedRange sqref="A36:D37" name="Range1"/>
  </protectedRanges>
  <sortState xmlns:xlrd2="http://schemas.microsoft.com/office/spreadsheetml/2017/richdata2" ref="A21:Q40">
    <sortCondition ref="C21:C40"/>
  </sortState>
  <phoneticPr fontId="8" type="noConversion"/>
  <hyperlinks>
    <hyperlink ref="H63219" r:id="rId1" display="http://vsolj.cetus-net.org/bulletin.html"/>
    <hyperlink ref="H63212" r:id="rId2" display="https://www.aavso.org/ejaavso"/>
    <hyperlink ref="I63219" r:id="rId3" display="http://vsolj.cetus-net.org/bulletin.html"/>
    <hyperlink ref="AQ56870" r:id="rId4" display="http://cdsbib.u-strasbg.fr/cgi-bin/cdsbib?1990RMxAA..21..381G"/>
    <hyperlink ref="H63216" r:id="rId5" display="https://www.aavso.org/ejaavso"/>
    <hyperlink ref="AP4234" r:id="rId6" display="http://cdsbib.u-strasbg.fr/cgi-bin/cdsbib?1990RMxAA..21..381G"/>
    <hyperlink ref="AP4237" r:id="rId7" display="http://cdsbib.u-strasbg.fr/cgi-bin/cdsbib?1990RMxAA..21..381G"/>
    <hyperlink ref="AP4235" r:id="rId8" display="http://cdsbib.u-strasbg.fr/cgi-bin/cdsbib?1990RMxAA..21..381G"/>
    <hyperlink ref="AP4219" r:id="rId9" display="http://cdsbib.u-strasbg.fr/cgi-bin/cdsbib?1990RMxAA..21..381G"/>
    <hyperlink ref="AQ4448" r:id="rId10" display="http://cdsbib.u-strasbg.fr/cgi-bin/cdsbib?1990RMxAA..21..381G"/>
    <hyperlink ref="AQ4452" r:id="rId11" display="http://cdsbib.u-strasbg.fr/cgi-bin/cdsbib?1990RMxAA..21..381G"/>
    <hyperlink ref="AQ64132" r:id="rId12" display="http://cdsbib.u-strasbg.fr/cgi-bin/cdsbib?1990RMxAA..21..381G"/>
    <hyperlink ref="I1340" r:id="rId13" display="http://vsolj.cetus-net.org/bulletin.html"/>
    <hyperlink ref="H1340" r:id="rId14" display="http://vsolj.cetus-net.org/bulletin.html"/>
    <hyperlink ref="AQ64793" r:id="rId15" display="http://cdsbib.u-strasbg.fr/cgi-bin/cdsbib?1990RMxAA..21..381G"/>
    <hyperlink ref="AQ64792" r:id="rId16" display="http://cdsbib.u-strasbg.fr/cgi-bin/cdsbib?1990RMxAA..21..381G"/>
    <hyperlink ref="AP2510" r:id="rId17" display="http://cdsbib.u-strasbg.fr/cgi-bin/cdsbib?1990RMxAA..21..381G"/>
    <hyperlink ref="AP2528" r:id="rId18" display="http://cdsbib.u-strasbg.fr/cgi-bin/cdsbib?1990RMxAA..21..381G"/>
    <hyperlink ref="AP2529" r:id="rId19" display="http://cdsbib.u-strasbg.fr/cgi-bin/cdsbib?1990RMxAA..21..381G"/>
    <hyperlink ref="AP2525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84"/>
  <sheetViews>
    <sheetView workbookViewId="0">
      <selection activeCell="A19" sqref="A19:C21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3" t="s">
        <v>48</v>
      </c>
      <c r="I1" s="34" t="s">
        <v>49</v>
      </c>
      <c r="J1" s="35" t="s">
        <v>50</v>
      </c>
    </row>
    <row r="2" spans="1:16" x14ac:dyDescent="0.2">
      <c r="I2" s="36" t="s">
        <v>51</v>
      </c>
      <c r="J2" s="37" t="s">
        <v>52</v>
      </c>
    </row>
    <row r="3" spans="1:16" x14ac:dyDescent="0.2">
      <c r="A3" s="38" t="s">
        <v>53</v>
      </c>
      <c r="I3" s="36" t="s">
        <v>54</v>
      </c>
      <c r="J3" s="37" t="s">
        <v>55</v>
      </c>
    </row>
    <row r="4" spans="1:16" x14ac:dyDescent="0.2">
      <c r="I4" s="36" t="s">
        <v>56</v>
      </c>
      <c r="J4" s="37" t="s">
        <v>55</v>
      </c>
    </row>
    <row r="5" spans="1:16" ht="13.5" thickBot="1" x14ac:dyDescent="0.25">
      <c r="I5" s="39" t="s">
        <v>57</v>
      </c>
      <c r="J5" s="40" t="s">
        <v>58</v>
      </c>
    </row>
    <row r="10" spans="1:16" ht="13.5" thickBot="1" x14ac:dyDescent="0.25"/>
    <row r="11" spans="1:16" ht="12.75" customHeight="1" thickBot="1" x14ac:dyDescent="0.25">
      <c r="A11" s="10" t="str">
        <f t="shared" ref="A11:A21" si="0">P11</f>
        <v>BAVM 152 </v>
      </c>
      <c r="B11" s="3" t="str">
        <f t="shared" ref="B11:B21" si="1">IF(H11=INT(H11),"I","II")</f>
        <v>II</v>
      </c>
      <c r="C11" s="10">
        <f t="shared" ref="C11:C21" si="2">1*G11</f>
        <v>51140.361400000002</v>
      </c>
      <c r="D11" s="12" t="str">
        <f t="shared" ref="D11:D21" si="3">VLOOKUP(F11,I$1:J$5,2,FALSE)</f>
        <v>vis</v>
      </c>
      <c r="E11" s="41">
        <f>VLOOKUP(C11,Active!C$21:E$969,3,FALSE)</f>
        <v>-3970.4979537845761</v>
      </c>
      <c r="F11" s="3" t="s">
        <v>57</v>
      </c>
      <c r="G11" s="12" t="str">
        <f t="shared" ref="G11:G21" si="4">MID(I11,3,LEN(I11)-3)</f>
        <v>51140.3614</v>
      </c>
      <c r="H11" s="10">
        <f t="shared" ref="H11:H21" si="5">1*K11</f>
        <v>-3970.5</v>
      </c>
      <c r="I11" s="42" t="s">
        <v>59</v>
      </c>
      <c r="J11" s="43" t="s">
        <v>60</v>
      </c>
      <c r="K11" s="42">
        <v>-3970.5</v>
      </c>
      <c r="L11" s="42" t="s">
        <v>61</v>
      </c>
      <c r="M11" s="43" t="s">
        <v>62</v>
      </c>
      <c r="N11" s="43" t="s">
        <v>63</v>
      </c>
      <c r="O11" s="44" t="s">
        <v>64</v>
      </c>
      <c r="P11" s="45" t="s">
        <v>65</v>
      </c>
    </row>
    <row r="12" spans="1:16" ht="12.75" customHeight="1" thickBot="1" x14ac:dyDescent="0.25">
      <c r="A12" s="10" t="str">
        <f t="shared" si="0"/>
        <v>BAVM 152 </v>
      </c>
      <c r="B12" s="3" t="str">
        <f t="shared" si="1"/>
        <v>I</v>
      </c>
      <c r="C12" s="10">
        <f t="shared" si="2"/>
        <v>51495.3511</v>
      </c>
      <c r="D12" s="12" t="str">
        <f t="shared" si="3"/>
        <v>vis</v>
      </c>
      <c r="E12" s="41">
        <f>VLOOKUP(C12,Active!C$21:E$969,3,FALSE)</f>
        <v>-2934.0038953452922</v>
      </c>
      <c r="F12" s="3" t="s">
        <v>57</v>
      </c>
      <c r="G12" s="12" t="str">
        <f t="shared" si="4"/>
        <v>51495.3511</v>
      </c>
      <c r="H12" s="10">
        <f t="shared" si="5"/>
        <v>-2934</v>
      </c>
      <c r="I12" s="42" t="s">
        <v>66</v>
      </c>
      <c r="J12" s="43" t="s">
        <v>67</v>
      </c>
      <c r="K12" s="42" t="s">
        <v>68</v>
      </c>
      <c r="L12" s="42" t="s">
        <v>69</v>
      </c>
      <c r="M12" s="43" t="s">
        <v>62</v>
      </c>
      <c r="N12" s="43" t="s">
        <v>63</v>
      </c>
      <c r="O12" s="44" t="s">
        <v>64</v>
      </c>
      <c r="P12" s="45" t="s">
        <v>65</v>
      </c>
    </row>
    <row r="13" spans="1:16" ht="12.75" customHeight="1" thickBot="1" x14ac:dyDescent="0.25">
      <c r="A13" s="10" t="str">
        <f t="shared" si="0"/>
        <v>BAVM 152 </v>
      </c>
      <c r="B13" s="3" t="str">
        <f t="shared" si="1"/>
        <v>II</v>
      </c>
      <c r="C13" s="10">
        <f t="shared" si="2"/>
        <v>51840.412600000003</v>
      </c>
      <c r="D13" s="12" t="str">
        <f t="shared" si="3"/>
        <v>vis</v>
      </c>
      <c r="E13" s="41">
        <f>VLOOKUP(C13,Active!C$21:E$969,3,FALSE)</f>
        <v>-1926.4980591304602</v>
      </c>
      <c r="F13" s="3" t="s">
        <v>57</v>
      </c>
      <c r="G13" s="12" t="str">
        <f t="shared" si="4"/>
        <v>51840.4126</v>
      </c>
      <c r="H13" s="10">
        <f t="shared" si="5"/>
        <v>-1926.5</v>
      </c>
      <c r="I13" s="42" t="s">
        <v>70</v>
      </c>
      <c r="J13" s="43" t="s">
        <v>71</v>
      </c>
      <c r="K13" s="42" t="s">
        <v>72</v>
      </c>
      <c r="L13" s="42" t="s">
        <v>73</v>
      </c>
      <c r="M13" s="43" t="s">
        <v>62</v>
      </c>
      <c r="N13" s="43" t="s">
        <v>63</v>
      </c>
      <c r="O13" s="44" t="s">
        <v>64</v>
      </c>
      <c r="P13" s="45" t="s">
        <v>65</v>
      </c>
    </row>
    <row r="14" spans="1:16" ht="12.75" customHeight="1" thickBot="1" x14ac:dyDescent="0.25">
      <c r="A14" s="10" t="str">
        <f t="shared" si="0"/>
        <v>IBVS 5871 </v>
      </c>
      <c r="B14" s="3" t="str">
        <f t="shared" si="1"/>
        <v>I</v>
      </c>
      <c r="C14" s="10">
        <f t="shared" si="2"/>
        <v>54761.699000000001</v>
      </c>
      <c r="D14" s="12" t="str">
        <f t="shared" si="3"/>
        <v>vis</v>
      </c>
      <c r="E14" s="41">
        <f>VLOOKUP(C14,Active!C$21:E$969,3,FALSE)</f>
        <v>6603.0339148944131</v>
      </c>
      <c r="F14" s="3" t="s">
        <v>57</v>
      </c>
      <c r="G14" s="12" t="str">
        <f t="shared" si="4"/>
        <v>54761.6990</v>
      </c>
      <c r="H14" s="10">
        <f t="shared" si="5"/>
        <v>6603</v>
      </c>
      <c r="I14" s="42" t="s">
        <v>74</v>
      </c>
      <c r="J14" s="43" t="s">
        <v>75</v>
      </c>
      <c r="K14" s="42" t="s">
        <v>76</v>
      </c>
      <c r="L14" s="42" t="s">
        <v>77</v>
      </c>
      <c r="M14" s="43" t="s">
        <v>78</v>
      </c>
      <c r="N14" s="43" t="s">
        <v>57</v>
      </c>
      <c r="O14" s="44" t="s">
        <v>79</v>
      </c>
      <c r="P14" s="45" t="s">
        <v>80</v>
      </c>
    </row>
    <row r="15" spans="1:16" ht="12.75" customHeight="1" thickBot="1" x14ac:dyDescent="0.25">
      <c r="A15" s="10" t="str">
        <f t="shared" si="0"/>
        <v>IBVS 5871 </v>
      </c>
      <c r="B15" s="3" t="str">
        <f t="shared" si="1"/>
        <v>II</v>
      </c>
      <c r="C15" s="10">
        <f t="shared" si="2"/>
        <v>54761.868499999997</v>
      </c>
      <c r="D15" s="12" t="str">
        <f t="shared" si="3"/>
        <v>vis</v>
      </c>
      <c r="E15" s="41">
        <f>VLOOKUP(C15,Active!C$21:E$969,3,FALSE)</f>
        <v>6603.5288186702173</v>
      </c>
      <c r="F15" s="3" t="s">
        <v>57</v>
      </c>
      <c r="G15" s="12" t="str">
        <f t="shared" si="4"/>
        <v>54761.8685</v>
      </c>
      <c r="H15" s="10">
        <f t="shared" si="5"/>
        <v>6603.5</v>
      </c>
      <c r="I15" s="42" t="s">
        <v>81</v>
      </c>
      <c r="J15" s="43" t="s">
        <v>82</v>
      </c>
      <c r="K15" s="42" t="s">
        <v>83</v>
      </c>
      <c r="L15" s="42" t="s">
        <v>84</v>
      </c>
      <c r="M15" s="43" t="s">
        <v>78</v>
      </c>
      <c r="N15" s="43" t="s">
        <v>57</v>
      </c>
      <c r="O15" s="44" t="s">
        <v>79</v>
      </c>
      <c r="P15" s="45" t="s">
        <v>80</v>
      </c>
    </row>
    <row r="16" spans="1:16" ht="12.75" customHeight="1" thickBot="1" x14ac:dyDescent="0.25">
      <c r="A16" s="10" t="str">
        <f t="shared" si="0"/>
        <v>IBVS 5929 </v>
      </c>
      <c r="B16" s="3" t="str">
        <f t="shared" si="1"/>
        <v>I</v>
      </c>
      <c r="C16" s="10">
        <f t="shared" si="2"/>
        <v>55170.6345</v>
      </c>
      <c r="D16" s="12" t="str">
        <f t="shared" si="3"/>
        <v>vis</v>
      </c>
      <c r="E16" s="41">
        <f>VLOOKUP(C16,Active!C$21:E$969,3,FALSE)</f>
        <v>7797.0381804685958</v>
      </c>
      <c r="F16" s="3" t="s">
        <v>57</v>
      </c>
      <c r="G16" s="12" t="str">
        <f t="shared" si="4"/>
        <v>55170.6345</v>
      </c>
      <c r="H16" s="10">
        <f t="shared" si="5"/>
        <v>7797</v>
      </c>
      <c r="I16" s="42" t="s">
        <v>91</v>
      </c>
      <c r="J16" s="43" t="s">
        <v>92</v>
      </c>
      <c r="K16" s="42" t="s">
        <v>93</v>
      </c>
      <c r="L16" s="42" t="s">
        <v>94</v>
      </c>
      <c r="M16" s="43" t="s">
        <v>78</v>
      </c>
      <c r="N16" s="43" t="s">
        <v>49</v>
      </c>
      <c r="O16" s="44" t="s">
        <v>95</v>
      </c>
      <c r="P16" s="45" t="s">
        <v>96</v>
      </c>
    </row>
    <row r="17" spans="1:16" ht="12.75" customHeight="1" thickBot="1" x14ac:dyDescent="0.25">
      <c r="A17" s="10" t="str">
        <f t="shared" si="0"/>
        <v>IBVS 5960 </v>
      </c>
      <c r="B17" s="3" t="str">
        <f t="shared" si="1"/>
        <v>II</v>
      </c>
      <c r="C17" s="10">
        <f t="shared" si="2"/>
        <v>55527.682099999998</v>
      </c>
      <c r="D17" s="12" t="str">
        <f t="shared" si="3"/>
        <v>vis</v>
      </c>
      <c r="E17" s="41">
        <f>VLOOKUP(C17,Active!C$21:E$969,3,FALSE)</f>
        <v>8839.5408671099431</v>
      </c>
      <c r="F17" s="3" t="s">
        <v>57</v>
      </c>
      <c r="G17" s="12" t="str">
        <f t="shared" si="4"/>
        <v>55527.6821</v>
      </c>
      <c r="H17" s="10">
        <f t="shared" si="5"/>
        <v>8839.5</v>
      </c>
      <c r="I17" s="42" t="s">
        <v>97</v>
      </c>
      <c r="J17" s="43" t="s">
        <v>98</v>
      </c>
      <c r="K17" s="42" t="s">
        <v>99</v>
      </c>
      <c r="L17" s="42" t="s">
        <v>100</v>
      </c>
      <c r="M17" s="43" t="s">
        <v>78</v>
      </c>
      <c r="N17" s="43" t="s">
        <v>57</v>
      </c>
      <c r="O17" s="44" t="s">
        <v>79</v>
      </c>
      <c r="P17" s="45" t="s">
        <v>101</v>
      </c>
    </row>
    <row r="18" spans="1:16" ht="12.75" customHeight="1" thickBot="1" x14ac:dyDescent="0.25">
      <c r="A18" s="10" t="str">
        <f t="shared" si="0"/>
        <v>IBVS 6011 </v>
      </c>
      <c r="B18" s="3" t="str">
        <f t="shared" si="1"/>
        <v>I</v>
      </c>
      <c r="C18" s="10">
        <f t="shared" si="2"/>
        <v>55895.685100000002</v>
      </c>
      <c r="D18" s="12" t="str">
        <f t="shared" si="3"/>
        <v>vis</v>
      </c>
      <c r="E18" s="41">
        <f>VLOOKUP(C18,Active!C$21:E$969,3,FALSE)</f>
        <v>9914.0309804508033</v>
      </c>
      <c r="F18" s="3" t="s">
        <v>57</v>
      </c>
      <c r="G18" s="12" t="str">
        <f t="shared" si="4"/>
        <v>55895.6851</v>
      </c>
      <c r="H18" s="10">
        <f t="shared" si="5"/>
        <v>9914</v>
      </c>
      <c r="I18" s="42" t="s">
        <v>102</v>
      </c>
      <c r="J18" s="43" t="s">
        <v>103</v>
      </c>
      <c r="K18" s="42" t="s">
        <v>104</v>
      </c>
      <c r="L18" s="42" t="s">
        <v>105</v>
      </c>
      <c r="M18" s="43" t="s">
        <v>78</v>
      </c>
      <c r="N18" s="43" t="s">
        <v>57</v>
      </c>
      <c r="O18" s="44" t="s">
        <v>79</v>
      </c>
      <c r="P18" s="45" t="s">
        <v>106</v>
      </c>
    </row>
    <row r="19" spans="1:16" ht="12.75" customHeight="1" thickBot="1" x14ac:dyDescent="0.25">
      <c r="A19" s="10" t="str">
        <f t="shared" si="0"/>
        <v>VSB 48 </v>
      </c>
      <c r="B19" s="3" t="str">
        <f t="shared" si="1"/>
        <v>I</v>
      </c>
      <c r="C19" s="10">
        <f t="shared" si="2"/>
        <v>54823.004800000002</v>
      </c>
      <c r="D19" s="12" t="str">
        <f t="shared" si="3"/>
        <v>vis</v>
      </c>
      <c r="E19" s="41">
        <f>VLOOKUP(C19,Active!C$21:E$969,3,FALSE)</f>
        <v>6782.0337491089531</v>
      </c>
      <c r="F19" s="3" t="s">
        <v>57</v>
      </c>
      <c r="G19" s="12" t="str">
        <f t="shared" si="4"/>
        <v>54823.0048</v>
      </c>
      <c r="H19" s="10">
        <f t="shared" si="5"/>
        <v>6782</v>
      </c>
      <c r="I19" s="42" t="s">
        <v>85</v>
      </c>
      <c r="J19" s="43" t="s">
        <v>86</v>
      </c>
      <c r="K19" s="42" t="s">
        <v>87</v>
      </c>
      <c r="L19" s="42" t="s">
        <v>88</v>
      </c>
      <c r="M19" s="43" t="s">
        <v>78</v>
      </c>
      <c r="N19" s="43" t="s">
        <v>57</v>
      </c>
      <c r="O19" s="44" t="s">
        <v>89</v>
      </c>
      <c r="P19" s="45" t="s">
        <v>90</v>
      </c>
    </row>
    <row r="20" spans="1:16" ht="12.75" customHeight="1" thickBot="1" x14ac:dyDescent="0.25">
      <c r="A20" s="10" t="str">
        <f t="shared" si="0"/>
        <v> JAAVSO 43-1 </v>
      </c>
      <c r="B20" s="3" t="str">
        <f t="shared" si="1"/>
        <v>I</v>
      </c>
      <c r="C20" s="10">
        <f t="shared" si="2"/>
        <v>56561.833500000001</v>
      </c>
      <c r="D20" s="12" t="str">
        <f t="shared" si="3"/>
        <v>vis</v>
      </c>
      <c r="E20" s="41">
        <f>VLOOKUP(C20,Active!C$21:E$969,3,FALSE)</f>
        <v>11859.041944540288</v>
      </c>
      <c r="F20" s="3" t="s">
        <v>57</v>
      </c>
      <c r="G20" s="12" t="str">
        <f t="shared" si="4"/>
        <v>56561.8335</v>
      </c>
      <c r="H20" s="10">
        <f t="shared" si="5"/>
        <v>11859</v>
      </c>
      <c r="I20" s="42" t="s">
        <v>107</v>
      </c>
      <c r="J20" s="43" t="s">
        <v>108</v>
      </c>
      <c r="K20" s="42" t="s">
        <v>109</v>
      </c>
      <c r="L20" s="42" t="s">
        <v>110</v>
      </c>
      <c r="M20" s="43" t="s">
        <v>78</v>
      </c>
      <c r="N20" s="43" t="s">
        <v>57</v>
      </c>
      <c r="O20" s="44" t="s">
        <v>111</v>
      </c>
      <c r="P20" s="44" t="s">
        <v>112</v>
      </c>
    </row>
    <row r="21" spans="1:16" ht="12.75" customHeight="1" thickBot="1" x14ac:dyDescent="0.25">
      <c r="A21" s="10" t="str">
        <f t="shared" si="0"/>
        <v> JAAVSO 43-1 </v>
      </c>
      <c r="B21" s="3" t="str">
        <f t="shared" si="1"/>
        <v>I</v>
      </c>
      <c r="C21" s="10">
        <f t="shared" si="2"/>
        <v>56923.844400000002</v>
      </c>
      <c r="D21" s="12" t="str">
        <f t="shared" si="3"/>
        <v>vis</v>
      </c>
      <c r="E21" s="41" t="e">
        <f>VLOOKUP(C21,Active!C$21:E$969,3,FALSE)</f>
        <v>#N/A</v>
      </c>
      <c r="F21" s="3" t="s">
        <v>57</v>
      </c>
      <c r="G21" s="12" t="str">
        <f t="shared" si="4"/>
        <v>56923.8444</v>
      </c>
      <c r="H21" s="10">
        <f t="shared" si="5"/>
        <v>12916</v>
      </c>
      <c r="I21" s="42" t="s">
        <v>113</v>
      </c>
      <c r="J21" s="43" t="s">
        <v>114</v>
      </c>
      <c r="K21" s="42" t="s">
        <v>115</v>
      </c>
      <c r="L21" s="42" t="s">
        <v>116</v>
      </c>
      <c r="M21" s="43" t="s">
        <v>78</v>
      </c>
      <c r="N21" s="43" t="s">
        <v>57</v>
      </c>
      <c r="O21" s="44" t="s">
        <v>111</v>
      </c>
      <c r="P21" s="44" t="s">
        <v>112</v>
      </c>
    </row>
    <row r="22" spans="1:16" x14ac:dyDescent="0.2">
      <c r="B22" s="3"/>
      <c r="F22" s="3"/>
    </row>
    <row r="23" spans="1:16" x14ac:dyDescent="0.2">
      <c r="B23" s="3"/>
      <c r="F23" s="3"/>
    </row>
    <row r="24" spans="1:16" x14ac:dyDescent="0.2">
      <c r="B24" s="3"/>
      <c r="F24" s="3"/>
    </row>
    <row r="25" spans="1:16" x14ac:dyDescent="0.2">
      <c r="B25" s="3"/>
      <c r="F25" s="3"/>
    </row>
    <row r="26" spans="1:16" x14ac:dyDescent="0.2">
      <c r="B26" s="3"/>
      <c r="F26" s="3"/>
    </row>
    <row r="27" spans="1:16" x14ac:dyDescent="0.2">
      <c r="B27" s="3"/>
      <c r="F27" s="3"/>
    </row>
    <row r="28" spans="1:16" x14ac:dyDescent="0.2">
      <c r="B28" s="3"/>
      <c r="F28" s="3"/>
    </row>
    <row r="29" spans="1:16" x14ac:dyDescent="0.2">
      <c r="B29" s="3"/>
      <c r="F29" s="3"/>
    </row>
    <row r="30" spans="1:16" x14ac:dyDescent="0.2">
      <c r="B30" s="3"/>
      <c r="F30" s="3"/>
    </row>
    <row r="31" spans="1:16" x14ac:dyDescent="0.2">
      <c r="B31" s="3"/>
      <c r="F31" s="3"/>
    </row>
    <row r="32" spans="1:1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</sheetData>
  <phoneticPr fontId="8" type="noConversion"/>
  <hyperlinks>
    <hyperlink ref="P11" r:id="rId1" display="http://www.bav-astro.de/sfs/BAVM_link.php?BAVMnr=152"/>
    <hyperlink ref="P12" r:id="rId2" display="http://www.bav-astro.de/sfs/BAVM_link.php?BAVMnr=152"/>
    <hyperlink ref="P13" r:id="rId3" display="http://www.bav-astro.de/sfs/BAVM_link.php?BAVMnr=152"/>
    <hyperlink ref="P14" r:id="rId4" display="http://www.konkoly.hu/cgi-bin/IBVS?5871"/>
    <hyperlink ref="P15" r:id="rId5" display="http://www.konkoly.hu/cgi-bin/IBVS?5871"/>
    <hyperlink ref="P19" r:id="rId6" display="http://vsolj.cetus-net.org/no48.pdf"/>
    <hyperlink ref="P16" r:id="rId7" display="http://www.konkoly.hu/cgi-bin/IBVS?5929"/>
    <hyperlink ref="P17" r:id="rId8" display="http://www.konkoly.hu/cgi-bin/IBVS?5960"/>
    <hyperlink ref="P18" r:id="rId9" display="http://www.konkoly.hu/cgi-bin/IBVS?601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2023-01-23T23:38:22Z</dcterms:modified>
</cp:coreProperties>
</file>