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295" windowHeight="1389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<sst xmlns="http://schemas.openxmlformats.org/spreadsheetml/2006/main" count="125" uniqueCount="83">
  <si>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</si>
  <si>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</si>
  <si>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</si>
  <si>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</si>
  <si>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</si>
  <si>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</si>
  <si>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</si>
  <si>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</si>
  <si>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</si>
  <si>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</si>
  <si>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</si>
  <si>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</si>
  <si>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</si>
  <si>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</si>
  <si>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</si>
  <si>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</si>
  <si>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</si>
  <si>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</si>
  <si>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</si>
  <si>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</si>
  <si>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</si>
  <si>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</si>
  <si>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</si>
  <si>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</si>
  <si>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</si>
  <si>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</si>
  <si>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</si>
  <si>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</si>
  <si>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</si>
  <si>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</si>
  <si>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</si>
  <si>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</si>
  <si>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</si>
  <si>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</si>
  <si>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</si>
  <si>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</si>
  <si>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</si>
  <si>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</si>
  <si>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</si>
  <si>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</si>
  <si>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</si>
  <si>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</si>
  <si>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</si>
  <si>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</si>
  <si>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</si>
  <si>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</si>
  <si>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</si>
  <si>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</si>
  <si>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F </t>
  </si>
  <si>
    <t>DI Pup</t>
  </si>
  <si>
    <t>EA/SD:</t>
  </si>
  <si>
    <t>GCVS 4</t>
  </si>
  <si>
    <t>DI Pup / GSC 2500.6331</t>
  </si>
  <si>
    <t>2425758.194 </t>
  </si>
  <si>
    <t> 26.05.1929 16:39 </t>
  </si>
  <si>
    <t> 0.000 </t>
  </si>
  <si>
    <t> C.H.D.Steinmetz </t>
  </si>
  <si>
    <t> BAN 10.260 </t>
  </si>
  <si>
    <t>2429339.317 </t>
  </si>
  <si>
    <t> 16.03.1939 19:36 </t>
  </si>
  <si>
    <t> -0.109 </t>
  </si>
  <si>
    <t>P </t>
  </si>
  <si>
    <t> K.Löchel </t>
  </si>
  <si>
    <t> MVS 189 </t>
  </si>
  <si>
    <t>2429670.439 </t>
  </si>
  <si>
    <t> 10.02.1940 22:32 </t>
  </si>
  <si>
    <t> 0.018 </t>
  </si>
  <si>
    <t>2449402.272 </t>
  </si>
  <si>
    <t> 18.02.1994 18:31 </t>
  </si>
  <si>
    <t> 0.099 </t>
  </si>
  <si>
    <t>V </t>
  </si>
  <si>
    <t> C.Stephan </t>
  </si>
  <si>
    <t> AOEB 12 </t>
  </si>
  <si>
    <t>2449765.677 </t>
  </si>
  <si>
    <t> 17.02.1995 04:14 </t>
  </si>
  <si>
    <t> 0.092 </t>
  </si>
  <si>
    <t>2450898.574 </t>
  </si>
  <si>
    <t> 26.03.1998 01:46 </t>
  </si>
  <si>
    <t> 0.098 </t>
  </si>
  <si>
    <t>2451229.552 </t>
  </si>
  <si>
    <t> 20.02.1999 01:14 </t>
  </si>
  <si>
    <t> 0.080 </t>
  </si>
  <si>
    <t>I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</si>
</sst>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11" xfId="0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11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4" borderId="18" xfId="0" applyFont="1" applyFill="1" applyBorder="1" applyAlignment="1">
      <alignment horizontal="left" vertical="top" wrapText="1" indent="1"/>
    </xf>
    <xf numFmtId="0" fontId="5" fillId="34" borderId="18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right" vertical="top" wrapText="1"/>
    </xf>
    <xf numFmtId="0" fontId="4" fillId="35" borderId="11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 Pup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19957216"/>
        <c:axId val="45397217"/>
      </c:scatterChart>
      <c:valAx>
        <c:axId val="19957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97217"/>
        <c:crosses val="autoZero"/>
        <c:crossBetween val="midCat"/>
        <c:dispUnits/>
      </c:valAx>
      <c:valAx>
        <c:axId val="45397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5721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57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19050</xdr:rowOff>
    </xdr:from>
    <xdr:to>
      <xdr:col>17</xdr:col>
      <xdr:colOff>114300</xdr:colOff>
      <xdr:row>19</xdr:row>
      <xdr:rowOff>19050</xdr:rowOff>
    </xdr:to>
    <xdr:graphicFrame>
      <xdr:nvGraphicFramePr>
        <xdr:cNvPr id="1" name="Chart 1"/>
        <xdr:cNvGraphicFramePr/>
      </xdr:nvGraphicFramePr>
      <xdr:xfrm>
        <a:off x="4543425" y="1905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LkDB/index.php?lang=en&amp;sprache_dial=e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5" ht="20.25">
      <c r="A1" s="1" t="s">
        <v>52</v>
      </c>
      <c r="F1" s="50" t="s">
        <v>49</v>
      </c>
      <c r="G1" s="32">
        <v>7.5640600000000004</v>
      </c>
      <c r="H1" s="33">
        <v>-19.2912</v>
      </c>
      <c r="I1" s="34">
        <v>52500.6331</v>
      </c>
      <c r="J1" s="34">
        <v>1.7061453</v>
      </c>
      <c r="K1" s="31" t="s">
        <v>50</v>
      </c>
      <c r="L1" s="33"/>
      <c r="M1" s="34">
        <v>52500.6331</v>
      </c>
      <c r="N1" s="34">
        <v>1.7061453</v>
      </c>
      <c r="O1" s="37" t="s">
        <v>50</v>
      </c>
    </row>
    <row r="2" spans="1:4" ht="12.75">
      <c r="A2" t="s">
        <v>23</v>
      </c>
      <c r="B2" t="s">
        <v>50</v>
      </c>
      <c r="C2" s="30"/>
      <c r="D2" s="3"/>
    </row>
    <row r="3" ht="13.5" thickBot="1"/>
    <row r="4" spans="1:4" ht="14.25" thickBot="1" thickTop="1">
      <c r="A4" s="5" t="s">
        <v>0</v>
      </c>
      <c r="C4" s="27">
        <v>25758.194</v>
      </c>
      <c r="D4" s="28">
        <v>1.706161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v>52500.6331</v>
      </c>
      <c r="D7" s="29" t="s">
        <v>51</v>
      </c>
    </row>
    <row r="8" spans="1:4" ht="12.75">
      <c r="A8" t="s">
        <v>3</v>
      </c>
      <c r="C8" s="8">
        <v>1.7061453</v>
      </c>
      <c r="D8" s="29" t="s">
        <v>51</v>
      </c>
    </row>
    <row r="9" spans="1:5" ht="12.75">
      <c r="A9" s="24" t="s">
        <v>32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INTERCEPT(INDIRECT($E$9):G992,INDIRECT($D$9):F992)</f>
        <v>0.023239947057457383</v>
      </c>
      <c r="D11" s="3"/>
      <c r="E11" s="10"/>
    </row>
    <row r="12" spans="1:5" ht="12.75">
      <c r="A12" s="10" t="s">
        <v>16</v>
      </c>
      <c r="B12" s="10"/>
      <c r="C12" s="21">
        <f ca="1">SLOPE(INDIRECT($E$9):G992,INDIRECT($D$9):F992)</f>
        <v>2.428120328600132E-05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52500.656339947054</v>
      </c>
      <c r="E15" s="14" t="s">
        <v>34</v>
      </c>
      <c r="F15" s="35">
        <v>1</v>
      </c>
    </row>
    <row r="16" spans="1:6" ht="12.75">
      <c r="A16" s="16" t="s">
        <v>4</v>
      </c>
      <c r="B16" s="10"/>
      <c r="C16" s="17">
        <f>+C8+C12</f>
        <v>1.706169581203286</v>
      </c>
      <c r="E16" s="14" t="s">
        <v>30</v>
      </c>
      <c r="F16" s="36">
        <f ca="1">NOW()+15018.5+$C$5/24</f>
        <v>59906.739954282406</v>
      </c>
    </row>
    <row r="17" spans="1:6" ht="13.5" thickBot="1">
      <c r="A17" s="14" t="s">
        <v>27</v>
      </c>
      <c r="B17" s="10"/>
      <c r="C17" s="10">
        <f>COUNT(C21:C2191)</f>
        <v>8</v>
      </c>
      <c r="E17" s="14" t="s">
        <v>35</v>
      </c>
      <c r="F17" s="15">
        <f>ROUND(2*(F16-$C$7)/$C$8,0)/2+F15</f>
        <v>4342</v>
      </c>
    </row>
    <row r="18" spans="1:6" ht="14.25" thickBot="1" thickTop="1">
      <c r="A18" s="16" t="s">
        <v>5</v>
      </c>
      <c r="B18" s="10"/>
      <c r="C18" s="19">
        <f>+C15</f>
        <v>52500.656339947054</v>
      </c>
      <c r="D18" s="20">
        <f>+C16</f>
        <v>1.706169581203286</v>
      </c>
      <c r="E18" s="14" t="s">
        <v>36</v>
      </c>
      <c r="F18" s="23">
        <f>ROUND(2*(F16-$C$15)/$C$16,0)/2+F15</f>
        <v>4342</v>
      </c>
    </row>
    <row r="19" spans="5:6" ht="13.5" thickTop="1">
      <c r="E19" s="14" t="s">
        <v>31</v>
      </c>
      <c r="F19" s="18">
        <f>+$C$15+$C$16*F18-15018.5-$C$5/24</f>
        <v>44890.74049486506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R20" s="26" t="s">
        <v>33</v>
      </c>
    </row>
    <row r="21" spans="1:17" ht="12.75">
      <c r="A21" s="51" t="s">
        <v>57</v>
      </c>
      <c r="B21" s="53" t="s">
        <v>82</v>
      </c>
      <c r="C21" s="52">
        <v>25758.194</v>
      </c>
      <c r="D21" s="8"/>
      <c r="E21">
        <f aca="true" t="shared" si="0" ref="E21:E28">+(C21-C$7)/C$8</f>
        <v>-15674.186190355535</v>
      </c>
      <c r="F21">
        <f aca="true" t="shared" si="1" ref="F21:F28">ROUND(2*E21,0)/2</f>
        <v>-15674</v>
      </c>
      <c r="G21">
        <f aca="true" t="shared" si="2" ref="G21:G28">+C21-(C$7+F21*C$8)</f>
        <v>-0.3176677999981621</v>
      </c>
      <c r="H21">
        <f aca="true" t="shared" si="3" ref="H21:H28">+G21</f>
        <v>-0.3176677999981621</v>
      </c>
      <c r="O21">
        <f aca="true" t="shared" si="4" ref="O21:O28">+C$11+C$12*$F21</f>
        <v>-0.3573436332473273</v>
      </c>
      <c r="Q21" s="2">
        <f aca="true" t="shared" si="5" ref="Q21:Q28">+C21-15018.5</f>
        <v>10739.694</v>
      </c>
    </row>
    <row r="22" spans="1:17" ht="12.75">
      <c r="A22" s="51" t="s">
        <v>63</v>
      </c>
      <c r="B22" s="53" t="s">
        <v>82</v>
      </c>
      <c r="C22" s="52">
        <v>29339.317</v>
      </c>
      <c r="D22" s="8"/>
      <c r="E22">
        <f t="shared" si="0"/>
        <v>-13575.230726245883</v>
      </c>
      <c r="F22">
        <f t="shared" si="1"/>
        <v>-13575</v>
      </c>
      <c r="G22">
        <f t="shared" si="2"/>
        <v>-0.393652499999007</v>
      </c>
      <c r="H22">
        <f t="shared" si="3"/>
        <v>-0.393652499999007</v>
      </c>
      <c r="O22">
        <f t="shared" si="4"/>
        <v>-0.30637738755001054</v>
      </c>
      <c r="Q22" s="2">
        <f t="shared" si="5"/>
        <v>14320.817</v>
      </c>
    </row>
    <row r="23" spans="1:17" ht="12.75">
      <c r="A23" s="51" t="s">
        <v>63</v>
      </c>
      <c r="B23" s="53" t="s">
        <v>82</v>
      </c>
      <c r="C23" s="52">
        <v>29670.439</v>
      </c>
      <c r="D23" s="8"/>
      <c r="E23">
        <f t="shared" si="0"/>
        <v>-13381.154641401292</v>
      </c>
      <c r="F23">
        <f t="shared" si="1"/>
        <v>-13381</v>
      </c>
      <c r="G23">
        <f t="shared" si="2"/>
        <v>-0.2638407000013103</v>
      </c>
      <c r="H23">
        <f t="shared" si="3"/>
        <v>-0.2638407000013103</v>
      </c>
      <c r="O23">
        <f t="shared" si="4"/>
        <v>-0.30166683411252626</v>
      </c>
      <c r="Q23" s="2">
        <f t="shared" si="5"/>
        <v>14651.938999999998</v>
      </c>
    </row>
    <row r="24" spans="1:17" ht="12.75">
      <c r="A24" s="51" t="s">
        <v>72</v>
      </c>
      <c r="B24" s="53" t="s">
        <v>82</v>
      </c>
      <c r="C24" s="52">
        <v>49402.272</v>
      </c>
      <c r="D24" s="8"/>
      <c r="E24">
        <f t="shared" si="0"/>
        <v>-1816.0007239711658</v>
      </c>
      <c r="F24">
        <f t="shared" si="1"/>
        <v>-1816</v>
      </c>
      <c r="G24">
        <f t="shared" si="2"/>
        <v>-0.0012352000048849732</v>
      </c>
      <c r="H24">
        <f t="shared" si="3"/>
        <v>-0.0012352000048849732</v>
      </c>
      <c r="O24">
        <f t="shared" si="4"/>
        <v>-0.020854718109921018</v>
      </c>
      <c r="Q24" s="2">
        <f t="shared" si="5"/>
        <v>34383.772</v>
      </c>
    </row>
    <row r="25" spans="1:17" ht="12.75">
      <c r="A25" s="51" t="s">
        <v>72</v>
      </c>
      <c r="B25" s="53" t="s">
        <v>82</v>
      </c>
      <c r="C25" s="52">
        <v>49765.677</v>
      </c>
      <c r="D25" s="8"/>
      <c r="E25">
        <f t="shared" si="0"/>
        <v>-1603.0030384868135</v>
      </c>
      <c r="F25">
        <f t="shared" si="1"/>
        <v>-1603</v>
      </c>
      <c r="G25">
        <f t="shared" si="2"/>
        <v>-0.005184099994949065</v>
      </c>
      <c r="H25">
        <f t="shared" si="3"/>
        <v>-0.005184099994949065</v>
      </c>
      <c r="O25">
        <f t="shared" si="4"/>
        <v>-0.01568282181000273</v>
      </c>
      <c r="Q25" s="2">
        <f t="shared" si="5"/>
        <v>34747.177</v>
      </c>
    </row>
    <row r="26" spans="1:17" ht="12.75">
      <c r="A26" s="51" t="s">
        <v>72</v>
      </c>
      <c r="B26" s="53" t="s">
        <v>82</v>
      </c>
      <c r="C26" s="52">
        <v>50898.574</v>
      </c>
      <c r="D26" s="8"/>
      <c r="E26">
        <f t="shared" si="0"/>
        <v>-938.9933553724871</v>
      </c>
      <c r="F26">
        <f t="shared" si="1"/>
        <v>-939</v>
      </c>
      <c r="G26">
        <f t="shared" si="2"/>
        <v>0.011336700001265854</v>
      </c>
      <c r="H26">
        <f t="shared" si="3"/>
        <v>0.011336700001265854</v>
      </c>
      <c r="O26">
        <f t="shared" si="4"/>
        <v>0.0004398971719021434</v>
      </c>
      <c r="Q26" s="2">
        <f t="shared" si="5"/>
        <v>35880.074</v>
      </c>
    </row>
    <row r="27" spans="1:17" ht="12.75">
      <c r="A27" s="51" t="s">
        <v>72</v>
      </c>
      <c r="B27" s="53" t="s">
        <v>82</v>
      </c>
      <c r="C27" s="52">
        <v>51229.552</v>
      </c>
      <c r="D27" s="8"/>
      <c r="E27">
        <f t="shared" si="0"/>
        <v>-745.0016713113448</v>
      </c>
      <c r="F27">
        <f t="shared" si="1"/>
        <v>-745</v>
      </c>
      <c r="G27">
        <f t="shared" si="2"/>
        <v>-0.0028514999939943664</v>
      </c>
      <c r="H27">
        <f t="shared" si="3"/>
        <v>-0.0028514999939943664</v>
      </c>
      <c r="O27">
        <f t="shared" si="4"/>
        <v>0.0051504506093864</v>
      </c>
      <c r="Q27" s="2">
        <f t="shared" si="5"/>
        <v>36211.052</v>
      </c>
    </row>
    <row r="28" spans="1:17" ht="12.75">
      <c r="A28" t="s">
        <v>51</v>
      </c>
      <c r="C28" s="8">
        <v>52500.6331</v>
      </c>
      <c r="D28" s="8" t="s">
        <v>13</v>
      </c>
      <c r="E28">
        <f t="shared" si="0"/>
        <v>0</v>
      </c>
      <c r="F28">
        <f t="shared" si="1"/>
        <v>0</v>
      </c>
      <c r="G28">
        <f t="shared" si="2"/>
        <v>0</v>
      </c>
      <c r="H28">
        <f t="shared" si="3"/>
        <v>0</v>
      </c>
      <c r="O28">
        <f t="shared" si="4"/>
        <v>0.023239947057457383</v>
      </c>
      <c r="Q28" s="2">
        <f t="shared" si="5"/>
        <v>37482.1331</v>
      </c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08"/>
  <sheetViews>
    <sheetView zoomScalePageLayoutView="0" workbookViewId="0" topLeftCell="A1">
      <selection activeCell="A11" sqref="A11:C17"/>
    </sheetView>
  </sheetViews>
  <sheetFormatPr defaultColWidth="9.140625" defaultRowHeight="12.75"/>
  <cols>
    <col min="1" max="1" width="19.7109375" style="8" customWidth="1"/>
    <col min="2" max="2" width="4.421875" style="10" customWidth="1"/>
    <col min="3" max="3" width="12.7109375" style="8" customWidth="1"/>
    <col min="4" max="4" width="5.421875" style="10" customWidth="1"/>
    <col min="5" max="5" width="14.8515625" style="10" customWidth="1"/>
    <col min="6" max="6" width="9.140625" style="10" customWidth="1"/>
    <col min="7" max="7" width="12.00390625" style="10" customWidth="1"/>
    <col min="8" max="8" width="14.140625" style="8" customWidth="1"/>
    <col min="9" max="9" width="22.5742187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421875" style="10" customWidth="1"/>
    <col min="14" max="14" width="14.140625" style="10" customWidth="1"/>
    <col min="15" max="15" width="23.421875" style="10" customWidth="1"/>
    <col min="16" max="16" width="16.57421875" style="10" customWidth="1"/>
    <col min="17" max="17" width="41.00390625" style="10" customWidth="1"/>
    <col min="18" max="16384" width="9.140625" style="10" customWidth="1"/>
  </cols>
  <sheetData>
    <row r="1" spans="1:10" ht="15.75">
      <c r="A1" s="38" t="s">
        <v>41</v>
      </c>
      <c r="I1" s="39" t="s">
        <v>42</v>
      </c>
      <c r="J1" s="40" t="s">
        <v>40</v>
      </c>
    </row>
    <row r="2" spans="9:10" ht="12.75">
      <c r="I2" s="41" t="s">
        <v>43</v>
      </c>
      <c r="J2" s="42" t="s">
        <v>39</v>
      </c>
    </row>
    <row r="3" spans="1:10" ht="12.75">
      <c r="A3" s="43" t="s">
        <v>44</v>
      </c>
      <c r="I3" s="41" t="s">
        <v>45</v>
      </c>
      <c r="J3" s="42" t="s">
        <v>37</v>
      </c>
    </row>
    <row r="4" spans="9:10" ht="12.75">
      <c r="I4" s="41" t="s">
        <v>46</v>
      </c>
      <c r="J4" s="42" t="s">
        <v>37</v>
      </c>
    </row>
    <row r="5" spans="9:10" ht="13.5" thickBot="1">
      <c r="I5" s="44" t="s">
        <v>47</v>
      </c>
      <c r="J5" s="45" t="s">
        <v>38</v>
      </c>
    </row>
    <row r="10" ht="13.5" thickBot="1"/>
    <row r="11" spans="1:16" ht="12.75" customHeight="1" thickBot="1">
      <c r="A11" s="8" t="str">
        <f aca="true" t="shared" si="0" ref="A11:A17">P11</f>
        <v> BAN 10.260 </v>
      </c>
      <c r="B11" s="3" t="str">
        <f aca="true" t="shared" si="1" ref="B11:B17">IF(H11=INT(H11),"I","II")</f>
        <v>I</v>
      </c>
      <c r="C11" s="8">
        <f aca="true" t="shared" si="2" ref="C11:C17">1*G11</f>
        <v>25758.194</v>
      </c>
      <c r="D11" s="10" t="str">
        <f aca="true" t="shared" si="3" ref="D11:D17">VLOOKUP(F11,I$1:J$5,2,FALSE)</f>
        <v>vis</v>
      </c>
      <c r="E11" s="46">
        <f>VLOOKUP(C11,A!C$21:E$973,3,FALSE)</f>
        <v>-15674.186190355535</v>
      </c>
      <c r="F11" s="3" t="s">
        <v>47</v>
      </c>
      <c r="G11" s="10" t="str">
        <f aca="true" t="shared" si="4" ref="G11:G17">MID(I11,3,LEN(I11)-3)</f>
        <v>25758.194</v>
      </c>
      <c r="H11" s="8">
        <f aca="true" t="shared" si="5" ref="H11:H17">1*K11</f>
        <v>0</v>
      </c>
      <c r="I11" s="47" t="s">
        <v>53</v>
      </c>
      <c r="J11" s="48" t="s">
        <v>54</v>
      </c>
      <c r="K11" s="47">
        <v>0</v>
      </c>
      <c r="L11" s="47" t="s">
        <v>55</v>
      </c>
      <c r="M11" s="48" t="s">
        <v>48</v>
      </c>
      <c r="N11" s="48"/>
      <c r="O11" s="49" t="s">
        <v>56</v>
      </c>
      <c r="P11" s="49" t="s">
        <v>57</v>
      </c>
    </row>
    <row r="12" spans="1:16" ht="12.75" customHeight="1" thickBot="1">
      <c r="A12" s="8" t="str">
        <f t="shared" si="0"/>
        <v> MVS 189 </v>
      </c>
      <c r="B12" s="3" t="str">
        <f t="shared" si="1"/>
        <v>I</v>
      </c>
      <c r="C12" s="8">
        <f t="shared" si="2"/>
        <v>29339.317</v>
      </c>
      <c r="D12" s="10" t="str">
        <f t="shared" si="3"/>
        <v>vis</v>
      </c>
      <c r="E12" s="46">
        <f>VLOOKUP(C12,A!C$21:E$973,3,FALSE)</f>
        <v>-13575.230726245883</v>
      </c>
      <c r="F12" s="3" t="s">
        <v>47</v>
      </c>
      <c r="G12" s="10" t="str">
        <f t="shared" si="4"/>
        <v>29339.317</v>
      </c>
      <c r="H12" s="8">
        <f t="shared" si="5"/>
        <v>2099</v>
      </c>
      <c r="I12" s="47" t="s">
        <v>58</v>
      </c>
      <c r="J12" s="48" t="s">
        <v>59</v>
      </c>
      <c r="K12" s="47">
        <v>2099</v>
      </c>
      <c r="L12" s="47" t="s">
        <v>60</v>
      </c>
      <c r="M12" s="48" t="s">
        <v>61</v>
      </c>
      <c r="N12" s="48"/>
      <c r="O12" s="49" t="s">
        <v>62</v>
      </c>
      <c r="P12" s="49" t="s">
        <v>63</v>
      </c>
    </row>
    <row r="13" spans="1:16" ht="12.75" customHeight="1" thickBot="1">
      <c r="A13" s="8" t="str">
        <f t="shared" si="0"/>
        <v> MVS 189 </v>
      </c>
      <c r="B13" s="3" t="str">
        <f t="shared" si="1"/>
        <v>I</v>
      </c>
      <c r="C13" s="8">
        <f t="shared" si="2"/>
        <v>29670.439</v>
      </c>
      <c r="D13" s="10" t="str">
        <f t="shared" si="3"/>
        <v>vis</v>
      </c>
      <c r="E13" s="46">
        <f>VLOOKUP(C13,A!C$21:E$973,3,FALSE)</f>
        <v>-13381.154641401292</v>
      </c>
      <c r="F13" s="3" t="s">
        <v>47</v>
      </c>
      <c r="G13" s="10" t="str">
        <f t="shared" si="4"/>
        <v>29670.439</v>
      </c>
      <c r="H13" s="8">
        <f t="shared" si="5"/>
        <v>2293</v>
      </c>
      <c r="I13" s="47" t="s">
        <v>64</v>
      </c>
      <c r="J13" s="48" t="s">
        <v>65</v>
      </c>
      <c r="K13" s="47">
        <v>2293</v>
      </c>
      <c r="L13" s="47" t="s">
        <v>66</v>
      </c>
      <c r="M13" s="48" t="s">
        <v>61</v>
      </c>
      <c r="N13" s="48"/>
      <c r="O13" s="49" t="s">
        <v>62</v>
      </c>
      <c r="P13" s="49" t="s">
        <v>63</v>
      </c>
    </row>
    <row r="14" spans="1:16" ht="12.75" customHeight="1" thickBot="1">
      <c r="A14" s="8" t="str">
        <f t="shared" si="0"/>
        <v> AOEB 12 </v>
      </c>
      <c r="B14" s="3" t="str">
        <f t="shared" si="1"/>
        <v>I</v>
      </c>
      <c r="C14" s="8">
        <f t="shared" si="2"/>
        <v>49402.272</v>
      </c>
      <c r="D14" s="10" t="str">
        <f t="shared" si="3"/>
        <v>vis</v>
      </c>
      <c r="E14" s="46">
        <f>VLOOKUP(C14,A!C$21:E$973,3,FALSE)</f>
        <v>-1816.0007239711658</v>
      </c>
      <c r="F14" s="3" t="s">
        <v>47</v>
      </c>
      <c r="G14" s="10" t="str">
        <f t="shared" si="4"/>
        <v>49402.272</v>
      </c>
      <c r="H14" s="8">
        <f t="shared" si="5"/>
        <v>13858</v>
      </c>
      <c r="I14" s="47" t="s">
        <v>67</v>
      </c>
      <c r="J14" s="48" t="s">
        <v>68</v>
      </c>
      <c r="K14" s="47">
        <v>13858</v>
      </c>
      <c r="L14" s="47" t="s">
        <v>69</v>
      </c>
      <c r="M14" s="48" t="s">
        <v>70</v>
      </c>
      <c r="N14" s="48"/>
      <c r="O14" s="49" t="s">
        <v>71</v>
      </c>
      <c r="P14" s="49" t="s">
        <v>72</v>
      </c>
    </row>
    <row r="15" spans="1:16" ht="12.75" customHeight="1" thickBot="1">
      <c r="A15" s="8" t="str">
        <f t="shared" si="0"/>
        <v> AOEB 12 </v>
      </c>
      <c r="B15" s="3" t="str">
        <f t="shared" si="1"/>
        <v>I</v>
      </c>
      <c r="C15" s="8">
        <f t="shared" si="2"/>
        <v>49765.677</v>
      </c>
      <c r="D15" s="10" t="str">
        <f t="shared" si="3"/>
        <v>vis</v>
      </c>
      <c r="E15" s="46">
        <f>VLOOKUP(C15,A!C$21:E$973,3,FALSE)</f>
        <v>-1603.0030384868135</v>
      </c>
      <c r="F15" s="3" t="s">
        <v>47</v>
      </c>
      <c r="G15" s="10" t="str">
        <f t="shared" si="4"/>
        <v>49765.677</v>
      </c>
      <c r="H15" s="8">
        <f t="shared" si="5"/>
        <v>14071</v>
      </c>
      <c r="I15" s="47" t="s">
        <v>73</v>
      </c>
      <c r="J15" s="48" t="s">
        <v>74</v>
      </c>
      <c r="K15" s="47">
        <v>14071</v>
      </c>
      <c r="L15" s="47" t="s">
        <v>75</v>
      </c>
      <c r="M15" s="48" t="s">
        <v>70</v>
      </c>
      <c r="N15" s="48"/>
      <c r="O15" s="49" t="s">
        <v>71</v>
      </c>
      <c r="P15" s="49" t="s">
        <v>72</v>
      </c>
    </row>
    <row r="16" spans="1:16" ht="12.75" customHeight="1" thickBot="1">
      <c r="A16" s="8" t="str">
        <f t="shared" si="0"/>
        <v> AOEB 12 </v>
      </c>
      <c r="B16" s="3" t="str">
        <f t="shared" si="1"/>
        <v>I</v>
      </c>
      <c r="C16" s="8">
        <f t="shared" si="2"/>
        <v>50898.574</v>
      </c>
      <c r="D16" s="10" t="str">
        <f t="shared" si="3"/>
        <v>vis</v>
      </c>
      <c r="E16" s="46">
        <f>VLOOKUP(C16,A!C$21:E$973,3,FALSE)</f>
        <v>-938.9933553724871</v>
      </c>
      <c r="F16" s="3" t="s">
        <v>47</v>
      </c>
      <c r="G16" s="10" t="str">
        <f t="shared" si="4"/>
        <v>50898.574</v>
      </c>
      <c r="H16" s="8">
        <f t="shared" si="5"/>
        <v>14735</v>
      </c>
      <c r="I16" s="47" t="s">
        <v>76</v>
      </c>
      <c r="J16" s="48" t="s">
        <v>77</v>
      </c>
      <c r="K16" s="47">
        <v>14735</v>
      </c>
      <c r="L16" s="47" t="s">
        <v>78</v>
      </c>
      <c r="M16" s="48" t="s">
        <v>70</v>
      </c>
      <c r="N16" s="48"/>
      <c r="O16" s="49" t="s">
        <v>71</v>
      </c>
      <c r="P16" s="49" t="s">
        <v>72</v>
      </c>
    </row>
    <row r="17" spans="1:16" ht="12.75" customHeight="1" thickBot="1">
      <c r="A17" s="8" t="str">
        <f t="shared" si="0"/>
        <v> AOEB 12 </v>
      </c>
      <c r="B17" s="3" t="str">
        <f t="shared" si="1"/>
        <v>I</v>
      </c>
      <c r="C17" s="8">
        <f t="shared" si="2"/>
        <v>51229.552</v>
      </c>
      <c r="D17" s="10" t="str">
        <f t="shared" si="3"/>
        <v>vis</v>
      </c>
      <c r="E17" s="46">
        <f>VLOOKUP(C17,A!C$21:E$973,3,FALSE)</f>
        <v>-745.0016713113448</v>
      </c>
      <c r="F17" s="3" t="s">
        <v>47</v>
      </c>
      <c r="G17" s="10" t="str">
        <f t="shared" si="4"/>
        <v>51229.552</v>
      </c>
      <c r="H17" s="8">
        <f t="shared" si="5"/>
        <v>14929</v>
      </c>
      <c r="I17" s="47" t="s">
        <v>79</v>
      </c>
      <c r="J17" s="48" t="s">
        <v>80</v>
      </c>
      <c r="K17" s="47">
        <v>14929</v>
      </c>
      <c r="L17" s="47" t="s">
        <v>81</v>
      </c>
      <c r="M17" s="48" t="s">
        <v>70</v>
      </c>
      <c r="N17" s="48"/>
      <c r="O17" s="49" t="s">
        <v>71</v>
      </c>
      <c r="P17" s="49" t="s">
        <v>72</v>
      </c>
    </row>
    <row r="18" spans="2:6" ht="12.75">
      <c r="B18" s="3"/>
      <c r="E18" s="46"/>
      <c r="F18" s="3"/>
    </row>
    <row r="19" spans="2:6" ht="12.75">
      <c r="B19" s="3"/>
      <c r="E19" s="46"/>
      <c r="F19" s="3"/>
    </row>
    <row r="20" spans="2:6" ht="12.75">
      <c r="B20" s="3"/>
      <c r="E20" s="46"/>
      <c r="F20" s="3"/>
    </row>
    <row r="21" spans="2:6" ht="12.75">
      <c r="B21" s="3"/>
      <c r="F21" s="3"/>
    </row>
    <row r="22" spans="2:6" ht="12.75">
      <c r="B22" s="3"/>
      <c r="F22" s="3"/>
    </row>
    <row r="23" spans="2:6" ht="12.75">
      <c r="B23" s="3"/>
      <c r="F23" s="3"/>
    </row>
    <row r="24" spans="2:6" ht="12.75">
      <c r="B24" s="3"/>
      <c r="F24" s="3"/>
    </row>
    <row r="25" spans="2:6" ht="12.75">
      <c r="B25" s="3"/>
      <c r="F25" s="3"/>
    </row>
    <row r="26" spans="2:6" ht="12.75">
      <c r="B26" s="3"/>
      <c r="F26" s="3"/>
    </row>
    <row r="27" spans="2:6" ht="12.75">
      <c r="B27" s="3"/>
      <c r="F27" s="3"/>
    </row>
    <row r="28" spans="2:6" ht="12.75">
      <c r="B28" s="3"/>
      <c r="F28" s="3"/>
    </row>
    <row r="29" spans="2:6" ht="12.75">
      <c r="B29" s="3"/>
      <c r="F29" s="3"/>
    </row>
    <row r="30" spans="2:6" ht="12.75">
      <c r="B30" s="3"/>
      <c r="F30" s="3"/>
    </row>
    <row r="31" spans="2:6" ht="12.75">
      <c r="B31" s="3"/>
      <c r="F31" s="3"/>
    </row>
    <row r="32" spans="2:6" ht="12.75">
      <c r="B32" s="3"/>
      <c r="F32" s="3"/>
    </row>
    <row r="33" spans="2:6" ht="12.75">
      <c r="B33" s="3"/>
      <c r="F33" s="3"/>
    </row>
    <row r="34" spans="2:6" ht="12.75">
      <c r="B34" s="3"/>
      <c r="F34" s="3"/>
    </row>
    <row r="35" spans="2:6" ht="12.75">
      <c r="B35" s="3"/>
      <c r="F35" s="3"/>
    </row>
    <row r="36" spans="2:6" ht="12.75">
      <c r="B36" s="3"/>
      <c r="F36" s="3"/>
    </row>
    <row r="37" spans="2:6" ht="12.75">
      <c r="B37" s="3"/>
      <c r="F37" s="3"/>
    </row>
    <row r="38" spans="2:6" ht="12.75">
      <c r="B38" s="3"/>
      <c r="F38" s="3"/>
    </row>
    <row r="39" spans="2:6" ht="12.75">
      <c r="B39" s="3"/>
      <c r="F39" s="3"/>
    </row>
    <row r="40" spans="2:6" ht="12.75">
      <c r="B40" s="3"/>
      <c r="F40" s="3"/>
    </row>
    <row r="41" spans="2:6" ht="12.75">
      <c r="B41" s="3"/>
      <c r="F41" s="3"/>
    </row>
    <row r="42" spans="2:6" ht="12.75">
      <c r="B42" s="3"/>
      <c r="F42" s="3"/>
    </row>
    <row r="43" spans="2:6" ht="12.75">
      <c r="B43" s="3"/>
      <c r="F43" s="3"/>
    </row>
    <row r="44" spans="2:6" ht="12.75">
      <c r="B44" s="3"/>
      <c r="F44" s="3"/>
    </row>
    <row r="45" spans="2:6" ht="12.75">
      <c r="B45" s="3"/>
      <c r="F45" s="3"/>
    </row>
    <row r="46" spans="2:6" ht="12.75">
      <c r="B46" s="3"/>
      <c r="F46" s="3"/>
    </row>
    <row r="47" spans="2:6" ht="12.75">
      <c r="B47" s="3"/>
      <c r="F47" s="3"/>
    </row>
    <row r="48" spans="2:6" ht="12.75">
      <c r="B48" s="3"/>
      <c r="F48" s="3"/>
    </row>
    <row r="49" spans="2:6" ht="12.75">
      <c r="B49" s="3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  <row r="782" spans="2:6" ht="12.75">
      <c r="B782" s="3"/>
      <c r="F782" s="3"/>
    </row>
    <row r="783" spans="2:6" ht="12.75">
      <c r="B783" s="3"/>
      <c r="F783" s="3"/>
    </row>
    <row r="784" spans="2:6" ht="12.75">
      <c r="B784" s="3"/>
      <c r="F784" s="3"/>
    </row>
    <row r="785" spans="2:6" ht="12.75">
      <c r="B785" s="3"/>
      <c r="F785" s="3"/>
    </row>
    <row r="786" spans="2:6" ht="12.75">
      <c r="B786" s="3"/>
      <c r="F786" s="3"/>
    </row>
    <row r="787" spans="2:6" ht="12.75">
      <c r="B787" s="3"/>
      <c r="F787" s="3"/>
    </row>
    <row r="788" spans="2:6" ht="12.75">
      <c r="B788" s="3"/>
      <c r="F788" s="3"/>
    </row>
    <row r="789" spans="2:6" ht="12.75">
      <c r="B789" s="3"/>
      <c r="F789" s="3"/>
    </row>
    <row r="790" spans="2:6" ht="12.75">
      <c r="B790" s="3"/>
      <c r="F790" s="3"/>
    </row>
    <row r="791" spans="2:6" ht="12.75">
      <c r="B791" s="3"/>
      <c r="F791" s="3"/>
    </row>
    <row r="792" spans="2:6" ht="12.75">
      <c r="B792" s="3"/>
      <c r="F792" s="3"/>
    </row>
    <row r="793" spans="2:6" ht="12.75">
      <c r="B793" s="3"/>
      <c r="F793" s="3"/>
    </row>
    <row r="794" spans="2:6" ht="12.75">
      <c r="B794" s="3"/>
      <c r="F794" s="3"/>
    </row>
    <row r="795" spans="2:6" ht="12.75">
      <c r="B795" s="3"/>
      <c r="F795" s="3"/>
    </row>
    <row r="796" spans="2:6" ht="12.75">
      <c r="B796" s="3"/>
      <c r="F796" s="3"/>
    </row>
    <row r="797" spans="2:6" ht="12.75">
      <c r="B797" s="3"/>
      <c r="F797" s="3"/>
    </row>
    <row r="798" spans="2:6" ht="12.75">
      <c r="B798" s="3"/>
      <c r="F798" s="3"/>
    </row>
    <row r="799" spans="2:6" ht="12.75">
      <c r="B799" s="3"/>
      <c r="F799" s="3"/>
    </row>
    <row r="800" spans="2:6" ht="12.75">
      <c r="B800" s="3"/>
      <c r="F800" s="3"/>
    </row>
    <row r="801" spans="2:6" ht="12.75">
      <c r="B801" s="3"/>
      <c r="F801" s="3"/>
    </row>
    <row r="802" spans="2:6" ht="12.75">
      <c r="B802" s="3"/>
      <c r="F802" s="3"/>
    </row>
    <row r="803" spans="2:6" ht="12.75">
      <c r="B803" s="3"/>
      <c r="F803" s="3"/>
    </row>
    <row r="804" spans="2:6" ht="12.75">
      <c r="B804" s="3"/>
      <c r="F804" s="3"/>
    </row>
    <row r="805" spans="2:6" ht="12.75">
      <c r="B805" s="3"/>
      <c r="F805" s="3"/>
    </row>
    <row r="806" spans="2:6" ht="12.75">
      <c r="B806" s="3"/>
      <c r="F806" s="3"/>
    </row>
    <row r="807" spans="2:6" ht="12.75">
      <c r="B807" s="3"/>
      <c r="F807" s="3"/>
    </row>
    <row r="808" spans="2:6" ht="12.75">
      <c r="B808" s="3"/>
      <c r="F808" s="3"/>
    </row>
  </sheetData>
  <sheetProtection/>
  <hyperlinks>
    <hyperlink ref="A3" r:id="rId1" display="http://www.bav-astro.de/LkDB/index.php?lang=en&amp;sprache_dial=en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2022-11-23T04:45:32Z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