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A" sheetId="1" r:id="rId1"/>
    <sheet name="BAV" sheetId="2" r:id="rId2"/>
  </sheets>
  <definedNames/>
  <calcPr fullCalcOnLoad="1"/>
</workbook>
</file>

<file path=xl/sharedStrings.xml><?xml version="1.0" encoding="utf-8"?>
<sst xmlns="http://schemas.openxmlformats.org/spreadsheetml/2006/main" count="93" uniqueCount="72">
  <si>
    <t xml:space="preserve">DS Pup / GSC 6543-1210               </t>
  </si>
  <si>
    <t xml:space="preserve">EW/KW     </t>
  </si>
  <si>
    <t>System Type:</t>
  </si>
  <si>
    <t>Kreiner Eph.</t>
  </si>
  <si>
    <t>My time zone &gt;&gt;&gt;&gt;&gt;</t>
  </si>
  <si>
    <t>(PST=8, PDT=MDT=7, MDT=CST=6, etc.)</t>
  </si>
  <si>
    <t>--- Working ----</t>
  </si>
  <si>
    <t>Epoch =</t>
  </si>
  <si>
    <t>Period =</t>
  </si>
  <si>
    <t>Start of linear fit &gt;&gt;&gt;&gt;&gt;&gt;&gt;&gt;&gt;&gt;&gt;&gt;&gt;&gt;&gt;&gt;&gt;&gt;&gt;&gt;&gt;</t>
  </si>
  <si>
    <t>Linear</t>
  </si>
  <si>
    <t>Quadratic</t>
  </si>
  <si>
    <t>LS Intercept =</t>
  </si>
  <si>
    <t>LS Slope =</t>
  </si>
  <si>
    <t>LS Quadr term =</t>
  </si>
  <si>
    <t>na</t>
  </si>
  <si>
    <t>New epoch =</t>
  </si>
  <si>
    <t>Add cycle</t>
  </si>
  <si>
    <t>New Period =</t>
  </si>
  <si>
    <t>JD today</t>
  </si>
  <si>
    <t># of data points:</t>
  </si>
  <si>
    <t>Old Cycle</t>
  </si>
  <si>
    <t>New Ephemeris =</t>
  </si>
  <si>
    <t>New Cycle</t>
  </si>
  <si>
    <t>Next ToM</t>
  </si>
  <si>
    <t>Source</t>
  </si>
  <si>
    <t>Typ</t>
  </si>
  <si>
    <t>ToM</t>
  </si>
  <si>
    <t>error</t>
  </si>
  <si>
    <t>n'</t>
  </si>
  <si>
    <t>n</t>
  </si>
  <si>
    <t>O-C</t>
  </si>
  <si>
    <t>pg</t>
  </si>
  <si>
    <t>vis</t>
  </si>
  <si>
    <t>PE</t>
  </si>
  <si>
    <t>CCD</t>
  </si>
  <si>
    <t>S5</t>
  </si>
  <si>
    <t>S6</t>
  </si>
  <si>
    <t>Misc</t>
  </si>
  <si>
    <t>Lin Fit</t>
  </si>
  <si>
    <t>Q. Fit</t>
  </si>
  <si>
    <t>Date</t>
  </si>
  <si>
    <t>2013JAVSO..41..122</t>
  </si>
  <si>
    <t>II</t>
  </si>
  <si>
    <t>Kreiner</t>
  </si>
  <si>
    <t>I</t>
  </si>
  <si>
    <t>IBVS 5502</t>
  </si>
  <si>
    <t>Pavlov 2015, pc</t>
  </si>
  <si>
    <t>JAVSO..44…26</t>
  </si>
  <si>
    <t>Minima from the Lichtenknecker Database of the BAV</t>
  </si>
  <si>
    <t>C</t>
  </si>
  <si>
    <t>E</t>
  </si>
  <si>
    <t>http://www.bav-astro.de/LkDB/index.php?lang=en&amp;sprache_dial=en</t>
  </si>
  <si>
    <t>F</t>
  </si>
  <si>
    <t>P</t>
  </si>
  <si>
    <t>V</t>
  </si>
  <si>
    <t>2451247.281 </t>
  </si>
  <si>
    <t> 09.03.1999 18:44 </t>
  </si>
  <si>
    <t> 0.072 </t>
  </si>
  <si>
    <t>V </t>
  </si>
  <si>
    <t> H.Lund </t>
  </si>
  <si>
    <t> JAAVSO 41;122 </t>
  </si>
  <si>
    <t>2452991.8610 </t>
  </si>
  <si>
    <t> 18.12.2003 08:39 </t>
  </si>
  <si>
    <t> 0.0783 </t>
  </si>
  <si>
    <t>E </t>
  </si>
  <si>
    <t>?</t>
  </si>
  <si>
    <t> S.Dvorak </t>
  </si>
  <si>
    <t>IBVS 5502 </t>
  </si>
  <si>
    <t>2453000.8011 </t>
  </si>
  <si>
    <t> 27.12.2003 07:13 </t>
  </si>
  <si>
    <t> 0.0789 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</si>
</sst>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\$#,##0_);&quot;($&quot;#,##0\)"/>
    <numFmt numFmtId="165" formatCode="m/d/yyyy\ h:mm"/>
    <numFmt numFmtId="166" formatCode="m/d/yyyy"/>
    <numFmt numFmtId="167" formatCode="dd/mm/yyyy"/>
  </numFmts>
  <fonts count="51">
    <font>
      <sz val="10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20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0"/>
      <color indexed="8"/>
      <name val="Arial"/>
      <family val="2"/>
    </font>
    <font>
      <b/>
      <sz val="10"/>
      <color indexed="17"/>
      <name val="Arial"/>
      <family val="2"/>
    </font>
    <font>
      <sz val="11"/>
      <name val="Calibri"/>
      <family val="2"/>
    </font>
    <font>
      <sz val="10"/>
      <color indexed="14"/>
      <name val="Arial"/>
      <family val="2"/>
    </font>
    <font>
      <b/>
      <sz val="10"/>
      <color indexed="30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u val="single"/>
      <sz val="10"/>
      <color indexed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6.7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7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3" fontId="0" fillId="0" borderId="0" applyFill="0" applyBorder="0" applyProtection="0">
      <alignment vertical="top"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164" fontId="0" fillId="0" borderId="0" applyFill="0" applyBorder="0" applyProtection="0">
      <alignment vertical="top"/>
    </xf>
    <xf numFmtId="0" fontId="0" fillId="0" borderId="0" applyFill="0" applyBorder="0" applyProtection="0">
      <alignment vertical="top"/>
    </xf>
    <xf numFmtId="0" fontId="39" fillId="0" borderId="0" applyNumberFormat="0" applyFill="0" applyBorder="0" applyAlignment="0" applyProtection="0"/>
    <xf numFmtId="2" fontId="0" fillId="0" borderId="0" applyFill="0" applyBorder="0" applyProtection="0">
      <alignment vertical="top"/>
    </xf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5" fillId="0" borderId="0" applyNumberFormat="0" applyFill="0" applyBorder="0" applyProtection="0">
      <alignment vertical="top"/>
    </xf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3">
    <xf numFmtId="0" fontId="0" fillId="0" borderId="0" xfId="0" applyAlignment="1">
      <alignment vertical="top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4" fillId="0" borderId="0" xfId="0" applyFont="1" applyAlignment="1">
      <alignment/>
    </xf>
    <xf numFmtId="0" fontId="5" fillId="0" borderId="0" xfId="0" applyFont="1" applyAlignment="1">
      <alignment vertical="top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/>
    </xf>
    <xf numFmtId="0" fontId="0" fillId="0" borderId="12" xfId="0" applyFont="1" applyBorder="1" applyAlignment="1">
      <alignment horizontal="center"/>
    </xf>
    <xf numFmtId="0" fontId="6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6" fillId="0" borderId="0" xfId="0" applyFont="1" applyAlignment="1">
      <alignment horizontal="center"/>
    </xf>
    <xf numFmtId="0" fontId="5" fillId="0" borderId="0" xfId="0" applyFont="1" applyAlignment="1">
      <alignment vertical="top"/>
    </xf>
    <xf numFmtId="0" fontId="0" fillId="0" borderId="10" xfId="0" applyBorder="1" applyAlignment="1">
      <alignment vertical="top"/>
    </xf>
    <xf numFmtId="0" fontId="0" fillId="0" borderId="11" xfId="0" applyBorder="1" applyAlignment="1">
      <alignment vertical="top"/>
    </xf>
    <xf numFmtId="165" fontId="6" fillId="0" borderId="0" xfId="0" applyNumberFormat="1" applyFont="1" applyAlignment="1">
      <alignment vertical="top"/>
    </xf>
    <xf numFmtId="0" fontId="2" fillId="0" borderId="12" xfId="0" applyFont="1" applyBorder="1" applyAlignment="1">
      <alignment horizontal="center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NumberFormat="1" applyFont="1" applyAlignment="1">
      <alignment horizontal="left" vertical="center"/>
    </xf>
    <xf numFmtId="0" fontId="10" fillId="0" borderId="0" xfId="0" applyFont="1" applyBorder="1" applyAlignment="1">
      <alignment horizontal="center" vertical="top" wrapText="1"/>
    </xf>
    <xf numFmtId="0" fontId="11" fillId="0" borderId="0" xfId="0" applyFont="1" applyAlignment="1">
      <alignment horizontal="left"/>
    </xf>
    <xf numFmtId="0" fontId="11" fillId="0" borderId="0" xfId="0" applyFont="1" applyBorder="1" applyAlignment="1">
      <alignment horizontal="left" vertical="center" wrapText="1"/>
    </xf>
    <xf numFmtId="0" fontId="12" fillId="0" borderId="0" xfId="60" applyFont="1" applyAlignment="1">
      <alignment horizontal="left" vertical="center"/>
      <protection/>
    </xf>
    <xf numFmtId="0" fontId="12" fillId="0" borderId="0" xfId="60" applyFont="1" applyAlignment="1">
      <alignment horizontal="center" vertical="center"/>
      <protection/>
    </xf>
    <xf numFmtId="0" fontId="7" fillId="0" borderId="0" xfId="0" applyFont="1" applyAlignment="1">
      <alignment/>
    </xf>
    <xf numFmtId="0" fontId="13" fillId="0" borderId="0" xfId="0" applyFont="1" applyAlignment="1">
      <alignment horizontal="left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vertical="top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vertical="top"/>
    </xf>
    <xf numFmtId="0" fontId="15" fillId="0" borderId="0" xfId="56" applyNumberFormat="1" applyFont="1" applyFill="1" applyBorder="1" applyAlignment="1" applyProtection="1">
      <alignment horizontal="left"/>
      <protection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vertical="top"/>
    </xf>
    <xf numFmtId="0" fontId="8" fillId="33" borderId="19" xfId="0" applyFont="1" applyFill="1" applyBorder="1" applyAlignment="1">
      <alignment horizontal="left" vertical="top" wrapText="1" indent="1"/>
    </xf>
    <xf numFmtId="0" fontId="8" fillId="33" borderId="19" xfId="0" applyFont="1" applyFill="1" applyBorder="1" applyAlignment="1">
      <alignment horizontal="center" vertical="top" wrapText="1"/>
    </xf>
    <xf numFmtId="0" fontId="8" fillId="33" borderId="19" xfId="0" applyFont="1" applyFill="1" applyBorder="1" applyAlignment="1">
      <alignment horizontal="right" vertical="top" wrapText="1"/>
    </xf>
    <xf numFmtId="0" fontId="15" fillId="33" borderId="19" xfId="56" applyNumberFormat="1" applyFont="1" applyFill="1" applyBorder="1" applyAlignment="1" applyProtection="1">
      <alignment horizontal="right" vertical="top" wrapText="1"/>
      <protection/>
    </xf>
    <xf numFmtId="167" fontId="0" fillId="0" borderId="0" xfId="0" applyNumberFormat="1" applyAlignment="1">
      <alignment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_A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80C0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DS Pup - O-C Diagr.</a:t>
            </a:r>
          </a:p>
        </c:rich>
      </c:tx>
      <c:layout>
        <c:manualLayout>
          <c:xMode val="factor"/>
          <c:yMode val="factor"/>
          <c:x val="-0.00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675"/>
          <c:y val="0.18775"/>
          <c:w val="0.907"/>
          <c:h val="0.685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A!$F$21:$F$28</c:f>
              <c:numCache/>
            </c:numRef>
          </c:xVal>
          <c:yVal>
            <c:numRef>
              <c:f>A!$H$21:$H$28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A!$F$21:$F$28</c:f>
              <c:numCache/>
            </c:numRef>
          </c:xVal>
          <c:yVal>
            <c:numRef>
              <c:f>A!$I$21:$I$28</c:f>
              <c:numCache/>
            </c:numRef>
          </c:yVal>
          <c:smooth val="0"/>
        </c:ser>
        <c:ser>
          <c:idx val="2"/>
          <c:order val="2"/>
          <c:tx>
            <c:strRef>
              <c:f>A!$J$20</c:f>
              <c:strCache>
                <c:ptCount val="1"/>
                <c:pt idx="0">
                  <c:v>PE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A!$F$21:$F$28</c:f>
              <c:numCache/>
            </c:numRef>
          </c:xVal>
          <c:yVal>
            <c:numRef>
              <c:f>A!$J$21:$J$28</c:f>
              <c:numCache/>
            </c:numRef>
          </c:yVal>
          <c:smooth val="0"/>
        </c:ser>
        <c:ser>
          <c:idx val="3"/>
          <c:order val="3"/>
          <c:tx>
            <c:strRef>
              <c:f>A!$K$20</c:f>
              <c:strCache>
                <c:ptCount val="1"/>
                <c:pt idx="0">
                  <c:v>CCD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A!$F$21:$F$28</c:f>
              <c:numCache/>
            </c:numRef>
          </c:xVal>
          <c:yVal>
            <c:numRef>
              <c:f>A!$K$21:$K$28</c:f>
              <c:numCache/>
            </c:numRef>
          </c:yVal>
          <c:smooth val="0"/>
        </c:ser>
        <c:ser>
          <c:idx val="4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A!$F$21:$F$28</c:f>
              <c:numCache/>
            </c:numRef>
          </c:xVal>
          <c:yVal>
            <c:numRef>
              <c:f>A!$L$21:$L$28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A!$F$21:$F$28</c:f>
              <c:numCache/>
            </c:numRef>
          </c:xVal>
          <c:yVal>
            <c:numRef>
              <c:f>A!$M$21:$M$28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A!$F$21:$F$28</c:f>
              <c:numCache/>
            </c:numRef>
          </c:xVal>
          <c:yVal>
            <c:numRef>
              <c:f>A!$N$21:$N$28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A!$F$21:$F$28</c:f>
              <c:numCache/>
            </c:numRef>
          </c:xVal>
          <c:yVal>
            <c:numRef>
              <c:f>A!$O$21:$O$28</c:f>
              <c:numCache/>
            </c:numRef>
          </c:yVal>
          <c:smooth val="0"/>
        </c:ser>
        <c:axId val="8915031"/>
        <c:axId val="13126416"/>
      </c:scatterChart>
      <c:valAx>
        <c:axId val="89150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9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126416"/>
        <c:crossesAt val="0"/>
        <c:crossBetween val="midCat"/>
        <c:dispUnits/>
      </c:valAx>
      <c:valAx>
        <c:axId val="131264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915031"/>
        <c:crossesAt val="0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3175"/>
          <c:y val="0.92275"/>
          <c:w val="0.63875"/>
          <c:h val="0.05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133350</xdr:colOff>
      <xdr:row>0</xdr:row>
      <xdr:rowOff>0</xdr:rowOff>
    </xdr:from>
    <xdr:to>
      <xdr:col>17</xdr:col>
      <xdr:colOff>219075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4552950" y="0"/>
        <a:ext cx="6334125" cy="3171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konkoly.hu/cgi-bin/IBVS?5502" TargetMode="External" /><Relationship Id="rId2" Type="http://schemas.openxmlformats.org/officeDocument/2006/relationships/hyperlink" Target="http://www.konkoly.hu/cgi-bin/IBVS?5502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8"/>
  <sheetViews>
    <sheetView tabSelected="1" zoomScalePageLayoutView="0" workbookViewId="0" topLeftCell="A1">
      <selection activeCell="F11" sqref="F11"/>
    </sheetView>
  </sheetViews>
  <sheetFormatPr defaultColWidth="10.28125" defaultRowHeight="12.75"/>
  <cols>
    <col min="1" max="1" width="14.421875" style="1" customWidth="1"/>
    <col min="2" max="2" width="3.8515625" style="1" customWidth="1"/>
    <col min="3" max="3" width="11.8515625" style="1" customWidth="1"/>
    <col min="4" max="4" width="9.421875" style="1" customWidth="1"/>
    <col min="5" max="5" width="9.8515625" style="1" customWidth="1"/>
    <col min="6" max="6" width="16.8515625" style="1" customWidth="1"/>
    <col min="7" max="7" width="8.140625" style="1" customWidth="1"/>
    <col min="8" max="14" width="8.57421875" style="1" customWidth="1"/>
    <col min="15" max="15" width="8.00390625" style="1" customWidth="1"/>
    <col min="16" max="16" width="7.7109375" style="1" customWidth="1"/>
    <col min="17" max="17" width="9.8515625" style="1" customWidth="1"/>
    <col min="18" max="16384" width="10.28125" style="1" customWidth="1"/>
  </cols>
  <sheetData>
    <row r="1" spans="1:8" ht="20.25">
      <c r="A1" s="2" t="s">
        <v>0</v>
      </c>
      <c r="F1" s="3">
        <v>52500.184</v>
      </c>
      <c r="G1" s="3">
        <v>0.38867752</v>
      </c>
      <c r="H1" s="3" t="s">
        <v>1</v>
      </c>
    </row>
    <row r="2" spans="1:4" ht="12.75">
      <c r="A2" s="1" t="s">
        <v>2</v>
      </c>
      <c r="B2" s="1" t="str">
        <f>H1</f>
        <v>EW/KW     </v>
      </c>
      <c r="C2" s="3"/>
      <c r="D2" s="3"/>
    </row>
    <row r="4" spans="1:4" ht="12.75">
      <c r="A4" s="4" t="s">
        <v>3</v>
      </c>
      <c r="C4" s="5">
        <f>F1</f>
        <v>52500.184</v>
      </c>
      <c r="D4" s="6">
        <f>G1</f>
        <v>0.38867752</v>
      </c>
    </row>
    <row r="5" spans="1:4" ht="12.75">
      <c r="A5" s="7" t="s">
        <v>4</v>
      </c>
      <c r="B5"/>
      <c r="C5" s="8">
        <v>-9.5</v>
      </c>
      <c r="D5" t="s">
        <v>5</v>
      </c>
    </row>
    <row r="6" ht="12.75">
      <c r="A6" s="4" t="s">
        <v>6</v>
      </c>
    </row>
    <row r="7" spans="1:3" ht="12.75">
      <c r="A7" s="1" t="s">
        <v>7</v>
      </c>
      <c r="C7" s="1">
        <f>C4</f>
        <v>52500.184</v>
      </c>
    </row>
    <row r="8" spans="1:4" ht="12.75">
      <c r="A8" s="1" t="s">
        <v>8</v>
      </c>
      <c r="C8" s="1">
        <f>D4</f>
        <v>0.38867752</v>
      </c>
      <c r="D8" s="9"/>
    </row>
    <row r="9" spans="1:4" ht="12.75">
      <c r="A9" s="10" t="s">
        <v>9</v>
      </c>
      <c r="B9" s="11">
        <v>24</v>
      </c>
      <c r="C9" s="12" t="str">
        <f>"F"&amp;B9</f>
        <v>F24</v>
      </c>
      <c r="D9" s="13" t="str">
        <f>"G"&amp;B9</f>
        <v>G24</v>
      </c>
    </row>
    <row r="10" spans="1:5" ht="12.75">
      <c r="A10"/>
      <c r="B10"/>
      <c r="C10" s="14" t="s">
        <v>10</v>
      </c>
      <c r="D10" s="14" t="s">
        <v>11</v>
      </c>
      <c r="E10"/>
    </row>
    <row r="11" spans="1:5" ht="12.75">
      <c r="A11" t="s">
        <v>12</v>
      </c>
      <c r="B11"/>
      <c r="C11" s="15">
        <f ca="1">INTERCEPT(INDIRECT($D$9):G974,INDIRECT($C$9):F974)</f>
        <v>0.0025247926920622197</v>
      </c>
      <c r="D11" s="3"/>
      <c r="E11"/>
    </row>
    <row r="12" spans="1:5" ht="12.75">
      <c r="A12" t="s">
        <v>13</v>
      </c>
      <c r="B12"/>
      <c r="C12" s="15">
        <f ca="1">SLOPE(INDIRECT($D$9):G974,INDIRECT($C$9):F974)</f>
        <v>-1.608409929680895E-06</v>
      </c>
      <c r="D12" s="3"/>
      <c r="E12"/>
    </row>
    <row r="13" spans="1:3" ht="12.75">
      <c r="A13" t="s">
        <v>14</v>
      </c>
      <c r="B13"/>
      <c r="C13" s="3" t="s">
        <v>15</v>
      </c>
    </row>
    <row r="14" spans="1:3" ht="12.75">
      <c r="A14"/>
      <c r="B14"/>
      <c r="C14"/>
    </row>
    <row r="15" spans="1:6" ht="12.75">
      <c r="A15" s="16" t="s">
        <v>16</v>
      </c>
      <c r="B15"/>
      <c r="C15" s="17">
        <f>(C7+C11)+(C8+C12)*INT(MAX(F21:F3515))</f>
        <v>57158.85600111127</v>
      </c>
      <c r="E15" s="18" t="s">
        <v>17</v>
      </c>
      <c r="F15" s="8">
        <v>1</v>
      </c>
    </row>
    <row r="16" spans="1:6" ht="12.75">
      <c r="A16" s="16" t="s">
        <v>18</v>
      </c>
      <c r="B16"/>
      <c r="C16" s="17">
        <f>+C8+C12</f>
        <v>0.3886759115900703</v>
      </c>
      <c r="E16" s="18" t="s">
        <v>19</v>
      </c>
      <c r="F16" s="15">
        <f ca="1">NOW()+15018.5+$C$5/24</f>
        <v>59906.74039479166</v>
      </c>
    </row>
    <row r="17" spans="1:6" ht="12.75">
      <c r="A17" s="18" t="s">
        <v>20</v>
      </c>
      <c r="B17"/>
      <c r="C17">
        <f>COUNT(C21:C2173)</f>
        <v>8</v>
      </c>
      <c r="E17" s="18" t="s">
        <v>21</v>
      </c>
      <c r="F17" s="15">
        <f>ROUND(2*(F16-$C$7)/$C$8,0)/2+F15</f>
        <v>19057</v>
      </c>
    </row>
    <row r="18" spans="1:6" ht="12.75">
      <c r="A18" s="16" t="s">
        <v>22</v>
      </c>
      <c r="B18"/>
      <c r="C18" s="19">
        <f>+C15</f>
        <v>57158.85600111127</v>
      </c>
      <c r="D18" s="20">
        <f>+C16</f>
        <v>0.3886759115900703</v>
      </c>
      <c r="E18" s="18" t="s">
        <v>23</v>
      </c>
      <c r="F18" s="13">
        <f>ROUND(2*(F16-$C$15)/$C$16,0)/2+F15</f>
        <v>7071</v>
      </c>
    </row>
    <row r="19" spans="5:6" ht="12.75">
      <c r="E19" s="18" t="s">
        <v>24</v>
      </c>
      <c r="F19" s="21">
        <f>+$C$15+$C$16*F18-15018.5-$C$5/24</f>
        <v>44889.079205297996</v>
      </c>
    </row>
    <row r="20" spans="1:17" ht="12.75">
      <c r="A20" s="14" t="s">
        <v>25</v>
      </c>
      <c r="B20" s="14" t="s">
        <v>26</v>
      </c>
      <c r="C20" s="14" t="s">
        <v>27</v>
      </c>
      <c r="D20" s="14" t="s">
        <v>28</v>
      </c>
      <c r="E20" s="14" t="s">
        <v>29</v>
      </c>
      <c r="F20" s="14" t="s">
        <v>30</v>
      </c>
      <c r="G20" s="14" t="s">
        <v>31</v>
      </c>
      <c r="H20" s="22" t="s">
        <v>32</v>
      </c>
      <c r="I20" s="22" t="s">
        <v>33</v>
      </c>
      <c r="J20" s="22" t="s">
        <v>34</v>
      </c>
      <c r="K20" s="22" t="s">
        <v>35</v>
      </c>
      <c r="L20" s="22" t="s">
        <v>36</v>
      </c>
      <c r="M20" s="22" t="s">
        <v>37</v>
      </c>
      <c r="N20" s="22" t="s">
        <v>38</v>
      </c>
      <c r="O20" s="22" t="s">
        <v>39</v>
      </c>
      <c r="P20" s="22" t="s">
        <v>40</v>
      </c>
      <c r="Q20" s="14" t="s">
        <v>41</v>
      </c>
    </row>
    <row r="21" spans="1:17" ht="12.75">
      <c r="A21" s="23" t="s">
        <v>42</v>
      </c>
      <c r="B21" s="24" t="s">
        <v>43</v>
      </c>
      <c r="C21" s="25">
        <v>51247.281</v>
      </c>
      <c r="D21" s="26"/>
      <c r="E21" s="1">
        <f aca="true" t="shared" si="0" ref="E21:E27">+(C21-C$7)/C$8</f>
        <v>-3223.502609566919</v>
      </c>
      <c r="F21" s="1">
        <f aca="true" t="shared" si="1" ref="F21:F28">ROUND(2*E21,0)/2</f>
        <v>-3223.5</v>
      </c>
      <c r="G21" s="1">
        <f aca="true" t="shared" si="2" ref="G21:G27">+C21-(C$7+F21*C$8)</f>
        <v>-0.0010142800019821152</v>
      </c>
      <c r="I21" s="1">
        <f>+G21</f>
        <v>-0.0010142800019821152</v>
      </c>
      <c r="O21" s="1">
        <f aca="true" t="shared" si="3" ref="O21:O27">+C$11+C$12*$F21</f>
        <v>0.0077095021003885855</v>
      </c>
      <c r="Q21" s="52">
        <f aca="true" t="shared" si="4" ref="Q21:Q27">+C21-15018.5</f>
        <v>36228.781</v>
      </c>
    </row>
    <row r="22" spans="1:17" ht="12.75">
      <c r="A22" s="27" t="s">
        <v>44</v>
      </c>
      <c r="B22" s="28" t="s">
        <v>45</v>
      </c>
      <c r="C22" s="27">
        <f>C$7</f>
        <v>52500.184</v>
      </c>
      <c r="D22" s="29"/>
      <c r="E22" s="1">
        <f t="shared" si="0"/>
        <v>0</v>
      </c>
      <c r="F22" s="1">
        <f t="shared" si="1"/>
        <v>0</v>
      </c>
      <c r="G22" s="1">
        <f t="shared" si="2"/>
        <v>0</v>
      </c>
      <c r="I22" s="1">
        <f>+G22</f>
        <v>0</v>
      </c>
      <c r="O22" s="1">
        <f t="shared" si="3"/>
        <v>0.0025247926920622197</v>
      </c>
      <c r="Q22" s="52">
        <f t="shared" si="4"/>
        <v>37481.684</v>
      </c>
    </row>
    <row r="23" spans="1:17" ht="12.75">
      <c r="A23" s="30" t="s">
        <v>46</v>
      </c>
      <c r="B23" s="31" t="s">
        <v>45</v>
      </c>
      <c r="C23" s="32">
        <v>52991.861</v>
      </c>
      <c r="D23" s="33">
        <v>0.0002</v>
      </c>
      <c r="E23" s="1">
        <f t="shared" si="0"/>
        <v>1264.999838426457</v>
      </c>
      <c r="F23" s="1">
        <f t="shared" si="1"/>
        <v>1265</v>
      </c>
      <c r="G23" s="1">
        <f t="shared" si="2"/>
        <v>-6.280000525293872E-05</v>
      </c>
      <c r="K23" s="1">
        <f aca="true" t="shared" si="5" ref="K23:K28">+G23</f>
        <v>-6.280000525293872E-05</v>
      </c>
      <c r="O23" s="1">
        <f t="shared" si="3"/>
        <v>0.0004901541310158874</v>
      </c>
      <c r="Q23" s="52">
        <f t="shared" si="4"/>
        <v>37973.361</v>
      </c>
    </row>
    <row r="24" spans="1:17" ht="12.75">
      <c r="A24" s="30" t="s">
        <v>46</v>
      </c>
      <c r="B24" s="31" t="s">
        <v>45</v>
      </c>
      <c r="C24" s="32">
        <v>53000.8011</v>
      </c>
      <c r="D24" s="33">
        <v>0.0002</v>
      </c>
      <c r="E24" s="1">
        <f t="shared" si="0"/>
        <v>1288.001168680905</v>
      </c>
      <c r="F24" s="1">
        <f t="shared" si="1"/>
        <v>1288</v>
      </c>
      <c r="G24" s="1">
        <f t="shared" si="2"/>
        <v>0.0004542399983620271</v>
      </c>
      <c r="K24" s="1">
        <f t="shared" si="5"/>
        <v>0.0004542399983620271</v>
      </c>
      <c r="O24" s="1">
        <f t="shared" si="3"/>
        <v>0.00045316070263322697</v>
      </c>
      <c r="Q24" s="52">
        <f t="shared" si="4"/>
        <v>37982.3011</v>
      </c>
    </row>
    <row r="25" spans="1:17" ht="15">
      <c r="A25" t="s">
        <v>47</v>
      </c>
      <c r="B25" s="34" t="s">
        <v>43</v>
      </c>
      <c r="C25" s="35">
        <v>57113.9639</v>
      </c>
      <c r="D25" s="36">
        <v>0.0003</v>
      </c>
      <c r="E25" s="1">
        <f t="shared" si="0"/>
        <v>11870.457288088082</v>
      </c>
      <c r="F25" s="1">
        <f t="shared" si="1"/>
        <v>11870.5</v>
      </c>
      <c r="G25" s="1">
        <f t="shared" si="2"/>
        <v>-0.01660116000130074</v>
      </c>
      <c r="K25" s="1">
        <f t="shared" si="5"/>
        <v>-0.01660116000130074</v>
      </c>
      <c r="O25" s="1">
        <f t="shared" si="3"/>
        <v>-0.016567837378214843</v>
      </c>
      <c r="Q25" s="52">
        <f t="shared" si="4"/>
        <v>42095.4639</v>
      </c>
    </row>
    <row r="26" spans="1:17" ht="12.75">
      <c r="A26" s="37" t="s">
        <v>48</v>
      </c>
      <c r="B26" s="38" t="s">
        <v>43</v>
      </c>
      <c r="C26" s="37">
        <v>57113.9639</v>
      </c>
      <c r="D26" s="37">
        <v>0.0003</v>
      </c>
      <c r="E26" s="1">
        <f t="shared" si="0"/>
        <v>11870.457288088082</v>
      </c>
      <c r="F26" s="1">
        <f t="shared" si="1"/>
        <v>11870.5</v>
      </c>
      <c r="G26" s="1">
        <f t="shared" si="2"/>
        <v>-0.01660116000130074</v>
      </c>
      <c r="K26" s="1">
        <f t="shared" si="5"/>
        <v>-0.01660116000130074</v>
      </c>
      <c r="O26" s="1">
        <f t="shared" si="3"/>
        <v>-0.016567837378214843</v>
      </c>
      <c r="Q26" s="52">
        <f t="shared" si="4"/>
        <v>42095.4639</v>
      </c>
    </row>
    <row r="27" spans="1:17" ht="12.75">
      <c r="A27" s="37" t="s">
        <v>48</v>
      </c>
      <c r="B27" s="38" t="s">
        <v>45</v>
      </c>
      <c r="C27" s="37">
        <v>57158.8561</v>
      </c>
      <c r="D27" s="37">
        <v>0.0001</v>
      </c>
      <c r="E27" s="1">
        <f t="shared" si="0"/>
        <v>11985.957150287457</v>
      </c>
      <c r="F27" s="1">
        <f t="shared" si="1"/>
        <v>11986</v>
      </c>
      <c r="G27" s="1">
        <f t="shared" si="2"/>
        <v>-0.016654720006044954</v>
      </c>
      <c r="K27" s="1">
        <f t="shared" si="5"/>
        <v>-0.016654720006044954</v>
      </c>
      <c r="O27" s="1">
        <f t="shared" si="3"/>
        <v>-0.01675360872509299</v>
      </c>
      <c r="Q27" s="52">
        <f t="shared" si="4"/>
        <v>42140.3561</v>
      </c>
    </row>
    <row r="28" spans="1:17" ht="12.75">
      <c r="A28" s="39" t="s">
        <v>48</v>
      </c>
      <c r="B28" s="24" t="s">
        <v>43</v>
      </c>
      <c r="C28" s="25">
        <v>57113.96389999986</v>
      </c>
      <c r="D28" s="25">
        <v>0.0003</v>
      </c>
      <c r="E28" s="1">
        <f>+(C28-C$7)/C$8</f>
        <v>11870.457288087708</v>
      </c>
      <c r="F28" s="1">
        <f t="shared" si="1"/>
        <v>11870.5</v>
      </c>
      <c r="G28" s="1">
        <f>+C28-(C$7+F28*C$8)</f>
        <v>-0.016601160146819893</v>
      </c>
      <c r="K28" s="1">
        <f t="shared" si="5"/>
        <v>-0.016601160146819893</v>
      </c>
      <c r="O28" s="1">
        <f>+C$11+C$12*$F28</f>
        <v>-0.016567837378214843</v>
      </c>
      <c r="Q28" s="52">
        <f>+C28-15018.5</f>
        <v>42095.46389999986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3"/>
  <sheetViews>
    <sheetView zoomScalePageLayoutView="0" workbookViewId="0" topLeftCell="A1">
      <selection activeCell="A11" sqref="A11"/>
    </sheetView>
  </sheetViews>
  <sheetFormatPr defaultColWidth="9.140625" defaultRowHeight="12.75"/>
  <cols>
    <col min="1" max="1" width="19.7109375" style="26" customWidth="1"/>
    <col min="2" max="2" width="4.421875" style="0" customWidth="1"/>
    <col min="3" max="3" width="12.7109375" style="26" customWidth="1"/>
    <col min="4" max="4" width="5.421875" style="0" customWidth="1"/>
    <col min="5" max="5" width="14.8515625" style="0" customWidth="1"/>
    <col min="7" max="7" width="12.00390625" style="0" customWidth="1"/>
    <col min="8" max="8" width="14.140625" style="26" customWidth="1"/>
    <col min="9" max="9" width="22.57421875" style="0" customWidth="1"/>
    <col min="10" max="10" width="25.140625" style="0" customWidth="1"/>
    <col min="11" max="11" width="15.7109375" style="0" customWidth="1"/>
    <col min="12" max="12" width="14.140625" style="0" customWidth="1"/>
    <col min="13" max="13" width="9.57421875" style="0" customWidth="1"/>
    <col min="14" max="14" width="14.140625" style="0" customWidth="1"/>
    <col min="15" max="15" width="23.421875" style="0" customWidth="1"/>
    <col min="16" max="16" width="16.57421875" style="0" customWidth="1"/>
    <col min="17" max="17" width="41.00390625" style="0" customWidth="1"/>
  </cols>
  <sheetData>
    <row r="1" spans="1:10" ht="15.75">
      <c r="A1" s="40" t="s">
        <v>49</v>
      </c>
      <c r="I1" s="41" t="s">
        <v>50</v>
      </c>
      <c r="J1" s="42" t="s">
        <v>35</v>
      </c>
    </row>
    <row r="2" spans="9:10" ht="12.75">
      <c r="I2" s="43" t="s">
        <v>51</v>
      </c>
      <c r="J2" s="44" t="s">
        <v>34</v>
      </c>
    </row>
    <row r="3" spans="1:10" ht="12.75">
      <c r="A3" s="45" t="s">
        <v>52</v>
      </c>
      <c r="I3" s="43" t="s">
        <v>53</v>
      </c>
      <c r="J3" s="44" t="s">
        <v>32</v>
      </c>
    </row>
    <row r="4" spans="9:10" ht="12.75">
      <c r="I4" s="43" t="s">
        <v>54</v>
      </c>
      <c r="J4" s="44" t="s">
        <v>32</v>
      </c>
    </row>
    <row r="5" spans="9:10" ht="12.75">
      <c r="I5" s="46" t="s">
        <v>55</v>
      </c>
      <c r="J5" s="47" t="s">
        <v>33</v>
      </c>
    </row>
    <row r="11" spans="1:16" ht="12.75" customHeight="1">
      <c r="A11" s="26" t="str">
        <f>P11</f>
        <v> JAAVSO 41;122 </v>
      </c>
      <c r="B11" s="3" t="str">
        <f>IF(H11=INT(H11),"I","II")</f>
        <v>II</v>
      </c>
      <c r="C11" s="26">
        <f>1*G11</f>
        <v>51247.281</v>
      </c>
      <c r="D11" t="str">
        <f>VLOOKUP(F11,I$1:J$5,2,FALSE)</f>
        <v>vis</v>
      </c>
      <c r="E11">
        <f>VLOOKUP(C11,A!C$21:E$972,3,FALSE)</f>
        <v>-3223.502609566919</v>
      </c>
      <c r="F11" s="3" t="s">
        <v>55</v>
      </c>
      <c r="G11" t="str">
        <f>MID(I11,3,LEN(I11)-3)</f>
        <v>51247.281</v>
      </c>
      <c r="H11" s="26">
        <f>1*K11</f>
        <v>59593.5</v>
      </c>
      <c r="I11" s="48" t="s">
        <v>56</v>
      </c>
      <c r="J11" s="49" t="s">
        <v>57</v>
      </c>
      <c r="K11" s="48">
        <v>59593.5</v>
      </c>
      <c r="L11" s="48" t="s">
        <v>58</v>
      </c>
      <c r="M11" s="49" t="s">
        <v>59</v>
      </c>
      <c r="N11" s="49"/>
      <c r="O11" s="50" t="s">
        <v>60</v>
      </c>
      <c r="P11" s="50" t="s">
        <v>61</v>
      </c>
    </row>
    <row r="12" spans="1:16" ht="12.75" customHeight="1">
      <c r="A12" s="26" t="str">
        <f>P12</f>
        <v>IBVS 5502 </v>
      </c>
      <c r="B12" s="3" t="str">
        <f>IF(H12=INT(H12),"I","II")</f>
        <v>I</v>
      </c>
      <c r="C12" s="26">
        <f>1*G12</f>
        <v>52991.861</v>
      </c>
      <c r="D12" t="str">
        <f>VLOOKUP(F12,I$1:J$5,2,FALSE)</f>
        <v>vis</v>
      </c>
      <c r="E12">
        <f>VLOOKUP(C12,A!C$21:E$972,3,FALSE)</f>
        <v>1264.999838426457</v>
      </c>
      <c r="F12" s="3" t="s">
        <v>55</v>
      </c>
      <c r="G12" t="str">
        <f>MID(I12,3,LEN(I12)-3)</f>
        <v>52991.8610</v>
      </c>
      <c r="H12" s="26">
        <f>1*K12</f>
        <v>64082</v>
      </c>
      <c r="I12" s="48" t="s">
        <v>62</v>
      </c>
      <c r="J12" s="49" t="s">
        <v>63</v>
      </c>
      <c r="K12" s="48">
        <v>64082</v>
      </c>
      <c r="L12" s="48" t="s">
        <v>64</v>
      </c>
      <c r="M12" s="49" t="s">
        <v>65</v>
      </c>
      <c r="N12" s="49" t="s">
        <v>66</v>
      </c>
      <c r="O12" s="50" t="s">
        <v>67</v>
      </c>
      <c r="P12" s="51" t="s">
        <v>68</v>
      </c>
    </row>
    <row r="13" spans="1:16" ht="12.75" customHeight="1">
      <c r="A13" s="26" t="str">
        <f>P13</f>
        <v>IBVS 5502 </v>
      </c>
      <c r="B13" s="3" t="str">
        <f>IF(H13=INT(H13),"I","II")</f>
        <v>I</v>
      </c>
      <c r="C13" s="26">
        <f>1*G13</f>
        <v>53000.8011</v>
      </c>
      <c r="D13" t="str">
        <f>VLOOKUP(F13,I$1:J$5,2,FALSE)</f>
        <v>vis</v>
      </c>
      <c r="E13">
        <f>VLOOKUP(C13,A!C$21:E$972,3,FALSE)</f>
        <v>1288.001168680905</v>
      </c>
      <c r="F13" s="3" t="s">
        <v>55</v>
      </c>
      <c r="G13" t="str">
        <f>MID(I13,3,LEN(I13)-3)</f>
        <v>53000.8011</v>
      </c>
      <c r="H13" s="26">
        <f>1*K13</f>
        <v>64105</v>
      </c>
      <c r="I13" s="48" t="s">
        <v>69</v>
      </c>
      <c r="J13" s="49" t="s">
        <v>70</v>
      </c>
      <c r="K13" s="48">
        <v>64105</v>
      </c>
      <c r="L13" s="48" t="s">
        <v>71</v>
      </c>
      <c r="M13" s="49" t="s">
        <v>65</v>
      </c>
      <c r="N13" s="49" t="s">
        <v>66</v>
      </c>
      <c r="O13" s="50" t="s">
        <v>67</v>
      </c>
      <c r="P13" s="51" t="s">
        <v>68</v>
      </c>
    </row>
  </sheetData>
  <sheetProtection selectLockedCells="1" selectUnlockedCells="1"/>
  <hyperlinks>
    <hyperlink ref="P12" r:id="rId1" display="IBVS 5502 "/>
    <hyperlink ref="P13" r:id="rId2" display="IBVS 5502 "/>
  </hyperlinks>
  <printOptions/>
  <pageMargins left="0.75" right="0.75" top="1" bottom="1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dcterms:modified xsi:type="dcterms:W3CDTF">2022-11-23T04:46:10Z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